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19035" windowHeight="11010" tabRatio="858"/>
  </bookViews>
  <sheets>
    <sheet name="CONTROL" sheetId="1" r:id="rId1"/>
    <sheet name="RAP-SOLID FUEL PRICES" sheetId="2" r:id="rId2"/>
    <sheet name="RAP-LIGHT OIL" sheetId="3" r:id="rId3"/>
    <sheet name="RAP-HEAVY OIL&amp;WTI" sheetId="4" r:id="rId4"/>
    <sheet name="RAP-NATURAL GAS PRICES" sheetId="5" r:id="rId5"/>
    <sheet name="RAP TEMPLATE-GAS AVAILABILITY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hidden="1">'[1]FPL MOST LIKELY GAS BACKUP 1'!#REF!</definedName>
    <definedName name="__123Graph_B" hidden="1">'[1]FPL MOST LIKELY GAS BACKUP 1'!#REF!</definedName>
    <definedName name="__123Graph_X" hidden="1">'[1]FPL MOST LIKELY GAS BACKUP 1'!#REF!</definedName>
    <definedName name="_1">#REF!</definedName>
    <definedName name="_1A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394GAS">#REF!</definedName>
    <definedName name="_9394OIL">#REF!</definedName>
    <definedName name="_C1">#REF!</definedName>
    <definedName name="_GIP1">#REF!</definedName>
    <definedName name="_SYP1">#REF!</definedName>
    <definedName name="C_">#REF!</definedName>
    <definedName name="CC1_">#REF!</definedName>
    <definedName name="COMPET">#REF!</definedName>
    <definedName name="CopyXC">#REF!</definedName>
    <definedName name="DatabaseNameCopy">#REF!</definedName>
    <definedName name="DatabaseNameDG">#REF!</definedName>
    <definedName name="DateColumn">[2]_Setup_!#REF!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EffectiveDate">[2]_Setup_!#REF!</definedName>
    <definedName name="FIRM">#REF!</definedName>
    <definedName name="FIRM1">#REF!</definedName>
    <definedName name="GAS">#REF!</definedName>
    <definedName name="GASAVAIL">#REF!</definedName>
    <definedName name="GIP">#REF!</definedName>
    <definedName name="HeaderXC">#REF!</definedName>
    <definedName name="I5_">#REF!</definedName>
    <definedName name="I6_">#REF!</definedName>
    <definedName name="I7_">#REF!</definedName>
    <definedName name="ImportListDG">#REF!</definedName>
    <definedName name="INDEXDATA">'[3]Index-Data'!$A$2:$CG$68</definedName>
    <definedName name="INFLAT">#REF!</definedName>
    <definedName name="LayoutXC">#REF!</definedName>
    <definedName name="Messages">[4]_UnregulatedCurves_!#REF!</definedName>
    <definedName name="MessagesDG">#REF!</definedName>
    <definedName name="MessagesDW">[4]_UnregulatedCurves_!#REF!</definedName>
    <definedName name="MONTH">#REF!</definedName>
    <definedName name="MONTH1">#REF!</definedName>
    <definedName name="MONTHID">'[3]Misc-Data'!$A$2:$F$85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OIPBBL">#REF!</definedName>
    <definedName name="OIPBBL1">#REF!</definedName>
    <definedName name="PasswordCopy">#REF!</definedName>
    <definedName name="PasswordDG">#REF!</definedName>
    <definedName name="PHASEII">#REF!</definedName>
    <definedName name="PHASEII1">#REF!</definedName>
    <definedName name="PHASEIII">#REF!</definedName>
    <definedName name="PHASEIII1">#REF!</definedName>
    <definedName name="pipedes">'[3]Misc-Data'!$D$2:$F$69</definedName>
    <definedName name="_xlnm.Print_Area" localSheetId="5">'RAP TEMPLATE-GAS AVAILABILITY'!$A$12:$T$650</definedName>
    <definedName name="_xlnm.Print_Area" localSheetId="3">'RAP-HEAVY OIL&amp;WTI'!$A$12:$J$650</definedName>
    <definedName name="_xlnm.Print_Area" localSheetId="2">'RAP-LIGHT OIL'!$A$12:$L$650</definedName>
    <definedName name="_xlnm.Print_Area" localSheetId="4">'RAP-NATURAL GAS PRICES'!$A$13:$AC$652</definedName>
    <definedName name="_xlnm.Print_Area" localSheetId="1">'RAP-SOLID FUEL PRICES'!$A$14:$O$652</definedName>
    <definedName name="_xlnm.Print_Titles" localSheetId="5">'RAP TEMPLATE-GAS AVAILABILITY'!$1:$11</definedName>
    <definedName name="_xlnm.Print_Titles" localSheetId="3">'RAP-HEAVY OIL&amp;WTI'!$1:$11</definedName>
    <definedName name="_xlnm.Print_Titles" localSheetId="2">'RAP-LIGHT OIL'!$1:$11</definedName>
    <definedName name="_xlnm.Print_Titles" localSheetId="4">'RAP-NATURAL GAS PRICES'!$1:$12</definedName>
    <definedName name="_xlnm.Print_Titles" localSheetId="1">'RAP-SOLID FUEL PRICES'!$1:$13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owStart">[2]_Setup_!#REF!</definedName>
    <definedName name="SelectListCopy">#REF!</definedName>
    <definedName name="SFOR">#REF!</definedName>
    <definedName name="SFOR1">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ColRowXC">#REF!</definedName>
    <definedName name="SrcFileXC">#REF!</definedName>
    <definedName name="SrcStartRowColXC">#REF!</definedName>
    <definedName name="SrcWorksheetXC">#REF!</definedName>
    <definedName name="StatusCopy">#REF!</definedName>
    <definedName name="StatusDG">#REF!</definedName>
    <definedName name="StatusXC">#REF!</definedName>
    <definedName name="StudyNameDG">#REF!</definedName>
    <definedName name="SYP">#REF!</definedName>
    <definedName name="SYSGAS">#REF!</definedName>
    <definedName name="TITLES">#REF!</definedName>
    <definedName name="TOBBL">#REF!</definedName>
    <definedName name="TotalRowColXC">#REF!</definedName>
    <definedName name="TransferListDG">#REF!</definedName>
    <definedName name="TTG">#REF!</definedName>
    <definedName name="UserNameCopy">#REF!</definedName>
    <definedName name="UserNameDG">#REF!</definedName>
    <definedName name="VOLUMES">#REF!</definedName>
    <definedName name="VOLUMES1">#REF!</definedName>
    <definedName name="YEAR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4" i="6" l="1"/>
  <c r="D14" i="6"/>
  <c r="E14" i="6"/>
  <c r="F14" i="6"/>
  <c r="L14" i="6"/>
  <c r="N14" i="6"/>
  <c r="Q14" i="6"/>
  <c r="R14" i="6"/>
  <c r="S14" i="6"/>
  <c r="T14" i="6"/>
  <c r="C15" i="6"/>
  <c r="D15" i="6"/>
  <c r="E15" i="6"/>
  <c r="F15" i="6"/>
  <c r="L15" i="6"/>
  <c r="N15" i="6"/>
  <c r="P15" i="6"/>
  <c r="R15" i="6"/>
  <c r="Q15" i="6" s="1"/>
  <c r="S15" i="6" s="1"/>
  <c r="T15" i="6"/>
  <c r="C16" i="6"/>
  <c r="D16" i="6"/>
  <c r="E16" i="6"/>
  <c r="F16" i="6"/>
  <c r="L16" i="6"/>
  <c r="N16" i="6"/>
  <c r="P16" i="6"/>
  <c r="R16" i="6"/>
  <c r="Q16" i="6" s="1"/>
  <c r="S16" i="6" s="1"/>
  <c r="T16" i="6"/>
  <c r="C17" i="6"/>
  <c r="D17" i="6"/>
  <c r="E17" i="6"/>
  <c r="F17" i="6"/>
  <c r="L17" i="6"/>
  <c r="N17" i="6"/>
  <c r="P17" i="6"/>
  <c r="R17" i="6"/>
  <c r="Q17" i="6" s="1"/>
  <c r="T17" i="6"/>
  <c r="C18" i="6"/>
  <c r="D18" i="6"/>
  <c r="E18" i="6"/>
  <c r="F18" i="6"/>
  <c r="L18" i="6"/>
  <c r="N18" i="6"/>
  <c r="P18" i="6"/>
  <c r="Q18" i="6"/>
  <c r="R18" i="6"/>
  <c r="S18" i="6"/>
  <c r="T18" i="6"/>
  <c r="C19" i="6"/>
  <c r="D19" i="6"/>
  <c r="E19" i="6"/>
  <c r="F19" i="6"/>
  <c r="L19" i="6"/>
  <c r="N19" i="6"/>
  <c r="P19" i="6"/>
  <c r="S19" i="6" s="1"/>
  <c r="R19" i="6"/>
  <c r="Q19" i="6" s="1"/>
  <c r="T19" i="6"/>
  <c r="C20" i="6"/>
  <c r="D20" i="6"/>
  <c r="E20" i="6"/>
  <c r="F20" i="6"/>
  <c r="L20" i="6" s="1"/>
  <c r="N20" i="6"/>
  <c r="P20" i="6"/>
  <c r="R20" i="6"/>
  <c r="Q20" i="6" s="1"/>
  <c r="S20" i="6" s="1"/>
  <c r="T20" i="6"/>
  <c r="C21" i="6"/>
  <c r="D21" i="6"/>
  <c r="E21" i="6"/>
  <c r="F21" i="6"/>
  <c r="L21" i="6"/>
  <c r="N21" i="6"/>
  <c r="P21" i="6"/>
  <c r="R21" i="6"/>
  <c r="Q21" i="6" s="1"/>
  <c r="S21" i="6" s="1"/>
  <c r="T21" i="6"/>
  <c r="C22" i="6"/>
  <c r="D22" i="6"/>
  <c r="E22" i="6"/>
  <c r="F22" i="6"/>
  <c r="L22" i="6" s="1"/>
  <c r="N22" i="6"/>
  <c r="R22" i="6"/>
  <c r="Q22" i="6" s="1"/>
  <c r="S22" i="6" s="1"/>
  <c r="T22" i="6"/>
  <c r="C23" i="6"/>
  <c r="D23" i="6"/>
  <c r="E23" i="6"/>
  <c r="F23" i="6"/>
  <c r="L23" i="6"/>
  <c r="N23" i="6"/>
  <c r="Q23" i="6"/>
  <c r="R23" i="6"/>
  <c r="S23" i="6"/>
  <c r="T23" i="6"/>
  <c r="C24" i="6"/>
  <c r="D24" i="6"/>
  <c r="E24" i="6"/>
  <c r="F24" i="6"/>
  <c r="L24" i="6"/>
  <c r="N24" i="6"/>
  <c r="Q24" i="6"/>
  <c r="R24" i="6"/>
  <c r="S24" i="6"/>
  <c r="T24" i="6"/>
  <c r="C25" i="6"/>
  <c r="D25" i="6"/>
  <c r="E25" i="6"/>
  <c r="F25" i="6"/>
  <c r="L25" i="6"/>
  <c r="N25" i="6"/>
  <c r="Q25" i="6"/>
  <c r="R25" i="6"/>
  <c r="S25" i="6"/>
  <c r="T25" i="6"/>
  <c r="C26" i="6"/>
  <c r="D26" i="6"/>
  <c r="E26" i="6"/>
  <c r="F26" i="6"/>
  <c r="L26" i="6"/>
  <c r="N26" i="6"/>
  <c r="Q26" i="6"/>
  <c r="R26" i="6"/>
  <c r="S26" i="6"/>
  <c r="T26" i="6"/>
  <c r="C27" i="6"/>
  <c r="D27" i="6"/>
  <c r="E27" i="6"/>
  <c r="F27" i="6"/>
  <c r="L27" i="6"/>
  <c r="N27" i="6"/>
  <c r="P27" i="6"/>
  <c r="R27" i="6"/>
  <c r="Q27" i="6" s="1"/>
  <c r="T27" i="6"/>
  <c r="C28" i="6"/>
  <c r="D28" i="6"/>
  <c r="L28" i="6" s="1"/>
  <c r="E28" i="6"/>
  <c r="F28" i="6"/>
  <c r="N28" i="6"/>
  <c r="P28" i="6"/>
  <c r="Q28" i="6"/>
  <c r="R28" i="6"/>
  <c r="S28" i="6"/>
  <c r="T28" i="6"/>
  <c r="C29" i="6"/>
  <c r="D29" i="6"/>
  <c r="E29" i="6"/>
  <c r="F29" i="6"/>
  <c r="L29" i="6"/>
  <c r="N29" i="6"/>
  <c r="P29" i="6"/>
  <c r="S29" i="6" s="1"/>
  <c r="R29" i="6"/>
  <c r="Q29" i="6" s="1"/>
  <c r="T29" i="6"/>
  <c r="C30" i="6"/>
  <c r="D30" i="6"/>
  <c r="L30" i="6" s="1"/>
  <c r="E30" i="6"/>
  <c r="F30" i="6"/>
  <c r="N30" i="6"/>
  <c r="P30" i="6"/>
  <c r="Q30" i="6"/>
  <c r="R30" i="6"/>
  <c r="S30" i="6"/>
  <c r="T30" i="6"/>
  <c r="C31" i="6"/>
  <c r="D31" i="6"/>
  <c r="E31" i="6"/>
  <c r="F31" i="6"/>
  <c r="L31" i="6"/>
  <c r="N31" i="6"/>
  <c r="P31" i="6"/>
  <c r="R31" i="6"/>
  <c r="Q31" i="6" s="1"/>
  <c r="T31" i="6"/>
  <c r="C32" i="6"/>
  <c r="D32" i="6"/>
  <c r="L32" i="6" s="1"/>
  <c r="E32" i="6"/>
  <c r="F32" i="6"/>
  <c r="N32" i="6"/>
  <c r="P32" i="6"/>
  <c r="Q32" i="6"/>
  <c r="R32" i="6"/>
  <c r="S32" i="6"/>
  <c r="T32" i="6"/>
  <c r="C33" i="6"/>
  <c r="D33" i="6"/>
  <c r="E33" i="6"/>
  <c r="F33" i="6"/>
  <c r="L33" i="6"/>
  <c r="N33" i="6"/>
  <c r="P33" i="6"/>
  <c r="S33" i="6" s="1"/>
  <c r="R33" i="6"/>
  <c r="Q33" i="6" s="1"/>
  <c r="T33" i="6"/>
  <c r="C34" i="6"/>
  <c r="D34" i="6"/>
  <c r="L34" i="6" s="1"/>
  <c r="E34" i="6"/>
  <c r="F34" i="6"/>
  <c r="N34" i="6"/>
  <c r="R34" i="6"/>
  <c r="Q34" i="6" s="1"/>
  <c r="S34" i="6" s="1"/>
  <c r="T34" i="6"/>
  <c r="C35" i="6"/>
  <c r="D35" i="6"/>
  <c r="L35" i="6" s="1"/>
  <c r="E35" i="6"/>
  <c r="F35" i="6"/>
  <c r="N35" i="6"/>
  <c r="R35" i="6"/>
  <c r="Q35" i="6" s="1"/>
  <c r="S35" i="6" s="1"/>
  <c r="T35" i="6"/>
  <c r="C36" i="6"/>
  <c r="D36" i="6"/>
  <c r="L36" i="6" s="1"/>
  <c r="E36" i="6"/>
  <c r="F36" i="6"/>
  <c r="N36" i="6"/>
  <c r="R36" i="6"/>
  <c r="Q36" i="6" s="1"/>
  <c r="S36" i="6" s="1"/>
  <c r="T36" i="6"/>
  <c r="C37" i="6"/>
  <c r="D37" i="6"/>
  <c r="L37" i="6" s="1"/>
  <c r="E37" i="6"/>
  <c r="F37" i="6"/>
  <c r="N37" i="6"/>
  <c r="R37" i="6"/>
  <c r="Q37" i="6" s="1"/>
  <c r="S37" i="6" s="1"/>
  <c r="T37" i="6"/>
  <c r="C38" i="6"/>
  <c r="D38" i="6"/>
  <c r="L38" i="6" s="1"/>
  <c r="E38" i="6"/>
  <c r="F38" i="6"/>
  <c r="N38" i="6"/>
  <c r="R38" i="6"/>
  <c r="Q38" i="6" s="1"/>
  <c r="S38" i="6" s="1"/>
  <c r="T38" i="6"/>
  <c r="C39" i="6"/>
  <c r="D39" i="6"/>
  <c r="E39" i="6"/>
  <c r="F39" i="6"/>
  <c r="H39" i="6"/>
  <c r="L39" i="6"/>
  <c r="N39" i="6"/>
  <c r="P39" i="6"/>
  <c r="R39" i="6"/>
  <c r="Q39" i="6" s="1"/>
  <c r="T39" i="6"/>
  <c r="C40" i="6"/>
  <c r="D40" i="6"/>
  <c r="E40" i="6"/>
  <c r="F40" i="6"/>
  <c r="H40" i="6"/>
  <c r="L40" i="6"/>
  <c r="N40" i="6"/>
  <c r="P40" i="6"/>
  <c r="R40" i="6"/>
  <c r="Q40" i="6" s="1"/>
  <c r="T40" i="6"/>
  <c r="C41" i="6"/>
  <c r="D41" i="6"/>
  <c r="E41" i="6"/>
  <c r="F41" i="6"/>
  <c r="H41" i="6"/>
  <c r="L41" i="6"/>
  <c r="N41" i="6"/>
  <c r="P41" i="6"/>
  <c r="R41" i="6"/>
  <c r="Q41" i="6" s="1"/>
  <c r="T41" i="6"/>
  <c r="C42" i="6"/>
  <c r="D42" i="6"/>
  <c r="E42" i="6"/>
  <c r="F42" i="6"/>
  <c r="H42" i="6"/>
  <c r="L42" i="6"/>
  <c r="N42" i="6"/>
  <c r="P42" i="6"/>
  <c r="R42" i="6"/>
  <c r="Q42" i="6" s="1"/>
  <c r="T42" i="6"/>
  <c r="C43" i="6"/>
  <c r="D43" i="6"/>
  <c r="E43" i="6"/>
  <c r="F43" i="6"/>
  <c r="H43" i="6"/>
  <c r="L43" i="6"/>
  <c r="N43" i="6"/>
  <c r="P43" i="6"/>
  <c r="R43" i="6"/>
  <c r="Q43" i="6" s="1"/>
  <c r="T43" i="6"/>
  <c r="C44" i="6"/>
  <c r="D44" i="6"/>
  <c r="E44" i="6"/>
  <c r="F44" i="6"/>
  <c r="H44" i="6"/>
  <c r="L44" i="6"/>
  <c r="N44" i="6"/>
  <c r="P44" i="6"/>
  <c r="R44" i="6"/>
  <c r="Q44" i="6" s="1"/>
  <c r="T44" i="6"/>
  <c r="C45" i="6"/>
  <c r="D45" i="6"/>
  <c r="E45" i="6"/>
  <c r="F45" i="6"/>
  <c r="H45" i="6"/>
  <c r="L45" i="6"/>
  <c r="N45" i="6"/>
  <c r="P45" i="6"/>
  <c r="R45" i="6"/>
  <c r="Q45" i="6" s="1"/>
  <c r="T45" i="6"/>
  <c r="C46" i="6"/>
  <c r="D46" i="6"/>
  <c r="L46" i="6" s="1"/>
  <c r="E46" i="6"/>
  <c r="F46" i="6"/>
  <c r="N46" i="6"/>
  <c r="R46" i="6"/>
  <c r="Q46" i="6" s="1"/>
  <c r="S46" i="6" s="1"/>
  <c r="T46" i="6"/>
  <c r="C47" i="6"/>
  <c r="D47" i="6"/>
  <c r="L47" i="6" s="1"/>
  <c r="E47" i="6"/>
  <c r="F47" i="6"/>
  <c r="N47" i="6"/>
  <c r="R47" i="6"/>
  <c r="Q47" i="6" s="1"/>
  <c r="S47" i="6" s="1"/>
  <c r="T47" i="6"/>
  <c r="C48" i="6"/>
  <c r="D48" i="6"/>
  <c r="L48" i="6" s="1"/>
  <c r="E48" i="6"/>
  <c r="F48" i="6"/>
  <c r="N48" i="6"/>
  <c r="R48" i="6"/>
  <c r="Q48" i="6" s="1"/>
  <c r="S48" i="6" s="1"/>
  <c r="T48" i="6"/>
  <c r="C49" i="6"/>
  <c r="D49" i="6"/>
  <c r="L49" i="6" s="1"/>
  <c r="E49" i="6"/>
  <c r="F49" i="6"/>
  <c r="N49" i="6"/>
  <c r="R49" i="6"/>
  <c r="Q49" i="6" s="1"/>
  <c r="S49" i="6" s="1"/>
  <c r="T49" i="6"/>
  <c r="C50" i="6"/>
  <c r="D50" i="6"/>
  <c r="L50" i="6" s="1"/>
  <c r="E50" i="6"/>
  <c r="F50" i="6"/>
  <c r="N50" i="6"/>
  <c r="R50" i="6"/>
  <c r="Q50" i="6" s="1"/>
  <c r="S50" i="6" s="1"/>
  <c r="T50" i="6"/>
  <c r="C51" i="6"/>
  <c r="D51" i="6"/>
  <c r="E51" i="6"/>
  <c r="F51" i="6"/>
  <c r="H51" i="6"/>
  <c r="L51" i="6"/>
  <c r="N51" i="6"/>
  <c r="Q51" i="6"/>
  <c r="R51" i="6"/>
  <c r="S51" i="6"/>
  <c r="T51" i="6"/>
  <c r="C52" i="6"/>
  <c r="D52" i="6"/>
  <c r="E52" i="6"/>
  <c r="F52" i="6"/>
  <c r="H52" i="6"/>
  <c r="I52" i="6"/>
  <c r="L52" i="6"/>
  <c r="N52" i="6"/>
  <c r="Q52" i="6"/>
  <c r="R52" i="6"/>
  <c r="S52" i="6"/>
  <c r="T52" i="6"/>
  <c r="C53" i="6"/>
  <c r="D53" i="6"/>
  <c r="E53" i="6"/>
  <c r="F53" i="6"/>
  <c r="H53" i="6"/>
  <c r="I53" i="6"/>
  <c r="L53" i="6"/>
  <c r="N53" i="6"/>
  <c r="Q53" i="6"/>
  <c r="R53" i="6"/>
  <c r="S53" i="6"/>
  <c r="T53" i="6"/>
  <c r="C54" i="6"/>
  <c r="D54" i="6"/>
  <c r="E54" i="6"/>
  <c r="F54" i="6"/>
  <c r="H54" i="6"/>
  <c r="I54" i="6"/>
  <c r="L54" i="6"/>
  <c r="N54" i="6"/>
  <c r="Q54" i="6"/>
  <c r="R54" i="6"/>
  <c r="S54" i="6"/>
  <c r="T54" i="6"/>
  <c r="C55" i="6"/>
  <c r="D55" i="6"/>
  <c r="E55" i="6"/>
  <c r="F55" i="6"/>
  <c r="H55" i="6"/>
  <c r="I55" i="6"/>
  <c r="L55" i="6"/>
  <c r="N55" i="6"/>
  <c r="Q55" i="6"/>
  <c r="R55" i="6"/>
  <c r="S55" i="6"/>
  <c r="T55" i="6"/>
  <c r="C56" i="6"/>
  <c r="D56" i="6"/>
  <c r="E56" i="6"/>
  <c r="F56" i="6"/>
  <c r="H56" i="6"/>
  <c r="I56" i="6"/>
  <c r="L56" i="6"/>
  <c r="N56" i="6"/>
  <c r="Q56" i="6"/>
  <c r="R56" i="6"/>
  <c r="S56" i="6"/>
  <c r="T56" i="6"/>
  <c r="C57" i="6"/>
  <c r="D57" i="6"/>
  <c r="E57" i="6"/>
  <c r="F57" i="6"/>
  <c r="H57" i="6"/>
  <c r="I57" i="6"/>
  <c r="L57" i="6"/>
  <c r="N57" i="6"/>
  <c r="Q57" i="6"/>
  <c r="R57" i="6"/>
  <c r="S57" i="6"/>
  <c r="T57" i="6"/>
  <c r="C58" i="6"/>
  <c r="L58" i="6" s="1"/>
  <c r="D58" i="6"/>
  <c r="E58" i="6"/>
  <c r="F58" i="6"/>
  <c r="I58" i="6"/>
  <c r="N58" i="6"/>
  <c r="R58" i="6"/>
  <c r="Q58" i="6" s="1"/>
  <c r="S58" i="6" s="1"/>
  <c r="T58" i="6"/>
  <c r="C59" i="6"/>
  <c r="D59" i="6"/>
  <c r="E59" i="6"/>
  <c r="F59" i="6"/>
  <c r="I59" i="6"/>
  <c r="L59" i="6"/>
  <c r="N59" i="6"/>
  <c r="Q59" i="6"/>
  <c r="R59" i="6"/>
  <c r="S59" i="6"/>
  <c r="T59" i="6"/>
  <c r="C60" i="6"/>
  <c r="L60" i="6" s="1"/>
  <c r="D60" i="6"/>
  <c r="E60" i="6"/>
  <c r="F60" i="6"/>
  <c r="I60" i="6"/>
  <c r="N60" i="6"/>
  <c r="R60" i="6"/>
  <c r="Q60" i="6" s="1"/>
  <c r="S60" i="6" s="1"/>
  <c r="T60" i="6"/>
  <c r="C61" i="6"/>
  <c r="D61" i="6"/>
  <c r="E61" i="6"/>
  <c r="F61" i="6"/>
  <c r="I61" i="6"/>
  <c r="L61" i="6"/>
  <c r="N61" i="6"/>
  <c r="Q61" i="6"/>
  <c r="R61" i="6"/>
  <c r="S61" i="6"/>
  <c r="T61" i="6"/>
  <c r="C62" i="6"/>
  <c r="L62" i="6" s="1"/>
  <c r="D62" i="6"/>
  <c r="E62" i="6"/>
  <c r="F62" i="6"/>
  <c r="I62" i="6"/>
  <c r="N62" i="6"/>
  <c r="R62" i="6"/>
  <c r="Q62" i="6" s="1"/>
  <c r="S62" i="6" s="1"/>
  <c r="T62" i="6"/>
  <c r="C63" i="6"/>
  <c r="D63" i="6"/>
  <c r="L63" i="6" s="1"/>
  <c r="E63" i="6"/>
  <c r="F63" i="6"/>
  <c r="H63" i="6"/>
  <c r="I63" i="6"/>
  <c r="N63" i="6"/>
  <c r="R63" i="6"/>
  <c r="Q63" i="6" s="1"/>
  <c r="S63" i="6" s="1"/>
  <c r="T63" i="6"/>
  <c r="C64" i="6"/>
  <c r="D64" i="6"/>
  <c r="L64" i="6" s="1"/>
  <c r="E64" i="6"/>
  <c r="F64" i="6"/>
  <c r="H64" i="6"/>
  <c r="I64" i="6"/>
  <c r="N64" i="6"/>
  <c r="R64" i="6"/>
  <c r="Q64" i="6" s="1"/>
  <c r="S64" i="6" s="1"/>
  <c r="T64" i="6"/>
  <c r="C65" i="6"/>
  <c r="D65" i="6"/>
  <c r="L65" i="6" s="1"/>
  <c r="E65" i="6"/>
  <c r="F65" i="6"/>
  <c r="H65" i="6"/>
  <c r="I65" i="6"/>
  <c r="N65" i="6"/>
  <c r="R65" i="6"/>
  <c r="Q65" i="6" s="1"/>
  <c r="S65" i="6" s="1"/>
  <c r="T65" i="6"/>
  <c r="C66" i="6"/>
  <c r="D66" i="6"/>
  <c r="L66" i="6" s="1"/>
  <c r="E66" i="6"/>
  <c r="F66" i="6"/>
  <c r="H66" i="6"/>
  <c r="I66" i="6"/>
  <c r="N66" i="6"/>
  <c r="R66" i="6"/>
  <c r="Q66" i="6" s="1"/>
  <c r="S66" i="6" s="1"/>
  <c r="T66" i="6"/>
  <c r="C67" i="6"/>
  <c r="D67" i="6"/>
  <c r="L67" i="6" s="1"/>
  <c r="E67" i="6"/>
  <c r="F67" i="6"/>
  <c r="H67" i="6"/>
  <c r="I67" i="6"/>
  <c r="N67" i="6"/>
  <c r="R67" i="6"/>
  <c r="Q67" i="6" s="1"/>
  <c r="S67" i="6" s="1"/>
  <c r="T67" i="6"/>
  <c r="C68" i="6"/>
  <c r="D68" i="6"/>
  <c r="E68" i="6"/>
  <c r="F68" i="6"/>
  <c r="H68" i="6"/>
  <c r="I68" i="6"/>
  <c r="N68" i="6"/>
  <c r="R68" i="6"/>
  <c r="Q68" i="6" s="1"/>
  <c r="S68" i="6" s="1"/>
  <c r="T68" i="6"/>
  <c r="C69" i="6"/>
  <c r="D69" i="6"/>
  <c r="L69" i="6" s="1"/>
  <c r="E69" i="6"/>
  <c r="F69" i="6"/>
  <c r="H69" i="6"/>
  <c r="I69" i="6"/>
  <c r="N69" i="6"/>
  <c r="R69" i="6"/>
  <c r="Q69" i="6" s="1"/>
  <c r="S69" i="6" s="1"/>
  <c r="T69" i="6"/>
  <c r="C70" i="6"/>
  <c r="D70" i="6"/>
  <c r="E70" i="6"/>
  <c r="F70" i="6"/>
  <c r="I70" i="6"/>
  <c r="L70" i="6"/>
  <c r="N70" i="6"/>
  <c r="Q70" i="6"/>
  <c r="R70" i="6"/>
  <c r="S70" i="6"/>
  <c r="T70" i="6"/>
  <c r="C71" i="6"/>
  <c r="L71" i="6" s="1"/>
  <c r="D71" i="6"/>
  <c r="E71" i="6"/>
  <c r="F71" i="6"/>
  <c r="I71" i="6"/>
  <c r="N71" i="6"/>
  <c r="R71" i="6"/>
  <c r="Q71" i="6" s="1"/>
  <c r="S71" i="6" s="1"/>
  <c r="T71" i="6"/>
  <c r="C72" i="6"/>
  <c r="D72" i="6"/>
  <c r="E72" i="6"/>
  <c r="F72" i="6"/>
  <c r="I72" i="6"/>
  <c r="L72" i="6"/>
  <c r="N72" i="6"/>
  <c r="Q72" i="6"/>
  <c r="R72" i="6"/>
  <c r="S72" i="6"/>
  <c r="T72" i="6"/>
  <c r="C73" i="6"/>
  <c r="L73" i="6" s="1"/>
  <c r="D73" i="6"/>
  <c r="E73" i="6"/>
  <c r="F73" i="6"/>
  <c r="I73" i="6"/>
  <c r="N73" i="6"/>
  <c r="R73" i="6"/>
  <c r="Q73" i="6" s="1"/>
  <c r="S73" i="6" s="1"/>
  <c r="T73" i="6"/>
  <c r="C74" i="6"/>
  <c r="D74" i="6"/>
  <c r="E74" i="6"/>
  <c r="F74" i="6"/>
  <c r="I74" i="6"/>
  <c r="L74" i="6"/>
  <c r="N74" i="6"/>
  <c r="Q74" i="6"/>
  <c r="R74" i="6"/>
  <c r="S74" i="6"/>
  <c r="T74" i="6"/>
  <c r="C75" i="6"/>
  <c r="D75" i="6"/>
  <c r="E75" i="6"/>
  <c r="F75" i="6"/>
  <c r="H75" i="6"/>
  <c r="I75" i="6"/>
  <c r="L75" i="6"/>
  <c r="N75" i="6"/>
  <c r="Q75" i="6"/>
  <c r="R75" i="6"/>
  <c r="S75" i="6"/>
  <c r="T75" i="6"/>
  <c r="C76" i="6"/>
  <c r="D76" i="6"/>
  <c r="E76" i="6"/>
  <c r="F76" i="6"/>
  <c r="H76" i="6"/>
  <c r="I76" i="6"/>
  <c r="L76" i="6"/>
  <c r="N76" i="6"/>
  <c r="Q76" i="6"/>
  <c r="R76" i="6"/>
  <c r="S76" i="6"/>
  <c r="T76" i="6"/>
  <c r="C77" i="6"/>
  <c r="D77" i="6"/>
  <c r="E77" i="6"/>
  <c r="F77" i="6"/>
  <c r="H77" i="6"/>
  <c r="I77" i="6"/>
  <c r="L77" i="6"/>
  <c r="N77" i="6"/>
  <c r="Q77" i="6"/>
  <c r="R77" i="6"/>
  <c r="S77" i="6"/>
  <c r="T77" i="6"/>
  <c r="C78" i="6"/>
  <c r="D78" i="6"/>
  <c r="E78" i="6"/>
  <c r="F78" i="6"/>
  <c r="H78" i="6"/>
  <c r="I78" i="6"/>
  <c r="L78" i="6"/>
  <c r="N78" i="6"/>
  <c r="Q78" i="6"/>
  <c r="R78" i="6"/>
  <c r="S78" i="6"/>
  <c r="T78" i="6"/>
  <c r="C79" i="6"/>
  <c r="D79" i="6"/>
  <c r="E79" i="6"/>
  <c r="F79" i="6"/>
  <c r="H79" i="6"/>
  <c r="I79" i="6"/>
  <c r="L79" i="6"/>
  <c r="N79" i="6"/>
  <c r="Q79" i="6"/>
  <c r="R79" i="6"/>
  <c r="S79" i="6"/>
  <c r="T79" i="6"/>
  <c r="C80" i="6"/>
  <c r="D80" i="6"/>
  <c r="E80" i="6"/>
  <c r="F80" i="6"/>
  <c r="H80" i="6"/>
  <c r="I80" i="6"/>
  <c r="L80" i="6"/>
  <c r="N80" i="6"/>
  <c r="Q80" i="6"/>
  <c r="R80" i="6"/>
  <c r="S80" i="6"/>
  <c r="T80" i="6"/>
  <c r="C81" i="6"/>
  <c r="D81" i="6"/>
  <c r="E81" i="6"/>
  <c r="F81" i="6"/>
  <c r="H81" i="6"/>
  <c r="I81" i="6"/>
  <c r="L81" i="6"/>
  <c r="N81" i="6"/>
  <c r="Q81" i="6"/>
  <c r="R81" i="6"/>
  <c r="S81" i="6"/>
  <c r="T81" i="6"/>
  <c r="C82" i="6"/>
  <c r="L82" i="6" s="1"/>
  <c r="D82" i="6"/>
  <c r="E82" i="6"/>
  <c r="F82" i="6"/>
  <c r="I82" i="6"/>
  <c r="N82" i="6"/>
  <c r="R82" i="6"/>
  <c r="Q82" i="6" s="1"/>
  <c r="S82" i="6" s="1"/>
  <c r="T82" i="6"/>
  <c r="C83" i="6"/>
  <c r="D83" i="6"/>
  <c r="E83" i="6"/>
  <c r="F83" i="6"/>
  <c r="I83" i="6"/>
  <c r="L83" i="6"/>
  <c r="N83" i="6"/>
  <c r="Q83" i="6"/>
  <c r="R83" i="6"/>
  <c r="S83" i="6"/>
  <c r="T83" i="6"/>
  <c r="C84" i="6"/>
  <c r="L84" i="6" s="1"/>
  <c r="D84" i="6"/>
  <c r="E84" i="6"/>
  <c r="F84" i="6"/>
  <c r="I84" i="6"/>
  <c r="N84" i="6"/>
  <c r="R84" i="6"/>
  <c r="Q84" i="6" s="1"/>
  <c r="S84" i="6" s="1"/>
  <c r="T84" i="6"/>
  <c r="C85" i="6"/>
  <c r="D85" i="6"/>
  <c r="E85" i="6"/>
  <c r="F85" i="6"/>
  <c r="I85" i="6"/>
  <c r="L85" i="6"/>
  <c r="N85" i="6"/>
  <c r="Q85" i="6"/>
  <c r="R85" i="6"/>
  <c r="S85" i="6"/>
  <c r="T85" i="6"/>
  <c r="C86" i="6"/>
  <c r="L86" i="6" s="1"/>
  <c r="D86" i="6"/>
  <c r="E86" i="6"/>
  <c r="F86" i="6"/>
  <c r="I86" i="6"/>
  <c r="N86" i="6"/>
  <c r="R86" i="6"/>
  <c r="Q86" i="6" s="1"/>
  <c r="S86" i="6" s="1"/>
  <c r="T86" i="6"/>
  <c r="C87" i="6"/>
  <c r="D87" i="6"/>
  <c r="L87" i="6" s="1"/>
  <c r="E87" i="6"/>
  <c r="F87" i="6"/>
  <c r="H87" i="6"/>
  <c r="I87" i="6"/>
  <c r="N87" i="6"/>
  <c r="R87" i="6"/>
  <c r="Q87" i="6" s="1"/>
  <c r="S87" i="6" s="1"/>
  <c r="T87" i="6"/>
  <c r="C88" i="6"/>
  <c r="D88" i="6"/>
  <c r="L88" i="6" s="1"/>
  <c r="E88" i="6"/>
  <c r="F88" i="6"/>
  <c r="H88" i="6"/>
  <c r="I88" i="6"/>
  <c r="N88" i="6"/>
  <c r="R88" i="6"/>
  <c r="Q88" i="6" s="1"/>
  <c r="S88" i="6" s="1"/>
  <c r="T88" i="6"/>
  <c r="C89" i="6"/>
  <c r="D89" i="6"/>
  <c r="L89" i="6" s="1"/>
  <c r="E89" i="6"/>
  <c r="F89" i="6"/>
  <c r="H89" i="6"/>
  <c r="I89" i="6"/>
  <c r="N89" i="6"/>
  <c r="R89" i="6"/>
  <c r="Q89" i="6" s="1"/>
  <c r="S89" i="6" s="1"/>
  <c r="T89" i="6"/>
  <c r="C90" i="6"/>
  <c r="D90" i="6"/>
  <c r="L90" i="6" s="1"/>
  <c r="E90" i="6"/>
  <c r="F90" i="6"/>
  <c r="H90" i="6"/>
  <c r="I90" i="6"/>
  <c r="N90" i="6"/>
  <c r="R90" i="6"/>
  <c r="Q90" i="6" s="1"/>
  <c r="S90" i="6" s="1"/>
  <c r="T90" i="6"/>
  <c r="C91" i="6"/>
  <c r="D91" i="6"/>
  <c r="L91" i="6" s="1"/>
  <c r="E91" i="6"/>
  <c r="F91" i="6"/>
  <c r="H91" i="6"/>
  <c r="I91" i="6"/>
  <c r="N91" i="6"/>
  <c r="R91" i="6"/>
  <c r="Q91" i="6" s="1"/>
  <c r="S91" i="6" s="1"/>
  <c r="T91" i="6"/>
  <c r="C92" i="6"/>
  <c r="D92" i="6"/>
  <c r="L92" i="6" s="1"/>
  <c r="E92" i="6"/>
  <c r="F92" i="6"/>
  <c r="H92" i="6"/>
  <c r="I92" i="6"/>
  <c r="N92" i="6"/>
  <c r="R92" i="6"/>
  <c r="Q92" i="6" s="1"/>
  <c r="S92" i="6" s="1"/>
  <c r="T92" i="6"/>
  <c r="C93" i="6"/>
  <c r="D93" i="6"/>
  <c r="L93" i="6" s="1"/>
  <c r="E93" i="6"/>
  <c r="F93" i="6"/>
  <c r="H93" i="6"/>
  <c r="I93" i="6"/>
  <c r="N93" i="6"/>
  <c r="R93" i="6"/>
  <c r="Q93" i="6" s="1"/>
  <c r="S93" i="6" s="1"/>
  <c r="T93" i="6"/>
  <c r="C94" i="6"/>
  <c r="D94" i="6"/>
  <c r="E94" i="6"/>
  <c r="F94" i="6"/>
  <c r="I94" i="6"/>
  <c r="L94" i="6"/>
  <c r="N94" i="6"/>
  <c r="Q94" i="6"/>
  <c r="R94" i="6"/>
  <c r="S94" i="6"/>
  <c r="T94" i="6"/>
  <c r="C95" i="6"/>
  <c r="L95" i="6" s="1"/>
  <c r="D95" i="6"/>
  <c r="E95" i="6"/>
  <c r="F95" i="6"/>
  <c r="I95" i="6"/>
  <c r="N95" i="6"/>
  <c r="R95" i="6"/>
  <c r="Q95" i="6" s="1"/>
  <c r="S95" i="6" s="1"/>
  <c r="T95" i="6"/>
  <c r="C96" i="6"/>
  <c r="D96" i="6"/>
  <c r="E96" i="6"/>
  <c r="F96" i="6"/>
  <c r="I96" i="6"/>
  <c r="L96" i="6"/>
  <c r="N96" i="6"/>
  <c r="Q96" i="6"/>
  <c r="R96" i="6"/>
  <c r="S96" i="6"/>
  <c r="T96" i="6"/>
  <c r="C97" i="6"/>
  <c r="L97" i="6" s="1"/>
  <c r="D97" i="6"/>
  <c r="E97" i="6"/>
  <c r="F97" i="6"/>
  <c r="I97" i="6"/>
  <c r="N97" i="6"/>
  <c r="R97" i="6"/>
  <c r="Q97" i="6" s="1"/>
  <c r="S97" i="6" s="1"/>
  <c r="T97" i="6"/>
  <c r="C98" i="6"/>
  <c r="D98" i="6"/>
  <c r="E98" i="6"/>
  <c r="F98" i="6"/>
  <c r="I98" i="6"/>
  <c r="L98" i="6"/>
  <c r="N98" i="6"/>
  <c r="Q98" i="6"/>
  <c r="R98" i="6"/>
  <c r="S98" i="6"/>
  <c r="T98" i="6"/>
  <c r="C99" i="6"/>
  <c r="D99" i="6"/>
  <c r="E99" i="6"/>
  <c r="F99" i="6"/>
  <c r="H99" i="6"/>
  <c r="I99" i="6"/>
  <c r="L99" i="6"/>
  <c r="N99" i="6"/>
  <c r="Q99" i="6"/>
  <c r="R99" i="6"/>
  <c r="S99" i="6"/>
  <c r="T99" i="6"/>
  <c r="C100" i="6"/>
  <c r="D100" i="6"/>
  <c r="E100" i="6"/>
  <c r="F100" i="6"/>
  <c r="H100" i="6"/>
  <c r="I100" i="6"/>
  <c r="L100" i="6"/>
  <c r="N100" i="6"/>
  <c r="Q100" i="6"/>
  <c r="R100" i="6"/>
  <c r="S100" i="6"/>
  <c r="T100" i="6"/>
  <c r="C101" i="6"/>
  <c r="D101" i="6"/>
  <c r="E101" i="6"/>
  <c r="F101" i="6"/>
  <c r="H101" i="6"/>
  <c r="I101" i="6"/>
  <c r="L101" i="6"/>
  <c r="N101" i="6"/>
  <c r="Q101" i="6"/>
  <c r="R101" i="6"/>
  <c r="S101" i="6"/>
  <c r="T101" i="6"/>
  <c r="C102" i="6"/>
  <c r="D102" i="6"/>
  <c r="E102" i="6"/>
  <c r="F102" i="6"/>
  <c r="H102" i="6"/>
  <c r="I102" i="6"/>
  <c r="L102" i="6"/>
  <c r="N102" i="6"/>
  <c r="Q102" i="6"/>
  <c r="R102" i="6"/>
  <c r="S102" i="6"/>
  <c r="T102" i="6"/>
  <c r="C103" i="6"/>
  <c r="D103" i="6"/>
  <c r="E103" i="6"/>
  <c r="F103" i="6"/>
  <c r="H103" i="6"/>
  <c r="I103" i="6"/>
  <c r="L103" i="6"/>
  <c r="N103" i="6"/>
  <c r="Q103" i="6"/>
  <c r="R103" i="6"/>
  <c r="S103" i="6"/>
  <c r="T103" i="6"/>
  <c r="C104" i="6"/>
  <c r="D104" i="6"/>
  <c r="E104" i="6"/>
  <c r="F104" i="6"/>
  <c r="H104" i="6"/>
  <c r="I104" i="6"/>
  <c r="L104" i="6"/>
  <c r="N104" i="6"/>
  <c r="Q104" i="6"/>
  <c r="R104" i="6"/>
  <c r="S104" i="6"/>
  <c r="T104" i="6"/>
  <c r="C105" i="6"/>
  <c r="D105" i="6"/>
  <c r="E105" i="6"/>
  <c r="F105" i="6"/>
  <c r="H105" i="6"/>
  <c r="I105" i="6"/>
  <c r="L105" i="6"/>
  <c r="N105" i="6"/>
  <c r="Q105" i="6"/>
  <c r="R105" i="6"/>
  <c r="S105" i="6"/>
  <c r="T105" i="6"/>
  <c r="C106" i="6"/>
  <c r="L106" i="6" s="1"/>
  <c r="D106" i="6"/>
  <c r="E106" i="6"/>
  <c r="F106" i="6"/>
  <c r="I106" i="6"/>
  <c r="N106" i="6"/>
  <c r="R106" i="6"/>
  <c r="Q106" i="6" s="1"/>
  <c r="S106" i="6" s="1"/>
  <c r="T106" i="6"/>
  <c r="C107" i="6"/>
  <c r="D107" i="6"/>
  <c r="E107" i="6"/>
  <c r="F107" i="6"/>
  <c r="I107" i="6"/>
  <c r="L107" i="6"/>
  <c r="N107" i="6"/>
  <c r="Q107" i="6"/>
  <c r="R107" i="6"/>
  <c r="S107" i="6"/>
  <c r="T107" i="6"/>
  <c r="C108" i="6"/>
  <c r="L108" i="6" s="1"/>
  <c r="D108" i="6"/>
  <c r="E108" i="6"/>
  <c r="F108" i="6"/>
  <c r="I108" i="6"/>
  <c r="N108" i="6"/>
  <c r="R108" i="6"/>
  <c r="Q108" i="6" s="1"/>
  <c r="S108" i="6" s="1"/>
  <c r="T108" i="6"/>
  <c r="C109" i="6"/>
  <c r="D109" i="6"/>
  <c r="E109" i="6"/>
  <c r="F109" i="6"/>
  <c r="I109" i="6"/>
  <c r="L109" i="6"/>
  <c r="N109" i="6"/>
  <c r="Q109" i="6"/>
  <c r="R109" i="6"/>
  <c r="S109" i="6"/>
  <c r="T109" i="6"/>
  <c r="C110" i="6"/>
  <c r="L110" i="6" s="1"/>
  <c r="D110" i="6"/>
  <c r="E110" i="6"/>
  <c r="F110" i="6"/>
  <c r="I110" i="6"/>
  <c r="N110" i="6"/>
  <c r="R110" i="6"/>
  <c r="Q110" i="6" s="1"/>
  <c r="S110" i="6" s="1"/>
  <c r="T110" i="6"/>
  <c r="C111" i="6"/>
  <c r="D111" i="6"/>
  <c r="L111" i="6" s="1"/>
  <c r="E111" i="6"/>
  <c r="F111" i="6"/>
  <c r="H111" i="6"/>
  <c r="I111" i="6"/>
  <c r="N111" i="6"/>
  <c r="R111" i="6"/>
  <c r="Q111" i="6" s="1"/>
  <c r="S111" i="6" s="1"/>
  <c r="T111" i="6"/>
  <c r="C112" i="6"/>
  <c r="D112" i="6"/>
  <c r="L112" i="6" s="1"/>
  <c r="E112" i="6"/>
  <c r="F112" i="6"/>
  <c r="H112" i="6"/>
  <c r="I112" i="6"/>
  <c r="N112" i="6"/>
  <c r="R112" i="6"/>
  <c r="Q112" i="6" s="1"/>
  <c r="S112" i="6" s="1"/>
  <c r="T112" i="6"/>
  <c r="C113" i="6"/>
  <c r="D113" i="6"/>
  <c r="L113" i="6" s="1"/>
  <c r="E113" i="6"/>
  <c r="F113" i="6"/>
  <c r="H113" i="6"/>
  <c r="I113" i="6"/>
  <c r="N113" i="6"/>
  <c r="R113" i="6"/>
  <c r="Q113" i="6" s="1"/>
  <c r="S113" i="6" s="1"/>
  <c r="T113" i="6"/>
  <c r="C114" i="6"/>
  <c r="D114" i="6"/>
  <c r="L114" i="6" s="1"/>
  <c r="E114" i="6"/>
  <c r="F114" i="6"/>
  <c r="H114" i="6"/>
  <c r="I114" i="6"/>
  <c r="N114" i="6"/>
  <c r="R114" i="6"/>
  <c r="Q114" i="6" s="1"/>
  <c r="S114" i="6" s="1"/>
  <c r="T114" i="6"/>
  <c r="C115" i="6"/>
  <c r="D115" i="6"/>
  <c r="E115" i="6"/>
  <c r="F115" i="6"/>
  <c r="H115" i="6"/>
  <c r="I115" i="6"/>
  <c r="N115" i="6"/>
  <c r="R115" i="6"/>
  <c r="Q115" i="6" s="1"/>
  <c r="S115" i="6" s="1"/>
  <c r="T115" i="6"/>
  <c r="C116" i="6"/>
  <c r="D116" i="6"/>
  <c r="E116" i="6"/>
  <c r="F116" i="6"/>
  <c r="H116" i="6"/>
  <c r="I116" i="6"/>
  <c r="N116" i="6"/>
  <c r="R116" i="6"/>
  <c r="Q116" i="6" s="1"/>
  <c r="S116" i="6" s="1"/>
  <c r="T116" i="6"/>
  <c r="C117" i="6"/>
  <c r="D117" i="6"/>
  <c r="E117" i="6"/>
  <c r="F117" i="6"/>
  <c r="H117" i="6"/>
  <c r="I117" i="6"/>
  <c r="N117" i="6"/>
  <c r="R117" i="6"/>
  <c r="Q117" i="6" s="1"/>
  <c r="S117" i="6" s="1"/>
  <c r="T117" i="6"/>
  <c r="C118" i="6"/>
  <c r="L118" i="6" s="1"/>
  <c r="D118" i="6"/>
  <c r="E118" i="6"/>
  <c r="F118" i="6"/>
  <c r="I118" i="6"/>
  <c r="N118" i="6"/>
  <c r="R118" i="6"/>
  <c r="Q118" i="6" s="1"/>
  <c r="S118" i="6" s="1"/>
  <c r="T118" i="6"/>
  <c r="C119" i="6"/>
  <c r="D119" i="6"/>
  <c r="E119" i="6"/>
  <c r="F119" i="6"/>
  <c r="I119" i="6"/>
  <c r="L119" i="6"/>
  <c r="N119" i="6"/>
  <c r="Q119" i="6"/>
  <c r="R119" i="6"/>
  <c r="S119" i="6"/>
  <c r="T119" i="6"/>
  <c r="C120" i="6"/>
  <c r="L120" i="6" s="1"/>
  <c r="D120" i="6"/>
  <c r="E120" i="6"/>
  <c r="F120" i="6"/>
  <c r="I120" i="6"/>
  <c r="N120" i="6"/>
  <c r="R120" i="6"/>
  <c r="Q120" i="6" s="1"/>
  <c r="S120" i="6" s="1"/>
  <c r="T120" i="6"/>
  <c r="C121" i="6"/>
  <c r="D121" i="6"/>
  <c r="E121" i="6"/>
  <c r="F121" i="6"/>
  <c r="I121" i="6"/>
  <c r="L121" i="6"/>
  <c r="N121" i="6"/>
  <c r="Q121" i="6"/>
  <c r="R121" i="6"/>
  <c r="S121" i="6"/>
  <c r="T121" i="6"/>
  <c r="C122" i="6"/>
  <c r="L122" i="6" s="1"/>
  <c r="D122" i="6"/>
  <c r="E122" i="6"/>
  <c r="F122" i="6"/>
  <c r="I122" i="6"/>
  <c r="N122" i="6"/>
  <c r="R122" i="6"/>
  <c r="Q122" i="6" s="1"/>
  <c r="S122" i="6" s="1"/>
  <c r="T122" i="6"/>
  <c r="C123" i="6"/>
  <c r="D123" i="6"/>
  <c r="L123" i="6" s="1"/>
  <c r="E123" i="6"/>
  <c r="F123" i="6"/>
  <c r="H123" i="6"/>
  <c r="I123" i="6"/>
  <c r="N123" i="6"/>
  <c r="R123" i="6"/>
  <c r="Q123" i="6" s="1"/>
  <c r="S123" i="6" s="1"/>
  <c r="T123" i="6"/>
  <c r="C124" i="6"/>
  <c r="D124" i="6"/>
  <c r="L124" i="6" s="1"/>
  <c r="E124" i="6"/>
  <c r="F124" i="6"/>
  <c r="H124" i="6"/>
  <c r="I124" i="6"/>
  <c r="N124" i="6"/>
  <c r="R124" i="6"/>
  <c r="Q124" i="6" s="1"/>
  <c r="S124" i="6" s="1"/>
  <c r="T124" i="6"/>
  <c r="C125" i="6"/>
  <c r="D125" i="6"/>
  <c r="L125" i="6" s="1"/>
  <c r="E125" i="6"/>
  <c r="F125" i="6"/>
  <c r="H125" i="6"/>
  <c r="I125" i="6"/>
  <c r="N125" i="6"/>
  <c r="R125" i="6"/>
  <c r="Q125" i="6" s="1"/>
  <c r="S125" i="6" s="1"/>
  <c r="T125" i="6"/>
  <c r="C126" i="6"/>
  <c r="D126" i="6"/>
  <c r="L126" i="6" s="1"/>
  <c r="E126" i="6"/>
  <c r="F126" i="6"/>
  <c r="H126" i="6"/>
  <c r="I126" i="6"/>
  <c r="N126" i="6"/>
  <c r="R126" i="6"/>
  <c r="Q126" i="6" s="1"/>
  <c r="S126" i="6" s="1"/>
  <c r="T126" i="6"/>
  <c r="C127" i="6"/>
  <c r="D127" i="6"/>
  <c r="E127" i="6"/>
  <c r="F127" i="6"/>
  <c r="H127" i="6"/>
  <c r="I127" i="6"/>
  <c r="L127" i="6"/>
  <c r="N127" i="6"/>
  <c r="Q127" i="6"/>
  <c r="R127" i="6"/>
  <c r="S127" i="6"/>
  <c r="T127" i="6"/>
  <c r="C128" i="6"/>
  <c r="D128" i="6"/>
  <c r="E128" i="6"/>
  <c r="F128" i="6"/>
  <c r="H128" i="6"/>
  <c r="I128" i="6"/>
  <c r="L128" i="6"/>
  <c r="N128" i="6"/>
  <c r="Q128" i="6"/>
  <c r="R128" i="6"/>
  <c r="S128" i="6"/>
  <c r="T128" i="6"/>
  <c r="C129" i="6"/>
  <c r="D129" i="6"/>
  <c r="E129" i="6"/>
  <c r="F129" i="6"/>
  <c r="H129" i="6"/>
  <c r="I129" i="6"/>
  <c r="L129" i="6"/>
  <c r="N129" i="6"/>
  <c r="Q129" i="6"/>
  <c r="R129" i="6"/>
  <c r="S129" i="6"/>
  <c r="T129" i="6"/>
  <c r="C130" i="6"/>
  <c r="L130" i="6" s="1"/>
  <c r="D130" i="6"/>
  <c r="E130" i="6"/>
  <c r="F130" i="6"/>
  <c r="I130" i="6"/>
  <c r="N130" i="6"/>
  <c r="R130" i="6"/>
  <c r="Q130" i="6" s="1"/>
  <c r="S130" i="6" s="1"/>
  <c r="T130" i="6"/>
  <c r="C131" i="6"/>
  <c r="D131" i="6"/>
  <c r="E131" i="6"/>
  <c r="F131" i="6"/>
  <c r="I131" i="6"/>
  <c r="L131" i="6"/>
  <c r="N131" i="6"/>
  <c r="Q131" i="6"/>
  <c r="R131" i="6"/>
  <c r="S131" i="6"/>
  <c r="T131" i="6"/>
  <c r="C132" i="6"/>
  <c r="L132" i="6" s="1"/>
  <c r="D132" i="6"/>
  <c r="E132" i="6"/>
  <c r="F132" i="6"/>
  <c r="I132" i="6"/>
  <c r="N132" i="6"/>
  <c r="R132" i="6"/>
  <c r="Q132" i="6" s="1"/>
  <c r="S132" i="6" s="1"/>
  <c r="T132" i="6"/>
  <c r="C133" i="6"/>
  <c r="D133" i="6"/>
  <c r="E133" i="6"/>
  <c r="F133" i="6"/>
  <c r="I133" i="6"/>
  <c r="L133" i="6"/>
  <c r="N133" i="6"/>
  <c r="Q133" i="6"/>
  <c r="R133" i="6"/>
  <c r="S133" i="6"/>
  <c r="T133" i="6"/>
  <c r="C134" i="6"/>
  <c r="L134" i="6" s="1"/>
  <c r="D134" i="6"/>
  <c r="E134" i="6"/>
  <c r="F134" i="6"/>
  <c r="I134" i="6"/>
  <c r="N134" i="6"/>
  <c r="R134" i="6"/>
  <c r="Q134" i="6" s="1"/>
  <c r="S134" i="6" s="1"/>
  <c r="T134" i="6"/>
  <c r="C135" i="6"/>
  <c r="D135" i="6"/>
  <c r="E135" i="6"/>
  <c r="F135" i="6"/>
  <c r="H135" i="6"/>
  <c r="I135" i="6"/>
  <c r="L135" i="6" s="1"/>
  <c r="N135" i="6"/>
  <c r="R135" i="6"/>
  <c r="Q135" i="6" s="1"/>
  <c r="S135" i="6" s="1"/>
  <c r="T135" i="6"/>
  <c r="C136" i="6"/>
  <c r="D136" i="6"/>
  <c r="E136" i="6"/>
  <c r="F136" i="6"/>
  <c r="H136" i="6"/>
  <c r="I136" i="6"/>
  <c r="L136" i="6"/>
  <c r="N136" i="6"/>
  <c r="Q136" i="6"/>
  <c r="R136" i="6"/>
  <c r="S136" i="6"/>
  <c r="T136" i="6"/>
  <c r="C137" i="6"/>
  <c r="D137" i="6"/>
  <c r="E137" i="6"/>
  <c r="F137" i="6"/>
  <c r="H137" i="6"/>
  <c r="I137" i="6"/>
  <c r="L137" i="6"/>
  <c r="N137" i="6"/>
  <c r="Q137" i="6"/>
  <c r="R137" i="6"/>
  <c r="S137" i="6"/>
  <c r="T137" i="6"/>
  <c r="C138" i="6"/>
  <c r="D138" i="6"/>
  <c r="E138" i="6"/>
  <c r="F138" i="6"/>
  <c r="H138" i="6"/>
  <c r="I138" i="6"/>
  <c r="L138" i="6"/>
  <c r="N138" i="6"/>
  <c r="Q138" i="6"/>
  <c r="R138" i="6"/>
  <c r="S138" i="6"/>
  <c r="T138" i="6"/>
  <c r="C139" i="6"/>
  <c r="D139" i="6"/>
  <c r="E139" i="6"/>
  <c r="F139" i="6"/>
  <c r="H139" i="6"/>
  <c r="I139" i="6"/>
  <c r="L139" i="6"/>
  <c r="N139" i="6"/>
  <c r="Q139" i="6"/>
  <c r="R139" i="6"/>
  <c r="S139" i="6"/>
  <c r="T139" i="6"/>
  <c r="C140" i="6"/>
  <c r="D140" i="6"/>
  <c r="E140" i="6"/>
  <c r="F140" i="6"/>
  <c r="H140" i="6"/>
  <c r="I140" i="6"/>
  <c r="L140" i="6"/>
  <c r="N140" i="6"/>
  <c r="Q140" i="6"/>
  <c r="R140" i="6"/>
  <c r="S140" i="6"/>
  <c r="T140" i="6"/>
  <c r="C141" i="6"/>
  <c r="D141" i="6"/>
  <c r="E141" i="6"/>
  <c r="F141" i="6"/>
  <c r="H141" i="6"/>
  <c r="I141" i="6"/>
  <c r="L141" i="6"/>
  <c r="N141" i="6"/>
  <c r="Q141" i="6"/>
  <c r="R141" i="6"/>
  <c r="S141" i="6"/>
  <c r="T141" i="6"/>
  <c r="C142" i="6"/>
  <c r="L142" i="6" s="1"/>
  <c r="D142" i="6"/>
  <c r="E142" i="6"/>
  <c r="F142" i="6"/>
  <c r="I142" i="6"/>
  <c r="N142" i="6"/>
  <c r="R142" i="6"/>
  <c r="Q142" i="6" s="1"/>
  <c r="S142" i="6" s="1"/>
  <c r="T142" i="6"/>
  <c r="C143" i="6"/>
  <c r="D143" i="6"/>
  <c r="E143" i="6"/>
  <c r="F143" i="6"/>
  <c r="I143" i="6"/>
  <c r="L143" i="6"/>
  <c r="N143" i="6"/>
  <c r="Q143" i="6"/>
  <c r="R143" i="6"/>
  <c r="S143" i="6"/>
  <c r="T143" i="6"/>
  <c r="C144" i="6"/>
  <c r="L144" i="6" s="1"/>
  <c r="D144" i="6"/>
  <c r="E144" i="6"/>
  <c r="F144" i="6"/>
  <c r="I144" i="6"/>
  <c r="N144" i="6"/>
  <c r="R144" i="6"/>
  <c r="Q144" i="6" s="1"/>
  <c r="S144" i="6" s="1"/>
  <c r="T144" i="6"/>
  <c r="C145" i="6"/>
  <c r="D145" i="6"/>
  <c r="E145" i="6"/>
  <c r="F145" i="6"/>
  <c r="I145" i="6"/>
  <c r="L145" i="6"/>
  <c r="N145" i="6"/>
  <c r="Q145" i="6"/>
  <c r="R145" i="6"/>
  <c r="S145" i="6"/>
  <c r="T145" i="6"/>
  <c r="C146" i="6"/>
  <c r="L146" i="6" s="1"/>
  <c r="D146" i="6"/>
  <c r="E146" i="6"/>
  <c r="F146" i="6"/>
  <c r="I146" i="6"/>
  <c r="N146" i="6"/>
  <c r="R146" i="6"/>
  <c r="Q146" i="6" s="1"/>
  <c r="S146" i="6" s="1"/>
  <c r="T146" i="6"/>
  <c r="C147" i="6"/>
  <c r="D147" i="6"/>
  <c r="L147" i="6" s="1"/>
  <c r="E147" i="6"/>
  <c r="F147" i="6"/>
  <c r="H147" i="6"/>
  <c r="I147" i="6"/>
  <c r="N147" i="6"/>
  <c r="R147" i="6"/>
  <c r="Q147" i="6" s="1"/>
  <c r="S147" i="6" s="1"/>
  <c r="T147" i="6"/>
  <c r="C148" i="6"/>
  <c r="D148" i="6"/>
  <c r="L148" i="6" s="1"/>
  <c r="E148" i="6"/>
  <c r="F148" i="6"/>
  <c r="H148" i="6"/>
  <c r="I148" i="6"/>
  <c r="N148" i="6"/>
  <c r="R148" i="6"/>
  <c r="Q148" i="6" s="1"/>
  <c r="S148" i="6" s="1"/>
  <c r="T148" i="6"/>
  <c r="C149" i="6"/>
  <c r="D149" i="6"/>
  <c r="L149" i="6" s="1"/>
  <c r="E149" i="6"/>
  <c r="F149" i="6"/>
  <c r="H149" i="6"/>
  <c r="I149" i="6"/>
  <c r="N149" i="6"/>
  <c r="R149" i="6"/>
  <c r="Q149" i="6" s="1"/>
  <c r="S149" i="6" s="1"/>
  <c r="T149" i="6"/>
  <c r="C150" i="6"/>
  <c r="D150" i="6"/>
  <c r="L150" i="6" s="1"/>
  <c r="E150" i="6"/>
  <c r="F150" i="6"/>
  <c r="H150" i="6"/>
  <c r="I150" i="6"/>
  <c r="N150" i="6"/>
  <c r="R150" i="6"/>
  <c r="Q150" i="6" s="1"/>
  <c r="S150" i="6" s="1"/>
  <c r="T150" i="6"/>
  <c r="C151" i="6"/>
  <c r="D151" i="6"/>
  <c r="L151" i="6" s="1"/>
  <c r="E151" i="6"/>
  <c r="F151" i="6"/>
  <c r="H151" i="6"/>
  <c r="I151" i="6"/>
  <c r="N151" i="6"/>
  <c r="R151" i="6"/>
  <c r="Q151" i="6" s="1"/>
  <c r="S151" i="6" s="1"/>
  <c r="T151" i="6"/>
  <c r="C152" i="6"/>
  <c r="D152" i="6"/>
  <c r="L152" i="6" s="1"/>
  <c r="E152" i="6"/>
  <c r="F152" i="6"/>
  <c r="H152" i="6"/>
  <c r="I152" i="6"/>
  <c r="N152" i="6"/>
  <c r="R152" i="6"/>
  <c r="Q152" i="6" s="1"/>
  <c r="S152" i="6" s="1"/>
  <c r="T152" i="6"/>
  <c r="C153" i="6"/>
  <c r="D153" i="6"/>
  <c r="L153" i="6" s="1"/>
  <c r="E153" i="6"/>
  <c r="F153" i="6"/>
  <c r="H153" i="6"/>
  <c r="I153" i="6"/>
  <c r="N153" i="6"/>
  <c r="R153" i="6"/>
  <c r="Q153" i="6" s="1"/>
  <c r="S153" i="6" s="1"/>
  <c r="T153" i="6"/>
  <c r="C154" i="6"/>
  <c r="D154" i="6"/>
  <c r="E154" i="6"/>
  <c r="F154" i="6"/>
  <c r="I154" i="6"/>
  <c r="L154" i="6"/>
  <c r="N154" i="6"/>
  <c r="Q154" i="6"/>
  <c r="R154" i="6"/>
  <c r="S154" i="6"/>
  <c r="T154" i="6"/>
  <c r="C155" i="6"/>
  <c r="L155" i="6" s="1"/>
  <c r="D155" i="6"/>
  <c r="E155" i="6"/>
  <c r="F155" i="6"/>
  <c r="I155" i="6"/>
  <c r="N155" i="6"/>
  <c r="R155" i="6"/>
  <c r="Q155" i="6" s="1"/>
  <c r="S155" i="6" s="1"/>
  <c r="T155" i="6"/>
  <c r="C156" i="6"/>
  <c r="D156" i="6"/>
  <c r="E156" i="6"/>
  <c r="F156" i="6"/>
  <c r="I156" i="6"/>
  <c r="L156" i="6"/>
  <c r="N156" i="6"/>
  <c r="Q156" i="6"/>
  <c r="R156" i="6"/>
  <c r="S156" i="6"/>
  <c r="T156" i="6"/>
  <c r="C157" i="6"/>
  <c r="L157" i="6" s="1"/>
  <c r="D157" i="6"/>
  <c r="E157" i="6"/>
  <c r="F157" i="6"/>
  <c r="I157" i="6"/>
  <c r="N157" i="6"/>
  <c r="R157" i="6"/>
  <c r="Q157" i="6" s="1"/>
  <c r="S157" i="6" s="1"/>
  <c r="T157" i="6"/>
  <c r="C158" i="6"/>
  <c r="D158" i="6"/>
  <c r="E158" i="6"/>
  <c r="F158" i="6"/>
  <c r="I158" i="6"/>
  <c r="L158" i="6"/>
  <c r="N158" i="6"/>
  <c r="Q158" i="6"/>
  <c r="R158" i="6"/>
  <c r="S158" i="6"/>
  <c r="T158" i="6"/>
  <c r="C159" i="6"/>
  <c r="D159" i="6"/>
  <c r="E159" i="6"/>
  <c r="F159" i="6"/>
  <c r="H159" i="6"/>
  <c r="I159" i="6"/>
  <c r="L159" i="6"/>
  <c r="N159" i="6"/>
  <c r="Q159" i="6"/>
  <c r="R159" i="6"/>
  <c r="S159" i="6"/>
  <c r="T159" i="6"/>
  <c r="C160" i="6"/>
  <c r="D160" i="6"/>
  <c r="E160" i="6"/>
  <c r="F160" i="6"/>
  <c r="H160" i="6"/>
  <c r="I160" i="6"/>
  <c r="L160" i="6"/>
  <c r="N160" i="6"/>
  <c r="Q160" i="6"/>
  <c r="R160" i="6"/>
  <c r="S160" i="6"/>
  <c r="T160" i="6"/>
  <c r="C161" i="6"/>
  <c r="D161" i="6"/>
  <c r="E161" i="6"/>
  <c r="F161" i="6"/>
  <c r="H161" i="6"/>
  <c r="I161" i="6"/>
  <c r="L161" i="6"/>
  <c r="N161" i="6"/>
  <c r="Q161" i="6"/>
  <c r="R161" i="6"/>
  <c r="S161" i="6"/>
  <c r="T161" i="6"/>
  <c r="C162" i="6"/>
  <c r="D162" i="6"/>
  <c r="E162" i="6"/>
  <c r="F162" i="6"/>
  <c r="H162" i="6"/>
  <c r="I162" i="6"/>
  <c r="L162" i="6"/>
  <c r="N162" i="6"/>
  <c r="Q162" i="6"/>
  <c r="R162" i="6"/>
  <c r="S162" i="6"/>
  <c r="T162" i="6"/>
  <c r="C163" i="6"/>
  <c r="D163" i="6"/>
  <c r="E163" i="6"/>
  <c r="F163" i="6"/>
  <c r="H163" i="6"/>
  <c r="I163" i="6"/>
  <c r="L163" i="6"/>
  <c r="N163" i="6"/>
  <c r="Q163" i="6"/>
  <c r="R163" i="6"/>
  <c r="S163" i="6"/>
  <c r="T163" i="6"/>
  <c r="C164" i="6"/>
  <c r="D164" i="6"/>
  <c r="E164" i="6"/>
  <c r="F164" i="6"/>
  <c r="H164" i="6"/>
  <c r="I164" i="6"/>
  <c r="L164" i="6"/>
  <c r="N164" i="6"/>
  <c r="Q164" i="6"/>
  <c r="R164" i="6"/>
  <c r="S164" i="6"/>
  <c r="T164" i="6"/>
  <c r="C165" i="6"/>
  <c r="D165" i="6"/>
  <c r="E165" i="6"/>
  <c r="F165" i="6"/>
  <c r="H165" i="6"/>
  <c r="I165" i="6"/>
  <c r="L165" i="6"/>
  <c r="N165" i="6"/>
  <c r="Q165" i="6"/>
  <c r="R165" i="6"/>
  <c r="S165" i="6"/>
  <c r="T165" i="6"/>
  <c r="C166" i="6"/>
  <c r="L166" i="6" s="1"/>
  <c r="D166" i="6"/>
  <c r="E166" i="6"/>
  <c r="F166" i="6"/>
  <c r="I166" i="6"/>
  <c r="N166" i="6"/>
  <c r="R166" i="6"/>
  <c r="Q166" i="6" s="1"/>
  <c r="S166" i="6" s="1"/>
  <c r="T166" i="6"/>
  <c r="C167" i="6"/>
  <c r="D167" i="6"/>
  <c r="E167" i="6"/>
  <c r="F167" i="6"/>
  <c r="I167" i="6"/>
  <c r="L167" i="6"/>
  <c r="N167" i="6"/>
  <c r="Q167" i="6"/>
  <c r="R167" i="6"/>
  <c r="S167" i="6"/>
  <c r="T167" i="6"/>
  <c r="C168" i="6"/>
  <c r="L168" i="6" s="1"/>
  <c r="D168" i="6"/>
  <c r="E168" i="6"/>
  <c r="F168" i="6"/>
  <c r="I168" i="6"/>
  <c r="N168" i="6"/>
  <c r="R168" i="6"/>
  <c r="Q168" i="6" s="1"/>
  <c r="S168" i="6" s="1"/>
  <c r="T168" i="6"/>
  <c r="C169" i="6"/>
  <c r="D169" i="6"/>
  <c r="E169" i="6"/>
  <c r="F169" i="6"/>
  <c r="I169" i="6"/>
  <c r="L169" i="6"/>
  <c r="N169" i="6"/>
  <c r="Q169" i="6"/>
  <c r="R169" i="6"/>
  <c r="S169" i="6"/>
  <c r="T169" i="6"/>
  <c r="C170" i="6"/>
  <c r="L170" i="6" s="1"/>
  <c r="D170" i="6"/>
  <c r="E170" i="6"/>
  <c r="F170" i="6"/>
  <c r="I170" i="6"/>
  <c r="N170" i="6"/>
  <c r="R170" i="6"/>
  <c r="Q170" i="6" s="1"/>
  <c r="S170" i="6" s="1"/>
  <c r="T170" i="6"/>
  <c r="C171" i="6"/>
  <c r="D171" i="6"/>
  <c r="L171" i="6" s="1"/>
  <c r="E171" i="6"/>
  <c r="F171" i="6"/>
  <c r="H171" i="6"/>
  <c r="I171" i="6"/>
  <c r="N171" i="6"/>
  <c r="R171" i="6"/>
  <c r="Q171" i="6" s="1"/>
  <c r="S171" i="6" s="1"/>
  <c r="T171" i="6"/>
  <c r="C172" i="6"/>
  <c r="D172" i="6"/>
  <c r="L172" i="6" s="1"/>
  <c r="E172" i="6"/>
  <c r="F172" i="6"/>
  <c r="H172" i="6"/>
  <c r="I172" i="6"/>
  <c r="N172" i="6"/>
  <c r="R172" i="6"/>
  <c r="Q172" i="6" s="1"/>
  <c r="S172" i="6" s="1"/>
  <c r="T172" i="6"/>
  <c r="C173" i="6"/>
  <c r="D173" i="6"/>
  <c r="L173" i="6" s="1"/>
  <c r="E173" i="6"/>
  <c r="F173" i="6"/>
  <c r="H173" i="6"/>
  <c r="I173" i="6"/>
  <c r="N173" i="6"/>
  <c r="R173" i="6"/>
  <c r="Q173" i="6" s="1"/>
  <c r="S173" i="6" s="1"/>
  <c r="T173" i="6"/>
  <c r="C174" i="6"/>
  <c r="D174" i="6"/>
  <c r="L174" i="6" s="1"/>
  <c r="E174" i="6"/>
  <c r="F174" i="6"/>
  <c r="H174" i="6"/>
  <c r="I174" i="6"/>
  <c r="N174" i="6"/>
  <c r="R174" i="6"/>
  <c r="Q174" i="6" s="1"/>
  <c r="S174" i="6" s="1"/>
  <c r="T174" i="6"/>
  <c r="C175" i="6"/>
  <c r="D175" i="6"/>
  <c r="L175" i="6" s="1"/>
  <c r="E175" i="6"/>
  <c r="F175" i="6"/>
  <c r="H175" i="6"/>
  <c r="I175" i="6"/>
  <c r="N175" i="6"/>
  <c r="R175" i="6"/>
  <c r="Q175" i="6" s="1"/>
  <c r="S175" i="6" s="1"/>
  <c r="T175" i="6"/>
  <c r="C176" i="6"/>
  <c r="D176" i="6"/>
  <c r="L176" i="6" s="1"/>
  <c r="E176" i="6"/>
  <c r="F176" i="6"/>
  <c r="H176" i="6"/>
  <c r="I176" i="6"/>
  <c r="N176" i="6"/>
  <c r="R176" i="6"/>
  <c r="Q176" i="6" s="1"/>
  <c r="S176" i="6" s="1"/>
  <c r="T176" i="6"/>
  <c r="C177" i="6"/>
  <c r="D177" i="6"/>
  <c r="L177" i="6" s="1"/>
  <c r="E177" i="6"/>
  <c r="F177" i="6"/>
  <c r="H177" i="6"/>
  <c r="I177" i="6"/>
  <c r="N177" i="6"/>
  <c r="R177" i="6"/>
  <c r="Q177" i="6" s="1"/>
  <c r="S177" i="6" s="1"/>
  <c r="T177" i="6"/>
  <c r="C178" i="6"/>
  <c r="D178" i="6"/>
  <c r="E178" i="6"/>
  <c r="F178" i="6"/>
  <c r="I178" i="6"/>
  <c r="L178" i="6"/>
  <c r="N178" i="6"/>
  <c r="Q178" i="6"/>
  <c r="R178" i="6"/>
  <c r="S178" i="6"/>
  <c r="T178" i="6"/>
  <c r="C179" i="6"/>
  <c r="L179" i="6" s="1"/>
  <c r="D179" i="6"/>
  <c r="E179" i="6"/>
  <c r="F179" i="6"/>
  <c r="I179" i="6"/>
  <c r="N179" i="6"/>
  <c r="R179" i="6"/>
  <c r="Q179" i="6" s="1"/>
  <c r="S179" i="6" s="1"/>
  <c r="T179" i="6"/>
  <c r="C180" i="6"/>
  <c r="D180" i="6"/>
  <c r="E180" i="6"/>
  <c r="F180" i="6"/>
  <c r="I180" i="6"/>
  <c r="L180" i="6"/>
  <c r="N180" i="6"/>
  <c r="Q180" i="6"/>
  <c r="R180" i="6"/>
  <c r="S180" i="6"/>
  <c r="T180" i="6"/>
  <c r="C181" i="6"/>
  <c r="L181" i="6" s="1"/>
  <c r="D181" i="6"/>
  <c r="E181" i="6"/>
  <c r="F181" i="6"/>
  <c r="I181" i="6"/>
  <c r="N181" i="6"/>
  <c r="R181" i="6"/>
  <c r="Q181" i="6" s="1"/>
  <c r="S181" i="6" s="1"/>
  <c r="T181" i="6"/>
  <c r="C182" i="6"/>
  <c r="D182" i="6"/>
  <c r="E182" i="6"/>
  <c r="F182" i="6"/>
  <c r="I182" i="6"/>
  <c r="L182" i="6"/>
  <c r="N182" i="6"/>
  <c r="Q182" i="6"/>
  <c r="R182" i="6"/>
  <c r="S182" i="6"/>
  <c r="T182" i="6"/>
  <c r="C183" i="6"/>
  <c r="D183" i="6"/>
  <c r="E183" i="6"/>
  <c r="F183" i="6"/>
  <c r="H183" i="6"/>
  <c r="I183" i="6"/>
  <c r="L183" i="6"/>
  <c r="N183" i="6"/>
  <c r="Q183" i="6"/>
  <c r="R183" i="6"/>
  <c r="S183" i="6"/>
  <c r="T183" i="6"/>
  <c r="C184" i="6"/>
  <c r="D184" i="6"/>
  <c r="E184" i="6"/>
  <c r="F184" i="6"/>
  <c r="H184" i="6"/>
  <c r="I184" i="6"/>
  <c r="L184" i="6"/>
  <c r="N184" i="6"/>
  <c r="Q184" i="6"/>
  <c r="R184" i="6"/>
  <c r="S184" i="6"/>
  <c r="T184" i="6"/>
  <c r="C185" i="6"/>
  <c r="D185" i="6"/>
  <c r="E185" i="6"/>
  <c r="F185" i="6"/>
  <c r="H185" i="6"/>
  <c r="I185" i="6"/>
  <c r="L185" i="6"/>
  <c r="N185" i="6"/>
  <c r="Q185" i="6"/>
  <c r="R185" i="6"/>
  <c r="S185" i="6"/>
  <c r="T185" i="6"/>
  <c r="C186" i="6"/>
  <c r="D186" i="6"/>
  <c r="E186" i="6"/>
  <c r="F186" i="6"/>
  <c r="H186" i="6"/>
  <c r="I186" i="6"/>
  <c r="L186" i="6"/>
  <c r="N186" i="6"/>
  <c r="Q186" i="6"/>
  <c r="R186" i="6"/>
  <c r="S186" i="6"/>
  <c r="T186" i="6"/>
  <c r="C187" i="6"/>
  <c r="D187" i="6"/>
  <c r="E187" i="6"/>
  <c r="F187" i="6"/>
  <c r="H187" i="6"/>
  <c r="I187" i="6"/>
  <c r="L187" i="6"/>
  <c r="N187" i="6"/>
  <c r="Q187" i="6"/>
  <c r="R187" i="6"/>
  <c r="S187" i="6"/>
  <c r="T187" i="6"/>
  <c r="C188" i="6"/>
  <c r="D188" i="6"/>
  <c r="E188" i="6"/>
  <c r="F188" i="6"/>
  <c r="H188" i="6"/>
  <c r="I188" i="6"/>
  <c r="L188" i="6"/>
  <c r="N188" i="6"/>
  <c r="Q188" i="6"/>
  <c r="R188" i="6"/>
  <c r="S188" i="6"/>
  <c r="T188" i="6"/>
  <c r="C189" i="6"/>
  <c r="D189" i="6"/>
  <c r="E189" i="6"/>
  <c r="F189" i="6"/>
  <c r="H189" i="6"/>
  <c r="I189" i="6"/>
  <c r="L189" i="6"/>
  <c r="N189" i="6"/>
  <c r="Q189" i="6"/>
  <c r="R189" i="6"/>
  <c r="S189" i="6"/>
  <c r="T189" i="6"/>
  <c r="C190" i="6"/>
  <c r="L190" i="6" s="1"/>
  <c r="D190" i="6"/>
  <c r="E190" i="6"/>
  <c r="F190" i="6"/>
  <c r="I190" i="6"/>
  <c r="N190" i="6"/>
  <c r="R190" i="6"/>
  <c r="Q190" i="6" s="1"/>
  <c r="S190" i="6" s="1"/>
  <c r="T190" i="6"/>
  <c r="C191" i="6"/>
  <c r="D191" i="6"/>
  <c r="E191" i="6"/>
  <c r="F191" i="6"/>
  <c r="I191" i="6"/>
  <c r="L191" i="6"/>
  <c r="N191" i="6"/>
  <c r="Q191" i="6"/>
  <c r="R191" i="6"/>
  <c r="S191" i="6"/>
  <c r="T191" i="6"/>
  <c r="C192" i="6"/>
  <c r="L192" i="6" s="1"/>
  <c r="D192" i="6"/>
  <c r="E192" i="6"/>
  <c r="F192" i="6"/>
  <c r="I192" i="6"/>
  <c r="N192" i="6"/>
  <c r="R192" i="6"/>
  <c r="Q192" i="6" s="1"/>
  <c r="S192" i="6" s="1"/>
  <c r="T192" i="6"/>
  <c r="C193" i="6"/>
  <c r="D193" i="6"/>
  <c r="E193" i="6"/>
  <c r="F193" i="6"/>
  <c r="I193" i="6"/>
  <c r="L193" i="6"/>
  <c r="N193" i="6"/>
  <c r="Q193" i="6"/>
  <c r="R193" i="6"/>
  <c r="S193" i="6"/>
  <c r="T193" i="6"/>
  <c r="C194" i="6"/>
  <c r="L194" i="6" s="1"/>
  <c r="D194" i="6"/>
  <c r="E194" i="6"/>
  <c r="F194" i="6"/>
  <c r="I194" i="6"/>
  <c r="N194" i="6"/>
  <c r="R194" i="6"/>
  <c r="Q194" i="6" s="1"/>
  <c r="S194" i="6" s="1"/>
  <c r="T194" i="6"/>
  <c r="C195" i="6"/>
  <c r="D195" i="6"/>
  <c r="L195" i="6" s="1"/>
  <c r="E195" i="6"/>
  <c r="F195" i="6"/>
  <c r="H195" i="6"/>
  <c r="I195" i="6"/>
  <c r="N195" i="6"/>
  <c r="R195" i="6"/>
  <c r="Q195" i="6" s="1"/>
  <c r="S195" i="6" s="1"/>
  <c r="T195" i="6"/>
  <c r="C196" i="6"/>
  <c r="D196" i="6"/>
  <c r="L196" i="6" s="1"/>
  <c r="E196" i="6"/>
  <c r="F196" i="6"/>
  <c r="H196" i="6"/>
  <c r="I196" i="6"/>
  <c r="N196" i="6"/>
  <c r="R196" i="6"/>
  <c r="Q196" i="6" s="1"/>
  <c r="S196" i="6" s="1"/>
  <c r="T196" i="6"/>
  <c r="C197" i="6"/>
  <c r="D197" i="6"/>
  <c r="L197" i="6" s="1"/>
  <c r="E197" i="6"/>
  <c r="F197" i="6"/>
  <c r="H197" i="6"/>
  <c r="I197" i="6"/>
  <c r="N197" i="6"/>
  <c r="R197" i="6"/>
  <c r="Q197" i="6" s="1"/>
  <c r="S197" i="6" s="1"/>
  <c r="T197" i="6"/>
  <c r="C198" i="6"/>
  <c r="D198" i="6"/>
  <c r="L198" i="6" s="1"/>
  <c r="E198" i="6"/>
  <c r="F198" i="6"/>
  <c r="H198" i="6"/>
  <c r="I198" i="6"/>
  <c r="N198" i="6"/>
  <c r="R198" i="6"/>
  <c r="Q198" i="6" s="1"/>
  <c r="S198" i="6" s="1"/>
  <c r="T198" i="6"/>
  <c r="C199" i="6"/>
  <c r="D199" i="6"/>
  <c r="L199" i="6" s="1"/>
  <c r="E199" i="6"/>
  <c r="F199" i="6"/>
  <c r="H199" i="6"/>
  <c r="I199" i="6"/>
  <c r="N199" i="6"/>
  <c r="R199" i="6"/>
  <c r="Q199" i="6" s="1"/>
  <c r="S199" i="6" s="1"/>
  <c r="T199" i="6"/>
  <c r="C200" i="6"/>
  <c r="D200" i="6"/>
  <c r="L200" i="6" s="1"/>
  <c r="E200" i="6"/>
  <c r="F200" i="6"/>
  <c r="H200" i="6"/>
  <c r="I200" i="6"/>
  <c r="N200" i="6"/>
  <c r="R200" i="6"/>
  <c r="Q200" i="6" s="1"/>
  <c r="S200" i="6" s="1"/>
  <c r="T200" i="6"/>
  <c r="C201" i="6"/>
  <c r="D201" i="6"/>
  <c r="L201" i="6" s="1"/>
  <c r="E201" i="6"/>
  <c r="F201" i="6"/>
  <c r="H201" i="6"/>
  <c r="I201" i="6"/>
  <c r="N201" i="6"/>
  <c r="R201" i="6"/>
  <c r="Q201" i="6" s="1"/>
  <c r="S201" i="6" s="1"/>
  <c r="T201" i="6"/>
  <c r="C202" i="6"/>
  <c r="D202" i="6"/>
  <c r="E202" i="6"/>
  <c r="F202" i="6"/>
  <c r="I202" i="6"/>
  <c r="L202" i="6"/>
  <c r="N202" i="6"/>
  <c r="Q202" i="6"/>
  <c r="R202" i="6"/>
  <c r="S202" i="6"/>
  <c r="T202" i="6"/>
  <c r="C203" i="6"/>
  <c r="L203" i="6" s="1"/>
  <c r="D203" i="6"/>
  <c r="E203" i="6"/>
  <c r="F203" i="6"/>
  <c r="I203" i="6"/>
  <c r="N203" i="6"/>
  <c r="R203" i="6"/>
  <c r="Q203" i="6" s="1"/>
  <c r="S203" i="6" s="1"/>
  <c r="T203" i="6"/>
  <c r="C204" i="6"/>
  <c r="D204" i="6"/>
  <c r="E204" i="6"/>
  <c r="F204" i="6"/>
  <c r="I204" i="6"/>
  <c r="L204" i="6"/>
  <c r="N204" i="6"/>
  <c r="Q204" i="6"/>
  <c r="R204" i="6"/>
  <c r="S204" i="6"/>
  <c r="T204" i="6"/>
  <c r="C205" i="6"/>
  <c r="L205" i="6" s="1"/>
  <c r="D205" i="6"/>
  <c r="E205" i="6"/>
  <c r="F205" i="6"/>
  <c r="I205" i="6"/>
  <c r="N205" i="6"/>
  <c r="R205" i="6"/>
  <c r="Q205" i="6" s="1"/>
  <c r="S205" i="6" s="1"/>
  <c r="T205" i="6"/>
  <c r="C206" i="6"/>
  <c r="D206" i="6"/>
  <c r="E206" i="6"/>
  <c r="F206" i="6"/>
  <c r="I206" i="6"/>
  <c r="L206" i="6"/>
  <c r="N206" i="6"/>
  <c r="Q206" i="6"/>
  <c r="R206" i="6"/>
  <c r="S206" i="6"/>
  <c r="T206" i="6"/>
  <c r="C207" i="6"/>
  <c r="D207" i="6"/>
  <c r="E207" i="6"/>
  <c r="F207" i="6"/>
  <c r="H207" i="6"/>
  <c r="I207" i="6"/>
  <c r="L207" i="6"/>
  <c r="N207" i="6"/>
  <c r="Q207" i="6"/>
  <c r="R207" i="6"/>
  <c r="S207" i="6"/>
  <c r="T207" i="6"/>
  <c r="C208" i="6"/>
  <c r="D208" i="6"/>
  <c r="E208" i="6"/>
  <c r="F208" i="6"/>
  <c r="H208" i="6"/>
  <c r="I208" i="6"/>
  <c r="L208" i="6"/>
  <c r="N208" i="6"/>
  <c r="Q208" i="6"/>
  <c r="R208" i="6"/>
  <c r="S208" i="6"/>
  <c r="T208" i="6"/>
  <c r="C209" i="6"/>
  <c r="D209" i="6"/>
  <c r="E209" i="6"/>
  <c r="F209" i="6"/>
  <c r="H209" i="6"/>
  <c r="I209" i="6"/>
  <c r="L209" i="6"/>
  <c r="N209" i="6"/>
  <c r="Q209" i="6"/>
  <c r="R209" i="6"/>
  <c r="S209" i="6"/>
  <c r="T209" i="6"/>
  <c r="C210" i="6"/>
  <c r="D210" i="6"/>
  <c r="E210" i="6"/>
  <c r="F210" i="6"/>
  <c r="H210" i="6"/>
  <c r="I210" i="6"/>
  <c r="L210" i="6"/>
  <c r="N210" i="6"/>
  <c r="Q210" i="6"/>
  <c r="R210" i="6"/>
  <c r="S210" i="6"/>
  <c r="T210" i="6"/>
  <c r="C211" i="6"/>
  <c r="D211" i="6"/>
  <c r="E211" i="6"/>
  <c r="F211" i="6"/>
  <c r="H211" i="6"/>
  <c r="I211" i="6"/>
  <c r="L211" i="6"/>
  <c r="N211" i="6"/>
  <c r="Q211" i="6"/>
  <c r="R211" i="6"/>
  <c r="S211" i="6"/>
  <c r="T211" i="6"/>
  <c r="C212" i="6"/>
  <c r="D212" i="6"/>
  <c r="E212" i="6"/>
  <c r="F212" i="6"/>
  <c r="H212" i="6"/>
  <c r="I212" i="6"/>
  <c r="L212" i="6"/>
  <c r="N212" i="6"/>
  <c r="Q212" i="6"/>
  <c r="R212" i="6"/>
  <c r="S212" i="6"/>
  <c r="T212" i="6"/>
  <c r="C213" i="6"/>
  <c r="D213" i="6"/>
  <c r="E213" i="6"/>
  <c r="F213" i="6"/>
  <c r="H213" i="6"/>
  <c r="I213" i="6"/>
  <c r="L213" i="6"/>
  <c r="N213" i="6"/>
  <c r="Q213" i="6"/>
  <c r="R213" i="6"/>
  <c r="S213" i="6"/>
  <c r="T213" i="6"/>
  <c r="C214" i="6"/>
  <c r="L214" i="6" s="1"/>
  <c r="D214" i="6"/>
  <c r="E214" i="6"/>
  <c r="F214" i="6"/>
  <c r="I214" i="6"/>
  <c r="N214" i="6"/>
  <c r="R214" i="6"/>
  <c r="Q214" i="6" s="1"/>
  <c r="S214" i="6" s="1"/>
  <c r="T214" i="6"/>
  <c r="C215" i="6"/>
  <c r="D215" i="6"/>
  <c r="E215" i="6"/>
  <c r="F215" i="6"/>
  <c r="I215" i="6"/>
  <c r="L215" i="6"/>
  <c r="N215" i="6"/>
  <c r="Q215" i="6"/>
  <c r="R215" i="6"/>
  <c r="S215" i="6"/>
  <c r="T215" i="6"/>
  <c r="C216" i="6"/>
  <c r="L216" i="6" s="1"/>
  <c r="D216" i="6"/>
  <c r="E216" i="6"/>
  <c r="F216" i="6"/>
  <c r="I216" i="6"/>
  <c r="N216" i="6"/>
  <c r="R216" i="6"/>
  <c r="Q216" i="6" s="1"/>
  <c r="S216" i="6" s="1"/>
  <c r="T216" i="6"/>
  <c r="C217" i="6"/>
  <c r="D217" i="6"/>
  <c r="E217" i="6"/>
  <c r="F217" i="6"/>
  <c r="I217" i="6"/>
  <c r="L217" i="6"/>
  <c r="N217" i="6"/>
  <c r="Q217" i="6"/>
  <c r="R217" i="6"/>
  <c r="S217" i="6"/>
  <c r="T217" i="6"/>
  <c r="C218" i="6"/>
  <c r="L218" i="6" s="1"/>
  <c r="D218" i="6"/>
  <c r="E218" i="6"/>
  <c r="F218" i="6"/>
  <c r="I218" i="6"/>
  <c r="N218" i="6"/>
  <c r="R218" i="6"/>
  <c r="Q218" i="6" s="1"/>
  <c r="S218" i="6" s="1"/>
  <c r="T218" i="6"/>
  <c r="C219" i="6"/>
  <c r="D219" i="6"/>
  <c r="L219" i="6" s="1"/>
  <c r="E219" i="6"/>
  <c r="F219" i="6"/>
  <c r="H219" i="6"/>
  <c r="I219" i="6"/>
  <c r="N219" i="6"/>
  <c r="R219" i="6"/>
  <c r="Q219" i="6" s="1"/>
  <c r="S219" i="6" s="1"/>
  <c r="T219" i="6"/>
  <c r="C220" i="6"/>
  <c r="D220" i="6"/>
  <c r="L220" i="6" s="1"/>
  <c r="E220" i="6"/>
  <c r="F220" i="6"/>
  <c r="H220" i="6"/>
  <c r="I220" i="6"/>
  <c r="N220" i="6"/>
  <c r="R220" i="6"/>
  <c r="Q220" i="6" s="1"/>
  <c r="S220" i="6" s="1"/>
  <c r="T220" i="6"/>
  <c r="C221" i="6"/>
  <c r="D221" i="6"/>
  <c r="L221" i="6" s="1"/>
  <c r="E221" i="6"/>
  <c r="F221" i="6"/>
  <c r="H221" i="6"/>
  <c r="I221" i="6"/>
  <c r="N221" i="6"/>
  <c r="R221" i="6"/>
  <c r="Q221" i="6" s="1"/>
  <c r="S221" i="6" s="1"/>
  <c r="T221" i="6"/>
  <c r="C222" i="6"/>
  <c r="D222" i="6"/>
  <c r="L222" i="6" s="1"/>
  <c r="E222" i="6"/>
  <c r="F222" i="6"/>
  <c r="H222" i="6"/>
  <c r="I222" i="6"/>
  <c r="N222" i="6"/>
  <c r="R222" i="6"/>
  <c r="Q222" i="6" s="1"/>
  <c r="S222" i="6" s="1"/>
  <c r="T222" i="6"/>
  <c r="C223" i="6"/>
  <c r="D223" i="6"/>
  <c r="L223" i="6" s="1"/>
  <c r="E223" i="6"/>
  <c r="F223" i="6"/>
  <c r="H223" i="6"/>
  <c r="I223" i="6"/>
  <c r="N223" i="6"/>
  <c r="R223" i="6"/>
  <c r="Q223" i="6" s="1"/>
  <c r="S223" i="6" s="1"/>
  <c r="T223" i="6"/>
  <c r="C224" i="6"/>
  <c r="D224" i="6"/>
  <c r="L224" i="6" s="1"/>
  <c r="E224" i="6"/>
  <c r="F224" i="6"/>
  <c r="H224" i="6"/>
  <c r="I224" i="6"/>
  <c r="N224" i="6"/>
  <c r="R224" i="6"/>
  <c r="Q224" i="6" s="1"/>
  <c r="S224" i="6" s="1"/>
  <c r="T224" i="6"/>
  <c r="C225" i="6"/>
  <c r="D225" i="6"/>
  <c r="L225" i="6" s="1"/>
  <c r="E225" i="6"/>
  <c r="F225" i="6"/>
  <c r="H225" i="6"/>
  <c r="I225" i="6"/>
  <c r="N225" i="6"/>
  <c r="R225" i="6"/>
  <c r="Q225" i="6" s="1"/>
  <c r="S225" i="6" s="1"/>
  <c r="T225" i="6"/>
  <c r="C226" i="6"/>
  <c r="D226" i="6"/>
  <c r="E226" i="6"/>
  <c r="F226" i="6"/>
  <c r="I226" i="6"/>
  <c r="L226" i="6"/>
  <c r="N226" i="6"/>
  <c r="Q226" i="6"/>
  <c r="R226" i="6"/>
  <c r="S226" i="6"/>
  <c r="T226" i="6"/>
  <c r="C227" i="6"/>
  <c r="L227" i="6" s="1"/>
  <c r="D227" i="6"/>
  <c r="E227" i="6"/>
  <c r="F227" i="6"/>
  <c r="I227" i="6"/>
  <c r="N227" i="6"/>
  <c r="R227" i="6"/>
  <c r="Q227" i="6" s="1"/>
  <c r="S227" i="6" s="1"/>
  <c r="T227" i="6"/>
  <c r="C228" i="6"/>
  <c r="D228" i="6"/>
  <c r="E228" i="6"/>
  <c r="F228" i="6"/>
  <c r="I228" i="6"/>
  <c r="L228" i="6"/>
  <c r="N228" i="6"/>
  <c r="Q228" i="6"/>
  <c r="R228" i="6"/>
  <c r="S228" i="6"/>
  <c r="T228" i="6"/>
  <c r="C229" i="6"/>
  <c r="L229" i="6" s="1"/>
  <c r="D229" i="6"/>
  <c r="E229" i="6"/>
  <c r="F229" i="6"/>
  <c r="I229" i="6"/>
  <c r="N229" i="6"/>
  <c r="R229" i="6"/>
  <c r="Q229" i="6" s="1"/>
  <c r="S229" i="6" s="1"/>
  <c r="T229" i="6"/>
  <c r="C230" i="6"/>
  <c r="D230" i="6"/>
  <c r="E230" i="6"/>
  <c r="F230" i="6"/>
  <c r="I230" i="6"/>
  <c r="L230" i="6"/>
  <c r="N230" i="6"/>
  <c r="Q230" i="6"/>
  <c r="R230" i="6"/>
  <c r="S230" i="6"/>
  <c r="T230" i="6"/>
  <c r="C231" i="6"/>
  <c r="D231" i="6"/>
  <c r="E231" i="6"/>
  <c r="F231" i="6"/>
  <c r="H231" i="6"/>
  <c r="I231" i="6"/>
  <c r="L231" i="6"/>
  <c r="N231" i="6"/>
  <c r="Q231" i="6"/>
  <c r="R231" i="6"/>
  <c r="S231" i="6"/>
  <c r="T231" i="6"/>
  <c r="C232" i="6"/>
  <c r="D232" i="6"/>
  <c r="E232" i="6"/>
  <c r="F232" i="6"/>
  <c r="H232" i="6"/>
  <c r="I232" i="6"/>
  <c r="L232" i="6"/>
  <c r="N232" i="6"/>
  <c r="Q232" i="6"/>
  <c r="R232" i="6"/>
  <c r="S232" i="6"/>
  <c r="T232" i="6"/>
  <c r="C233" i="6"/>
  <c r="D233" i="6"/>
  <c r="E233" i="6"/>
  <c r="F233" i="6"/>
  <c r="H233" i="6"/>
  <c r="I233" i="6"/>
  <c r="L233" i="6"/>
  <c r="N233" i="6"/>
  <c r="Q233" i="6"/>
  <c r="R233" i="6"/>
  <c r="S233" i="6"/>
  <c r="T233" i="6"/>
  <c r="C234" i="6"/>
  <c r="D234" i="6"/>
  <c r="E234" i="6"/>
  <c r="F234" i="6"/>
  <c r="H234" i="6"/>
  <c r="I234" i="6"/>
  <c r="L234" i="6"/>
  <c r="N234" i="6"/>
  <c r="Q234" i="6"/>
  <c r="R234" i="6"/>
  <c r="S234" i="6"/>
  <c r="T234" i="6"/>
  <c r="C235" i="6"/>
  <c r="D235" i="6"/>
  <c r="E235" i="6"/>
  <c r="F235" i="6"/>
  <c r="H235" i="6"/>
  <c r="I235" i="6"/>
  <c r="L235" i="6"/>
  <c r="N235" i="6"/>
  <c r="Q235" i="6"/>
  <c r="R235" i="6"/>
  <c r="S235" i="6"/>
  <c r="T235" i="6"/>
  <c r="C236" i="6"/>
  <c r="D236" i="6"/>
  <c r="E236" i="6"/>
  <c r="F236" i="6"/>
  <c r="H236" i="6"/>
  <c r="I236" i="6"/>
  <c r="L236" i="6"/>
  <c r="N236" i="6"/>
  <c r="Q236" i="6"/>
  <c r="R236" i="6"/>
  <c r="S236" i="6"/>
  <c r="T236" i="6"/>
  <c r="C237" i="6"/>
  <c r="D237" i="6"/>
  <c r="E237" i="6"/>
  <c r="F237" i="6"/>
  <c r="H237" i="6"/>
  <c r="I237" i="6"/>
  <c r="L237" i="6"/>
  <c r="N237" i="6"/>
  <c r="Q237" i="6"/>
  <c r="R237" i="6"/>
  <c r="S237" i="6"/>
  <c r="T237" i="6"/>
  <c r="C238" i="6"/>
  <c r="D238" i="6"/>
  <c r="E238" i="6"/>
  <c r="F238" i="6"/>
  <c r="I238" i="6"/>
  <c r="N238" i="6"/>
  <c r="R238" i="6"/>
  <c r="Q238" i="6" s="1"/>
  <c r="S238" i="6" s="1"/>
  <c r="T238" i="6"/>
  <c r="C239" i="6"/>
  <c r="D239" i="6"/>
  <c r="E239" i="6"/>
  <c r="F239" i="6"/>
  <c r="I239" i="6"/>
  <c r="L239" i="6"/>
  <c r="N239" i="6"/>
  <c r="Q239" i="6"/>
  <c r="R239" i="6"/>
  <c r="S239" i="6"/>
  <c r="T239" i="6"/>
  <c r="C240" i="6"/>
  <c r="D240" i="6"/>
  <c r="E240" i="6"/>
  <c r="F240" i="6"/>
  <c r="I240" i="6"/>
  <c r="N240" i="6"/>
  <c r="R240" i="6"/>
  <c r="Q240" i="6" s="1"/>
  <c r="S240" i="6" s="1"/>
  <c r="T240" i="6"/>
  <c r="C241" i="6"/>
  <c r="D241" i="6"/>
  <c r="E241" i="6"/>
  <c r="F241" i="6"/>
  <c r="I241" i="6"/>
  <c r="L241" i="6"/>
  <c r="N241" i="6"/>
  <c r="Q241" i="6"/>
  <c r="R241" i="6"/>
  <c r="S241" i="6"/>
  <c r="T241" i="6"/>
  <c r="C242" i="6"/>
  <c r="L242" i="6" s="1"/>
  <c r="D242" i="6"/>
  <c r="E242" i="6"/>
  <c r="F242" i="6"/>
  <c r="I242" i="6"/>
  <c r="N242" i="6"/>
  <c r="R242" i="6"/>
  <c r="Q242" i="6" s="1"/>
  <c r="S242" i="6" s="1"/>
  <c r="T242" i="6"/>
  <c r="C243" i="6"/>
  <c r="D243" i="6"/>
  <c r="L243" i="6" s="1"/>
  <c r="E243" i="6"/>
  <c r="F243" i="6"/>
  <c r="H243" i="6"/>
  <c r="I243" i="6"/>
  <c r="N243" i="6"/>
  <c r="R243" i="6"/>
  <c r="Q243" i="6" s="1"/>
  <c r="S243" i="6" s="1"/>
  <c r="T243" i="6"/>
  <c r="C244" i="6"/>
  <c r="D244" i="6"/>
  <c r="L244" i="6" s="1"/>
  <c r="E244" i="6"/>
  <c r="F244" i="6"/>
  <c r="H244" i="6"/>
  <c r="I244" i="6"/>
  <c r="N244" i="6"/>
  <c r="R244" i="6"/>
  <c r="Q244" i="6" s="1"/>
  <c r="S244" i="6" s="1"/>
  <c r="T244" i="6"/>
  <c r="C245" i="6"/>
  <c r="D245" i="6"/>
  <c r="L245" i="6" s="1"/>
  <c r="E245" i="6"/>
  <c r="F245" i="6"/>
  <c r="H245" i="6"/>
  <c r="I245" i="6"/>
  <c r="N245" i="6"/>
  <c r="R245" i="6"/>
  <c r="Q245" i="6" s="1"/>
  <c r="S245" i="6" s="1"/>
  <c r="T245" i="6"/>
  <c r="C246" i="6"/>
  <c r="D246" i="6"/>
  <c r="L246" i="6" s="1"/>
  <c r="E246" i="6"/>
  <c r="F246" i="6"/>
  <c r="H246" i="6"/>
  <c r="I246" i="6"/>
  <c r="N246" i="6"/>
  <c r="R246" i="6"/>
  <c r="Q246" i="6" s="1"/>
  <c r="S246" i="6" s="1"/>
  <c r="T246" i="6"/>
  <c r="C247" i="6"/>
  <c r="D247" i="6"/>
  <c r="L247" i="6" s="1"/>
  <c r="E247" i="6"/>
  <c r="F247" i="6"/>
  <c r="H247" i="6"/>
  <c r="I247" i="6"/>
  <c r="N247" i="6"/>
  <c r="R247" i="6"/>
  <c r="Q247" i="6" s="1"/>
  <c r="S247" i="6" s="1"/>
  <c r="T247" i="6"/>
  <c r="C248" i="6"/>
  <c r="D248" i="6"/>
  <c r="L248" i="6" s="1"/>
  <c r="E248" i="6"/>
  <c r="F248" i="6"/>
  <c r="H248" i="6"/>
  <c r="I248" i="6"/>
  <c r="N248" i="6"/>
  <c r="R248" i="6"/>
  <c r="Q248" i="6" s="1"/>
  <c r="S248" i="6" s="1"/>
  <c r="T248" i="6"/>
  <c r="C249" i="6"/>
  <c r="D249" i="6"/>
  <c r="L249" i="6" s="1"/>
  <c r="E249" i="6"/>
  <c r="F249" i="6"/>
  <c r="H249" i="6"/>
  <c r="I249" i="6"/>
  <c r="N249" i="6"/>
  <c r="R249" i="6"/>
  <c r="Q249" i="6" s="1"/>
  <c r="S249" i="6" s="1"/>
  <c r="T249" i="6"/>
  <c r="C250" i="6"/>
  <c r="D250" i="6"/>
  <c r="E250" i="6"/>
  <c r="F250" i="6"/>
  <c r="I250" i="6"/>
  <c r="L250" i="6"/>
  <c r="N250" i="6"/>
  <c r="Q250" i="6"/>
  <c r="R250" i="6"/>
  <c r="S250" i="6"/>
  <c r="T250" i="6"/>
  <c r="C251" i="6"/>
  <c r="L251" i="6" s="1"/>
  <c r="D251" i="6"/>
  <c r="E251" i="6"/>
  <c r="F251" i="6"/>
  <c r="I251" i="6"/>
  <c r="N251" i="6"/>
  <c r="R251" i="6"/>
  <c r="Q251" i="6" s="1"/>
  <c r="S251" i="6" s="1"/>
  <c r="T251" i="6"/>
  <c r="C252" i="6"/>
  <c r="D252" i="6"/>
  <c r="E252" i="6"/>
  <c r="F252" i="6"/>
  <c r="I252" i="6"/>
  <c r="L252" i="6"/>
  <c r="N252" i="6"/>
  <c r="Q252" i="6"/>
  <c r="R252" i="6"/>
  <c r="S252" i="6"/>
  <c r="T252" i="6"/>
  <c r="C253" i="6"/>
  <c r="L253" i="6" s="1"/>
  <c r="D253" i="6"/>
  <c r="E253" i="6"/>
  <c r="F253" i="6"/>
  <c r="I253" i="6"/>
  <c r="N253" i="6"/>
  <c r="R253" i="6"/>
  <c r="Q253" i="6" s="1"/>
  <c r="S253" i="6" s="1"/>
  <c r="T253" i="6"/>
  <c r="C254" i="6"/>
  <c r="D254" i="6"/>
  <c r="E254" i="6"/>
  <c r="F254" i="6"/>
  <c r="I254" i="6"/>
  <c r="L254" i="6"/>
  <c r="N254" i="6"/>
  <c r="Q254" i="6"/>
  <c r="R254" i="6"/>
  <c r="S254" i="6"/>
  <c r="T254" i="6"/>
  <c r="C255" i="6"/>
  <c r="D255" i="6"/>
  <c r="E255" i="6"/>
  <c r="F255" i="6"/>
  <c r="H255" i="6"/>
  <c r="I255" i="6"/>
  <c r="L255" i="6"/>
  <c r="N255" i="6"/>
  <c r="Q255" i="6"/>
  <c r="R255" i="6"/>
  <c r="S255" i="6"/>
  <c r="T255" i="6"/>
  <c r="C256" i="6"/>
  <c r="D256" i="6"/>
  <c r="E256" i="6"/>
  <c r="F256" i="6"/>
  <c r="H256" i="6"/>
  <c r="I256" i="6"/>
  <c r="L256" i="6"/>
  <c r="N256" i="6"/>
  <c r="Q256" i="6"/>
  <c r="R256" i="6"/>
  <c r="S256" i="6"/>
  <c r="T256" i="6"/>
  <c r="C257" i="6"/>
  <c r="D257" i="6"/>
  <c r="E257" i="6"/>
  <c r="F257" i="6"/>
  <c r="H257" i="6"/>
  <c r="I257" i="6"/>
  <c r="L257" i="6"/>
  <c r="N257" i="6"/>
  <c r="Q257" i="6"/>
  <c r="R257" i="6"/>
  <c r="S257" i="6"/>
  <c r="T257" i="6"/>
  <c r="C258" i="6"/>
  <c r="D258" i="6"/>
  <c r="E258" i="6"/>
  <c r="F258" i="6"/>
  <c r="H258" i="6"/>
  <c r="I258" i="6"/>
  <c r="L258" i="6"/>
  <c r="N258" i="6"/>
  <c r="Q258" i="6"/>
  <c r="R258" i="6"/>
  <c r="S258" i="6"/>
  <c r="T258" i="6"/>
  <c r="C259" i="6"/>
  <c r="D259" i="6"/>
  <c r="E259" i="6"/>
  <c r="F259" i="6"/>
  <c r="H259" i="6"/>
  <c r="I259" i="6"/>
  <c r="L259" i="6"/>
  <c r="N259" i="6"/>
  <c r="Q259" i="6"/>
  <c r="R259" i="6"/>
  <c r="S259" i="6"/>
  <c r="T259" i="6"/>
  <c r="C260" i="6"/>
  <c r="D260" i="6"/>
  <c r="E260" i="6"/>
  <c r="F260" i="6"/>
  <c r="H260" i="6"/>
  <c r="I260" i="6"/>
  <c r="L260" i="6"/>
  <c r="N260" i="6"/>
  <c r="Q260" i="6"/>
  <c r="R260" i="6"/>
  <c r="S260" i="6"/>
  <c r="T260" i="6"/>
  <c r="C261" i="6"/>
  <c r="D261" i="6"/>
  <c r="E261" i="6"/>
  <c r="F261" i="6"/>
  <c r="H261" i="6"/>
  <c r="I261" i="6"/>
  <c r="L261" i="6"/>
  <c r="N261" i="6"/>
  <c r="Q261" i="6"/>
  <c r="R261" i="6"/>
  <c r="S261" i="6"/>
  <c r="T261" i="6"/>
  <c r="C262" i="6"/>
  <c r="L262" i="6" s="1"/>
  <c r="D262" i="6"/>
  <c r="E262" i="6"/>
  <c r="F262" i="6"/>
  <c r="I262" i="6"/>
  <c r="N262" i="6"/>
  <c r="R262" i="6"/>
  <c r="Q262" i="6" s="1"/>
  <c r="S262" i="6" s="1"/>
  <c r="T262" i="6"/>
  <c r="C263" i="6"/>
  <c r="D263" i="6"/>
  <c r="E263" i="6"/>
  <c r="F263" i="6"/>
  <c r="I263" i="6"/>
  <c r="L263" i="6"/>
  <c r="N263" i="6"/>
  <c r="Q263" i="6"/>
  <c r="R263" i="6"/>
  <c r="S263" i="6"/>
  <c r="T263" i="6"/>
  <c r="C264" i="6"/>
  <c r="L264" i="6" s="1"/>
  <c r="D264" i="6"/>
  <c r="E264" i="6"/>
  <c r="F264" i="6"/>
  <c r="I264" i="6"/>
  <c r="N264" i="6"/>
  <c r="R264" i="6"/>
  <c r="Q264" i="6" s="1"/>
  <c r="S264" i="6" s="1"/>
  <c r="T264" i="6"/>
  <c r="C265" i="6"/>
  <c r="D265" i="6"/>
  <c r="E265" i="6"/>
  <c r="F265" i="6"/>
  <c r="I265" i="6"/>
  <c r="L265" i="6"/>
  <c r="N265" i="6"/>
  <c r="Q265" i="6"/>
  <c r="R265" i="6"/>
  <c r="S265" i="6"/>
  <c r="T265" i="6"/>
  <c r="C266" i="6"/>
  <c r="L266" i="6" s="1"/>
  <c r="D266" i="6"/>
  <c r="E266" i="6"/>
  <c r="F266" i="6"/>
  <c r="I266" i="6"/>
  <c r="N266" i="6"/>
  <c r="R266" i="6"/>
  <c r="Q266" i="6" s="1"/>
  <c r="S266" i="6" s="1"/>
  <c r="T266" i="6"/>
  <c r="C267" i="6"/>
  <c r="D267" i="6"/>
  <c r="L267" i="6" s="1"/>
  <c r="E267" i="6"/>
  <c r="F267" i="6"/>
  <c r="H267" i="6"/>
  <c r="I267" i="6"/>
  <c r="N267" i="6"/>
  <c r="R267" i="6"/>
  <c r="Q267" i="6" s="1"/>
  <c r="S267" i="6" s="1"/>
  <c r="T267" i="6"/>
  <c r="C268" i="6"/>
  <c r="D268" i="6"/>
  <c r="L268" i="6" s="1"/>
  <c r="E268" i="6"/>
  <c r="F268" i="6"/>
  <c r="H268" i="6"/>
  <c r="I268" i="6"/>
  <c r="N268" i="6"/>
  <c r="R268" i="6"/>
  <c r="Q268" i="6" s="1"/>
  <c r="S268" i="6" s="1"/>
  <c r="T268" i="6"/>
  <c r="C269" i="6"/>
  <c r="D269" i="6"/>
  <c r="L269" i="6" s="1"/>
  <c r="E269" i="6"/>
  <c r="F269" i="6"/>
  <c r="H269" i="6"/>
  <c r="I269" i="6"/>
  <c r="N269" i="6"/>
  <c r="R269" i="6"/>
  <c r="Q269" i="6" s="1"/>
  <c r="S269" i="6" s="1"/>
  <c r="T269" i="6"/>
  <c r="C270" i="6"/>
  <c r="D270" i="6"/>
  <c r="L270" i="6" s="1"/>
  <c r="E270" i="6"/>
  <c r="F270" i="6"/>
  <c r="H270" i="6"/>
  <c r="I270" i="6"/>
  <c r="N270" i="6"/>
  <c r="R270" i="6"/>
  <c r="Q270" i="6" s="1"/>
  <c r="S270" i="6" s="1"/>
  <c r="T270" i="6"/>
  <c r="C271" i="6"/>
  <c r="D271" i="6"/>
  <c r="L271" i="6" s="1"/>
  <c r="E271" i="6"/>
  <c r="F271" i="6"/>
  <c r="H271" i="6"/>
  <c r="I271" i="6"/>
  <c r="N271" i="6"/>
  <c r="R271" i="6"/>
  <c r="Q271" i="6" s="1"/>
  <c r="S271" i="6" s="1"/>
  <c r="T271" i="6"/>
  <c r="C272" i="6"/>
  <c r="D272" i="6"/>
  <c r="L272" i="6" s="1"/>
  <c r="E272" i="6"/>
  <c r="F272" i="6"/>
  <c r="H272" i="6"/>
  <c r="I272" i="6"/>
  <c r="N272" i="6"/>
  <c r="R272" i="6"/>
  <c r="Q272" i="6" s="1"/>
  <c r="S272" i="6" s="1"/>
  <c r="T272" i="6"/>
  <c r="C273" i="6"/>
  <c r="D273" i="6"/>
  <c r="L273" i="6" s="1"/>
  <c r="E273" i="6"/>
  <c r="F273" i="6"/>
  <c r="H273" i="6"/>
  <c r="I273" i="6"/>
  <c r="N273" i="6"/>
  <c r="R273" i="6"/>
  <c r="Q273" i="6" s="1"/>
  <c r="S273" i="6" s="1"/>
  <c r="T273" i="6"/>
  <c r="C274" i="6"/>
  <c r="D274" i="6"/>
  <c r="E274" i="6"/>
  <c r="F274" i="6"/>
  <c r="I274" i="6"/>
  <c r="L274" i="6"/>
  <c r="N274" i="6"/>
  <c r="Q274" i="6"/>
  <c r="R274" i="6"/>
  <c r="S274" i="6"/>
  <c r="T274" i="6"/>
  <c r="C275" i="6"/>
  <c r="L275" i="6" s="1"/>
  <c r="D275" i="6"/>
  <c r="E275" i="6"/>
  <c r="F275" i="6"/>
  <c r="I275" i="6"/>
  <c r="N275" i="6"/>
  <c r="R275" i="6"/>
  <c r="Q275" i="6" s="1"/>
  <c r="S275" i="6" s="1"/>
  <c r="T275" i="6"/>
  <c r="C276" i="6"/>
  <c r="D276" i="6"/>
  <c r="E276" i="6"/>
  <c r="F276" i="6"/>
  <c r="I276" i="6"/>
  <c r="L276" i="6"/>
  <c r="N276" i="6"/>
  <c r="Q276" i="6"/>
  <c r="R276" i="6"/>
  <c r="S276" i="6"/>
  <c r="T276" i="6"/>
  <c r="C277" i="6"/>
  <c r="L277" i="6" s="1"/>
  <c r="D277" i="6"/>
  <c r="E277" i="6"/>
  <c r="F277" i="6"/>
  <c r="I277" i="6"/>
  <c r="N277" i="6"/>
  <c r="R277" i="6"/>
  <c r="Q277" i="6" s="1"/>
  <c r="S277" i="6" s="1"/>
  <c r="T277" i="6"/>
  <c r="C278" i="6"/>
  <c r="D278" i="6"/>
  <c r="E278" i="6"/>
  <c r="F278" i="6"/>
  <c r="I278" i="6"/>
  <c r="L278" i="6"/>
  <c r="N278" i="6"/>
  <c r="Q278" i="6"/>
  <c r="R278" i="6"/>
  <c r="S278" i="6"/>
  <c r="T278" i="6"/>
  <c r="C279" i="6"/>
  <c r="D279" i="6"/>
  <c r="E279" i="6"/>
  <c r="F279" i="6"/>
  <c r="H279" i="6"/>
  <c r="I279" i="6"/>
  <c r="L279" i="6"/>
  <c r="N279" i="6"/>
  <c r="Q279" i="6"/>
  <c r="R279" i="6"/>
  <c r="S279" i="6"/>
  <c r="T279" i="6"/>
  <c r="C280" i="6"/>
  <c r="D280" i="6"/>
  <c r="E280" i="6"/>
  <c r="F280" i="6"/>
  <c r="H280" i="6"/>
  <c r="I280" i="6"/>
  <c r="L280" i="6"/>
  <c r="N280" i="6"/>
  <c r="Q280" i="6"/>
  <c r="R280" i="6"/>
  <c r="S280" i="6"/>
  <c r="T280" i="6"/>
  <c r="C281" i="6"/>
  <c r="D281" i="6"/>
  <c r="E281" i="6"/>
  <c r="F281" i="6"/>
  <c r="H281" i="6"/>
  <c r="I281" i="6"/>
  <c r="L281" i="6"/>
  <c r="N281" i="6"/>
  <c r="Q281" i="6"/>
  <c r="R281" i="6"/>
  <c r="S281" i="6"/>
  <c r="T281" i="6"/>
  <c r="C282" i="6"/>
  <c r="D282" i="6"/>
  <c r="E282" i="6"/>
  <c r="F282" i="6"/>
  <c r="H282" i="6"/>
  <c r="I282" i="6"/>
  <c r="L282" i="6"/>
  <c r="N282" i="6"/>
  <c r="Q282" i="6"/>
  <c r="R282" i="6"/>
  <c r="S282" i="6"/>
  <c r="T282" i="6"/>
  <c r="C283" i="6"/>
  <c r="D283" i="6"/>
  <c r="E283" i="6"/>
  <c r="F283" i="6"/>
  <c r="H283" i="6"/>
  <c r="I283" i="6"/>
  <c r="L283" i="6"/>
  <c r="N283" i="6"/>
  <c r="Q283" i="6"/>
  <c r="R283" i="6"/>
  <c r="S283" i="6"/>
  <c r="T283" i="6"/>
  <c r="C284" i="6"/>
  <c r="D284" i="6"/>
  <c r="E284" i="6"/>
  <c r="F284" i="6"/>
  <c r="H284" i="6"/>
  <c r="I284" i="6"/>
  <c r="L284" i="6"/>
  <c r="N284" i="6"/>
  <c r="Q284" i="6"/>
  <c r="R284" i="6"/>
  <c r="S284" i="6"/>
  <c r="T284" i="6"/>
  <c r="C285" i="6"/>
  <c r="D285" i="6"/>
  <c r="E285" i="6"/>
  <c r="F285" i="6"/>
  <c r="H285" i="6"/>
  <c r="I285" i="6"/>
  <c r="L285" i="6"/>
  <c r="N285" i="6"/>
  <c r="Q285" i="6"/>
  <c r="R285" i="6"/>
  <c r="S285" i="6"/>
  <c r="T285" i="6"/>
  <c r="C286" i="6"/>
  <c r="L286" i="6" s="1"/>
  <c r="D286" i="6"/>
  <c r="E286" i="6"/>
  <c r="F286" i="6"/>
  <c r="I286" i="6"/>
  <c r="N286" i="6"/>
  <c r="R286" i="6"/>
  <c r="Q286" i="6" s="1"/>
  <c r="S286" i="6" s="1"/>
  <c r="T286" i="6"/>
  <c r="C287" i="6"/>
  <c r="D287" i="6"/>
  <c r="E287" i="6"/>
  <c r="F287" i="6"/>
  <c r="I287" i="6"/>
  <c r="L287" i="6"/>
  <c r="N287" i="6"/>
  <c r="Q287" i="6"/>
  <c r="R287" i="6"/>
  <c r="S287" i="6"/>
  <c r="T287" i="6"/>
  <c r="C288" i="6"/>
  <c r="L288" i="6" s="1"/>
  <c r="D288" i="6"/>
  <c r="E288" i="6"/>
  <c r="F288" i="6"/>
  <c r="I288" i="6"/>
  <c r="N288" i="6"/>
  <c r="R288" i="6"/>
  <c r="Q288" i="6" s="1"/>
  <c r="S288" i="6" s="1"/>
  <c r="T288" i="6"/>
  <c r="C289" i="6"/>
  <c r="D289" i="6"/>
  <c r="E289" i="6"/>
  <c r="F289" i="6"/>
  <c r="I289" i="6"/>
  <c r="L289" i="6"/>
  <c r="N289" i="6"/>
  <c r="Q289" i="6"/>
  <c r="R289" i="6"/>
  <c r="S289" i="6"/>
  <c r="T289" i="6"/>
  <c r="C290" i="6"/>
  <c r="L290" i="6" s="1"/>
  <c r="D290" i="6"/>
  <c r="E290" i="6"/>
  <c r="F290" i="6"/>
  <c r="I290" i="6"/>
  <c r="N290" i="6"/>
  <c r="R290" i="6"/>
  <c r="Q290" i="6" s="1"/>
  <c r="S290" i="6" s="1"/>
  <c r="T290" i="6"/>
  <c r="C291" i="6"/>
  <c r="D291" i="6"/>
  <c r="L291" i="6" s="1"/>
  <c r="E291" i="6"/>
  <c r="F291" i="6"/>
  <c r="H291" i="6"/>
  <c r="I291" i="6"/>
  <c r="N291" i="6"/>
  <c r="R291" i="6"/>
  <c r="Q291" i="6" s="1"/>
  <c r="S291" i="6" s="1"/>
  <c r="T291" i="6"/>
  <c r="C292" i="6"/>
  <c r="D292" i="6"/>
  <c r="L292" i="6" s="1"/>
  <c r="E292" i="6"/>
  <c r="F292" i="6"/>
  <c r="H292" i="6"/>
  <c r="I292" i="6"/>
  <c r="N292" i="6"/>
  <c r="R292" i="6"/>
  <c r="Q292" i="6" s="1"/>
  <c r="S292" i="6" s="1"/>
  <c r="T292" i="6"/>
  <c r="C293" i="6"/>
  <c r="D293" i="6"/>
  <c r="L293" i="6" s="1"/>
  <c r="E293" i="6"/>
  <c r="F293" i="6"/>
  <c r="H293" i="6"/>
  <c r="I293" i="6"/>
  <c r="N293" i="6"/>
  <c r="R293" i="6"/>
  <c r="Q293" i="6" s="1"/>
  <c r="S293" i="6" s="1"/>
  <c r="T293" i="6"/>
  <c r="C294" i="6"/>
  <c r="D294" i="6"/>
  <c r="L294" i="6" s="1"/>
  <c r="E294" i="6"/>
  <c r="F294" i="6"/>
  <c r="H294" i="6"/>
  <c r="I294" i="6"/>
  <c r="N294" i="6"/>
  <c r="R294" i="6"/>
  <c r="Q294" i="6" s="1"/>
  <c r="S294" i="6" s="1"/>
  <c r="T294" i="6"/>
  <c r="C295" i="6"/>
  <c r="D295" i="6"/>
  <c r="L295" i="6" s="1"/>
  <c r="E295" i="6"/>
  <c r="F295" i="6"/>
  <c r="H295" i="6"/>
  <c r="I295" i="6"/>
  <c r="N295" i="6"/>
  <c r="R295" i="6"/>
  <c r="Q295" i="6" s="1"/>
  <c r="S295" i="6" s="1"/>
  <c r="T295" i="6"/>
  <c r="C296" i="6"/>
  <c r="D296" i="6"/>
  <c r="L296" i="6" s="1"/>
  <c r="E296" i="6"/>
  <c r="F296" i="6"/>
  <c r="H296" i="6"/>
  <c r="I296" i="6"/>
  <c r="N296" i="6"/>
  <c r="R296" i="6"/>
  <c r="Q296" i="6" s="1"/>
  <c r="S296" i="6" s="1"/>
  <c r="T296" i="6"/>
  <c r="C297" i="6"/>
  <c r="D297" i="6"/>
  <c r="L297" i="6" s="1"/>
  <c r="E297" i="6"/>
  <c r="F297" i="6"/>
  <c r="H297" i="6"/>
  <c r="I297" i="6"/>
  <c r="N297" i="6"/>
  <c r="R297" i="6"/>
  <c r="Q297" i="6" s="1"/>
  <c r="S297" i="6" s="1"/>
  <c r="T297" i="6"/>
  <c r="C298" i="6"/>
  <c r="D298" i="6"/>
  <c r="E298" i="6"/>
  <c r="F298" i="6"/>
  <c r="I298" i="6"/>
  <c r="L298" i="6"/>
  <c r="N298" i="6"/>
  <c r="Q298" i="6"/>
  <c r="R298" i="6"/>
  <c r="S298" i="6"/>
  <c r="T298" i="6"/>
  <c r="C299" i="6"/>
  <c r="L299" i="6" s="1"/>
  <c r="D299" i="6"/>
  <c r="E299" i="6"/>
  <c r="F299" i="6"/>
  <c r="I299" i="6"/>
  <c r="N299" i="6"/>
  <c r="R299" i="6"/>
  <c r="Q299" i="6" s="1"/>
  <c r="S299" i="6" s="1"/>
  <c r="T299" i="6"/>
  <c r="C300" i="6"/>
  <c r="D300" i="6"/>
  <c r="E300" i="6"/>
  <c r="F300" i="6"/>
  <c r="I300" i="6"/>
  <c r="L300" i="6"/>
  <c r="N300" i="6"/>
  <c r="Q300" i="6"/>
  <c r="R300" i="6"/>
  <c r="S300" i="6"/>
  <c r="T300" i="6"/>
  <c r="C301" i="6"/>
  <c r="L301" i="6" s="1"/>
  <c r="D301" i="6"/>
  <c r="E301" i="6"/>
  <c r="F301" i="6"/>
  <c r="I301" i="6"/>
  <c r="N301" i="6"/>
  <c r="R301" i="6"/>
  <c r="Q301" i="6" s="1"/>
  <c r="S301" i="6" s="1"/>
  <c r="T301" i="6"/>
  <c r="C302" i="6"/>
  <c r="D302" i="6"/>
  <c r="E302" i="6"/>
  <c r="F302" i="6"/>
  <c r="I302" i="6"/>
  <c r="L302" i="6"/>
  <c r="N302" i="6"/>
  <c r="Q302" i="6"/>
  <c r="R302" i="6"/>
  <c r="S302" i="6"/>
  <c r="T302" i="6"/>
  <c r="C303" i="6"/>
  <c r="D303" i="6"/>
  <c r="E303" i="6"/>
  <c r="F303" i="6"/>
  <c r="H303" i="6"/>
  <c r="I303" i="6"/>
  <c r="L303" i="6"/>
  <c r="N303" i="6"/>
  <c r="Q303" i="6"/>
  <c r="R303" i="6"/>
  <c r="S303" i="6"/>
  <c r="T303" i="6"/>
  <c r="C304" i="6"/>
  <c r="D304" i="6"/>
  <c r="E304" i="6"/>
  <c r="F304" i="6"/>
  <c r="H304" i="6"/>
  <c r="I304" i="6"/>
  <c r="L304" i="6"/>
  <c r="N304" i="6"/>
  <c r="Q304" i="6"/>
  <c r="R304" i="6"/>
  <c r="S304" i="6"/>
  <c r="T304" i="6"/>
  <c r="C305" i="6"/>
  <c r="D305" i="6"/>
  <c r="E305" i="6"/>
  <c r="F305" i="6"/>
  <c r="H305" i="6"/>
  <c r="I305" i="6"/>
  <c r="L305" i="6"/>
  <c r="N305" i="6"/>
  <c r="Q305" i="6"/>
  <c r="R305" i="6"/>
  <c r="S305" i="6"/>
  <c r="T305" i="6"/>
  <c r="C306" i="6"/>
  <c r="D306" i="6"/>
  <c r="E306" i="6"/>
  <c r="F306" i="6"/>
  <c r="H306" i="6"/>
  <c r="I306" i="6"/>
  <c r="L306" i="6"/>
  <c r="N306" i="6"/>
  <c r="Q306" i="6"/>
  <c r="R306" i="6"/>
  <c r="S306" i="6"/>
  <c r="T306" i="6"/>
  <c r="C307" i="6"/>
  <c r="D307" i="6"/>
  <c r="E307" i="6"/>
  <c r="F307" i="6"/>
  <c r="H307" i="6"/>
  <c r="I307" i="6"/>
  <c r="L307" i="6"/>
  <c r="N307" i="6"/>
  <c r="Q307" i="6"/>
  <c r="R307" i="6"/>
  <c r="S307" i="6"/>
  <c r="T307" i="6"/>
  <c r="C308" i="6"/>
  <c r="D308" i="6"/>
  <c r="E308" i="6"/>
  <c r="F308" i="6"/>
  <c r="H308" i="6"/>
  <c r="I308" i="6"/>
  <c r="L308" i="6"/>
  <c r="N308" i="6"/>
  <c r="Q308" i="6"/>
  <c r="R308" i="6"/>
  <c r="S308" i="6"/>
  <c r="T308" i="6"/>
  <c r="C309" i="6"/>
  <c r="D309" i="6"/>
  <c r="E309" i="6"/>
  <c r="F309" i="6"/>
  <c r="H309" i="6"/>
  <c r="I309" i="6"/>
  <c r="L309" i="6"/>
  <c r="N309" i="6"/>
  <c r="Q309" i="6"/>
  <c r="R309" i="6"/>
  <c r="S309" i="6"/>
  <c r="T309" i="6"/>
  <c r="C310" i="6"/>
  <c r="L310" i="6" s="1"/>
  <c r="D310" i="6"/>
  <c r="E310" i="6"/>
  <c r="F310" i="6"/>
  <c r="I310" i="6"/>
  <c r="N310" i="6"/>
  <c r="R310" i="6"/>
  <c r="Q310" i="6" s="1"/>
  <c r="S310" i="6" s="1"/>
  <c r="T310" i="6"/>
  <c r="C311" i="6"/>
  <c r="D311" i="6"/>
  <c r="E311" i="6"/>
  <c r="F311" i="6"/>
  <c r="I311" i="6"/>
  <c r="L311" i="6"/>
  <c r="N311" i="6"/>
  <c r="Q311" i="6"/>
  <c r="R311" i="6"/>
  <c r="S311" i="6"/>
  <c r="T311" i="6"/>
  <c r="C312" i="6"/>
  <c r="L312" i="6" s="1"/>
  <c r="D312" i="6"/>
  <c r="E312" i="6"/>
  <c r="F312" i="6"/>
  <c r="I312" i="6"/>
  <c r="N312" i="6"/>
  <c r="R312" i="6"/>
  <c r="Q312" i="6" s="1"/>
  <c r="S312" i="6" s="1"/>
  <c r="T312" i="6"/>
  <c r="C313" i="6"/>
  <c r="D313" i="6"/>
  <c r="E313" i="6"/>
  <c r="F313" i="6"/>
  <c r="I313" i="6"/>
  <c r="L313" i="6"/>
  <c r="N313" i="6"/>
  <c r="Q313" i="6"/>
  <c r="R313" i="6"/>
  <c r="S313" i="6"/>
  <c r="T313" i="6"/>
  <c r="C314" i="6"/>
  <c r="L314" i="6" s="1"/>
  <c r="D314" i="6"/>
  <c r="E314" i="6"/>
  <c r="F314" i="6"/>
  <c r="I314" i="6"/>
  <c r="N314" i="6"/>
  <c r="R314" i="6"/>
  <c r="Q314" i="6" s="1"/>
  <c r="S314" i="6" s="1"/>
  <c r="T314" i="6"/>
  <c r="C315" i="6"/>
  <c r="D315" i="6"/>
  <c r="L315" i="6" s="1"/>
  <c r="E315" i="6"/>
  <c r="F315" i="6"/>
  <c r="H315" i="6"/>
  <c r="I315" i="6"/>
  <c r="N315" i="6"/>
  <c r="R315" i="6"/>
  <c r="Q315" i="6" s="1"/>
  <c r="S315" i="6" s="1"/>
  <c r="T315" i="6"/>
  <c r="C316" i="6"/>
  <c r="D316" i="6"/>
  <c r="L316" i="6" s="1"/>
  <c r="E316" i="6"/>
  <c r="F316" i="6"/>
  <c r="H316" i="6"/>
  <c r="I316" i="6"/>
  <c r="N316" i="6"/>
  <c r="R316" i="6"/>
  <c r="Q316" i="6" s="1"/>
  <c r="S316" i="6" s="1"/>
  <c r="T316" i="6"/>
  <c r="C317" i="6"/>
  <c r="D317" i="6"/>
  <c r="L317" i="6" s="1"/>
  <c r="E317" i="6"/>
  <c r="F317" i="6"/>
  <c r="H317" i="6"/>
  <c r="I317" i="6"/>
  <c r="N317" i="6"/>
  <c r="R317" i="6"/>
  <c r="Q317" i="6" s="1"/>
  <c r="S317" i="6" s="1"/>
  <c r="T317" i="6"/>
  <c r="C318" i="6"/>
  <c r="D318" i="6"/>
  <c r="L318" i="6" s="1"/>
  <c r="E318" i="6"/>
  <c r="F318" i="6"/>
  <c r="H318" i="6"/>
  <c r="I318" i="6"/>
  <c r="N318" i="6"/>
  <c r="R318" i="6"/>
  <c r="Q318" i="6" s="1"/>
  <c r="S318" i="6" s="1"/>
  <c r="T318" i="6"/>
  <c r="C319" i="6"/>
  <c r="D319" i="6"/>
  <c r="L319" i="6" s="1"/>
  <c r="E319" i="6"/>
  <c r="F319" i="6"/>
  <c r="H319" i="6"/>
  <c r="I319" i="6"/>
  <c r="N319" i="6"/>
  <c r="R319" i="6"/>
  <c r="Q319" i="6" s="1"/>
  <c r="S319" i="6" s="1"/>
  <c r="T319" i="6"/>
  <c r="C320" i="6"/>
  <c r="D320" i="6"/>
  <c r="L320" i="6" s="1"/>
  <c r="E320" i="6"/>
  <c r="F320" i="6"/>
  <c r="H320" i="6"/>
  <c r="I320" i="6"/>
  <c r="N320" i="6"/>
  <c r="R320" i="6"/>
  <c r="Q320" i="6" s="1"/>
  <c r="S320" i="6" s="1"/>
  <c r="T320" i="6"/>
  <c r="C321" i="6"/>
  <c r="D321" i="6"/>
  <c r="L321" i="6" s="1"/>
  <c r="E321" i="6"/>
  <c r="F321" i="6"/>
  <c r="H321" i="6"/>
  <c r="I321" i="6"/>
  <c r="N321" i="6"/>
  <c r="R321" i="6"/>
  <c r="Q321" i="6" s="1"/>
  <c r="S321" i="6" s="1"/>
  <c r="T321" i="6"/>
  <c r="C322" i="6"/>
  <c r="D322" i="6"/>
  <c r="E322" i="6"/>
  <c r="F322" i="6"/>
  <c r="I322" i="6"/>
  <c r="L322" i="6"/>
  <c r="N322" i="6"/>
  <c r="Q322" i="6"/>
  <c r="R322" i="6"/>
  <c r="S322" i="6"/>
  <c r="T322" i="6"/>
  <c r="C323" i="6"/>
  <c r="L323" i="6" s="1"/>
  <c r="D323" i="6"/>
  <c r="E323" i="6"/>
  <c r="F323" i="6"/>
  <c r="I323" i="6"/>
  <c r="N323" i="6"/>
  <c r="R323" i="6"/>
  <c r="Q323" i="6" s="1"/>
  <c r="S323" i="6" s="1"/>
  <c r="T323" i="6"/>
  <c r="C324" i="6"/>
  <c r="D324" i="6"/>
  <c r="E324" i="6"/>
  <c r="F324" i="6"/>
  <c r="I324" i="6"/>
  <c r="L324" i="6"/>
  <c r="N324" i="6"/>
  <c r="Q324" i="6"/>
  <c r="R324" i="6"/>
  <c r="S324" i="6"/>
  <c r="T324" i="6"/>
  <c r="C325" i="6"/>
  <c r="L325" i="6" s="1"/>
  <c r="D325" i="6"/>
  <c r="E325" i="6"/>
  <c r="F325" i="6"/>
  <c r="I325" i="6"/>
  <c r="N325" i="6"/>
  <c r="R325" i="6"/>
  <c r="Q325" i="6" s="1"/>
  <c r="S325" i="6" s="1"/>
  <c r="T325" i="6"/>
  <c r="C326" i="6"/>
  <c r="D326" i="6"/>
  <c r="E326" i="6"/>
  <c r="F326" i="6"/>
  <c r="I326" i="6"/>
  <c r="L326" i="6"/>
  <c r="N326" i="6"/>
  <c r="Q326" i="6"/>
  <c r="R326" i="6"/>
  <c r="S326" i="6"/>
  <c r="T326" i="6"/>
  <c r="C327" i="6"/>
  <c r="D327" i="6"/>
  <c r="E327" i="6"/>
  <c r="F327" i="6"/>
  <c r="H327" i="6"/>
  <c r="I327" i="6"/>
  <c r="L327" i="6"/>
  <c r="N327" i="6"/>
  <c r="Q327" i="6"/>
  <c r="R327" i="6"/>
  <c r="S327" i="6"/>
  <c r="T327" i="6"/>
  <c r="C328" i="6"/>
  <c r="D328" i="6"/>
  <c r="E328" i="6"/>
  <c r="F328" i="6"/>
  <c r="H328" i="6"/>
  <c r="I328" i="6"/>
  <c r="L328" i="6"/>
  <c r="N328" i="6"/>
  <c r="Q328" i="6"/>
  <c r="R328" i="6"/>
  <c r="S328" i="6"/>
  <c r="T328" i="6"/>
  <c r="C329" i="6"/>
  <c r="D329" i="6"/>
  <c r="E329" i="6"/>
  <c r="F329" i="6"/>
  <c r="H329" i="6"/>
  <c r="I329" i="6"/>
  <c r="L329" i="6"/>
  <c r="N329" i="6"/>
  <c r="Q329" i="6"/>
  <c r="R329" i="6"/>
  <c r="S329" i="6"/>
  <c r="T329" i="6"/>
  <c r="C330" i="6"/>
  <c r="D330" i="6"/>
  <c r="E330" i="6"/>
  <c r="F330" i="6"/>
  <c r="H330" i="6"/>
  <c r="I330" i="6"/>
  <c r="L330" i="6"/>
  <c r="N330" i="6"/>
  <c r="Q330" i="6"/>
  <c r="R330" i="6"/>
  <c r="S330" i="6"/>
  <c r="T330" i="6"/>
  <c r="C331" i="6"/>
  <c r="D331" i="6"/>
  <c r="E331" i="6"/>
  <c r="F331" i="6"/>
  <c r="H331" i="6"/>
  <c r="I331" i="6"/>
  <c r="L331" i="6"/>
  <c r="N331" i="6"/>
  <c r="Q331" i="6"/>
  <c r="R331" i="6"/>
  <c r="S331" i="6"/>
  <c r="T331" i="6"/>
  <c r="C332" i="6"/>
  <c r="D332" i="6"/>
  <c r="E332" i="6"/>
  <c r="F332" i="6"/>
  <c r="H332" i="6"/>
  <c r="I332" i="6"/>
  <c r="L332" i="6"/>
  <c r="N332" i="6"/>
  <c r="Q332" i="6"/>
  <c r="R332" i="6"/>
  <c r="S332" i="6"/>
  <c r="T332" i="6"/>
  <c r="C333" i="6"/>
  <c r="D333" i="6"/>
  <c r="E333" i="6"/>
  <c r="F333" i="6"/>
  <c r="H333" i="6"/>
  <c r="I333" i="6"/>
  <c r="L333" i="6"/>
  <c r="N333" i="6"/>
  <c r="Q333" i="6"/>
  <c r="R333" i="6"/>
  <c r="S333" i="6"/>
  <c r="T333" i="6"/>
  <c r="C334" i="6"/>
  <c r="L334" i="6" s="1"/>
  <c r="D334" i="6"/>
  <c r="E334" i="6"/>
  <c r="F334" i="6"/>
  <c r="I334" i="6"/>
  <c r="N334" i="6"/>
  <c r="R334" i="6"/>
  <c r="Q334" i="6" s="1"/>
  <c r="S334" i="6" s="1"/>
  <c r="T334" i="6"/>
  <c r="C335" i="6"/>
  <c r="D335" i="6"/>
  <c r="E335" i="6"/>
  <c r="F335" i="6"/>
  <c r="I335" i="6"/>
  <c r="L335" i="6"/>
  <c r="N335" i="6"/>
  <c r="Q335" i="6"/>
  <c r="R335" i="6"/>
  <c r="S335" i="6"/>
  <c r="T335" i="6"/>
  <c r="C336" i="6"/>
  <c r="L336" i="6" s="1"/>
  <c r="D336" i="6"/>
  <c r="E336" i="6"/>
  <c r="F336" i="6"/>
  <c r="I336" i="6"/>
  <c r="N336" i="6"/>
  <c r="R336" i="6"/>
  <c r="Q336" i="6" s="1"/>
  <c r="S336" i="6" s="1"/>
  <c r="T336" i="6"/>
  <c r="C337" i="6"/>
  <c r="D337" i="6"/>
  <c r="E337" i="6"/>
  <c r="F337" i="6"/>
  <c r="I337" i="6"/>
  <c r="L337" i="6"/>
  <c r="N337" i="6"/>
  <c r="Q337" i="6"/>
  <c r="R337" i="6"/>
  <c r="S337" i="6"/>
  <c r="T337" i="6"/>
  <c r="C338" i="6"/>
  <c r="L338" i="6" s="1"/>
  <c r="D338" i="6"/>
  <c r="E338" i="6"/>
  <c r="F338" i="6"/>
  <c r="I338" i="6"/>
  <c r="N338" i="6"/>
  <c r="R338" i="6"/>
  <c r="Q338" i="6" s="1"/>
  <c r="S338" i="6" s="1"/>
  <c r="T338" i="6"/>
  <c r="C339" i="6"/>
  <c r="D339" i="6"/>
  <c r="L339" i="6" s="1"/>
  <c r="E339" i="6"/>
  <c r="F339" i="6"/>
  <c r="H339" i="6"/>
  <c r="I339" i="6"/>
  <c r="N339" i="6"/>
  <c r="R339" i="6"/>
  <c r="Q339" i="6" s="1"/>
  <c r="S339" i="6" s="1"/>
  <c r="T339" i="6"/>
  <c r="C340" i="6"/>
  <c r="D340" i="6"/>
  <c r="L340" i="6" s="1"/>
  <c r="E340" i="6"/>
  <c r="F340" i="6"/>
  <c r="H340" i="6"/>
  <c r="I340" i="6"/>
  <c r="N340" i="6"/>
  <c r="R340" i="6"/>
  <c r="Q340" i="6" s="1"/>
  <c r="S340" i="6" s="1"/>
  <c r="T340" i="6"/>
  <c r="C341" i="6"/>
  <c r="D341" i="6"/>
  <c r="L341" i="6" s="1"/>
  <c r="E341" i="6"/>
  <c r="F341" i="6"/>
  <c r="H341" i="6"/>
  <c r="I341" i="6"/>
  <c r="N341" i="6"/>
  <c r="R341" i="6"/>
  <c r="Q341" i="6" s="1"/>
  <c r="S341" i="6" s="1"/>
  <c r="T341" i="6"/>
  <c r="C342" i="6"/>
  <c r="D342" i="6"/>
  <c r="L342" i="6" s="1"/>
  <c r="E342" i="6"/>
  <c r="F342" i="6"/>
  <c r="H342" i="6"/>
  <c r="I342" i="6"/>
  <c r="N342" i="6"/>
  <c r="R342" i="6"/>
  <c r="Q342" i="6" s="1"/>
  <c r="S342" i="6" s="1"/>
  <c r="T342" i="6"/>
  <c r="C343" i="6"/>
  <c r="D343" i="6"/>
  <c r="L343" i="6" s="1"/>
  <c r="E343" i="6"/>
  <c r="F343" i="6"/>
  <c r="H343" i="6"/>
  <c r="I343" i="6"/>
  <c r="N343" i="6"/>
  <c r="R343" i="6"/>
  <c r="Q343" i="6" s="1"/>
  <c r="S343" i="6" s="1"/>
  <c r="T343" i="6"/>
  <c r="C344" i="6"/>
  <c r="D344" i="6"/>
  <c r="E344" i="6"/>
  <c r="F344" i="6"/>
  <c r="H344" i="6"/>
  <c r="I344" i="6"/>
  <c r="N344" i="6"/>
  <c r="R344" i="6"/>
  <c r="Q344" i="6" s="1"/>
  <c r="S344" i="6" s="1"/>
  <c r="T344" i="6"/>
  <c r="C345" i="6"/>
  <c r="D345" i="6"/>
  <c r="E345" i="6"/>
  <c r="F345" i="6"/>
  <c r="H345" i="6"/>
  <c r="I345" i="6"/>
  <c r="N345" i="6"/>
  <c r="R345" i="6"/>
  <c r="Q345" i="6" s="1"/>
  <c r="S345" i="6" s="1"/>
  <c r="T345" i="6"/>
  <c r="C346" i="6"/>
  <c r="D346" i="6"/>
  <c r="E346" i="6"/>
  <c r="F346" i="6"/>
  <c r="I346" i="6"/>
  <c r="L346" i="6"/>
  <c r="N346" i="6"/>
  <c r="Q346" i="6"/>
  <c r="R346" i="6"/>
  <c r="S346" i="6"/>
  <c r="T346" i="6"/>
  <c r="C347" i="6"/>
  <c r="L347" i="6" s="1"/>
  <c r="D347" i="6"/>
  <c r="E347" i="6"/>
  <c r="F347" i="6"/>
  <c r="I347" i="6"/>
  <c r="N347" i="6"/>
  <c r="R347" i="6"/>
  <c r="Q347" i="6" s="1"/>
  <c r="S347" i="6" s="1"/>
  <c r="T347" i="6"/>
  <c r="C348" i="6"/>
  <c r="D348" i="6"/>
  <c r="E348" i="6"/>
  <c r="F348" i="6"/>
  <c r="I348" i="6"/>
  <c r="L348" i="6"/>
  <c r="N348" i="6"/>
  <c r="Q348" i="6"/>
  <c r="R348" i="6"/>
  <c r="S348" i="6"/>
  <c r="T348" i="6"/>
  <c r="C349" i="6"/>
  <c r="L349" i="6" s="1"/>
  <c r="D349" i="6"/>
  <c r="E349" i="6"/>
  <c r="F349" i="6"/>
  <c r="I349" i="6"/>
  <c r="N349" i="6"/>
  <c r="R349" i="6"/>
  <c r="Q349" i="6" s="1"/>
  <c r="S349" i="6" s="1"/>
  <c r="T349" i="6"/>
  <c r="C350" i="6"/>
  <c r="D350" i="6"/>
  <c r="E350" i="6"/>
  <c r="F350" i="6"/>
  <c r="I350" i="6"/>
  <c r="L350" i="6"/>
  <c r="N350" i="6"/>
  <c r="Q350" i="6"/>
  <c r="R350" i="6"/>
  <c r="S350" i="6"/>
  <c r="T350" i="6"/>
  <c r="C351" i="6"/>
  <c r="D351" i="6"/>
  <c r="E351" i="6"/>
  <c r="F351" i="6"/>
  <c r="H351" i="6"/>
  <c r="I351" i="6"/>
  <c r="L351" i="6"/>
  <c r="N351" i="6"/>
  <c r="Q351" i="6"/>
  <c r="R351" i="6"/>
  <c r="S351" i="6"/>
  <c r="T351" i="6"/>
  <c r="C352" i="6"/>
  <c r="D352" i="6"/>
  <c r="E352" i="6"/>
  <c r="F352" i="6"/>
  <c r="H352" i="6"/>
  <c r="I352" i="6"/>
  <c r="L352" i="6"/>
  <c r="N352" i="6"/>
  <c r="Q352" i="6"/>
  <c r="R352" i="6"/>
  <c r="S352" i="6"/>
  <c r="T352" i="6"/>
  <c r="C353" i="6"/>
  <c r="D353" i="6"/>
  <c r="E353" i="6"/>
  <c r="F353" i="6"/>
  <c r="H353" i="6"/>
  <c r="I353" i="6"/>
  <c r="L353" i="6"/>
  <c r="N353" i="6"/>
  <c r="Q353" i="6"/>
  <c r="R353" i="6"/>
  <c r="S353" i="6"/>
  <c r="T353" i="6"/>
  <c r="C354" i="6"/>
  <c r="D354" i="6"/>
  <c r="E354" i="6"/>
  <c r="F354" i="6"/>
  <c r="H354" i="6"/>
  <c r="I354" i="6"/>
  <c r="L354" i="6"/>
  <c r="N354" i="6"/>
  <c r="Q354" i="6"/>
  <c r="R354" i="6"/>
  <c r="S354" i="6"/>
  <c r="T354" i="6"/>
  <c r="C355" i="6"/>
  <c r="D355" i="6"/>
  <c r="E355" i="6"/>
  <c r="F355" i="6"/>
  <c r="H355" i="6"/>
  <c r="I355" i="6"/>
  <c r="L355" i="6"/>
  <c r="N355" i="6"/>
  <c r="Q355" i="6"/>
  <c r="R355" i="6"/>
  <c r="S355" i="6"/>
  <c r="T355" i="6"/>
  <c r="C356" i="6"/>
  <c r="D356" i="6"/>
  <c r="E356" i="6"/>
  <c r="F356" i="6"/>
  <c r="H356" i="6"/>
  <c r="I356" i="6"/>
  <c r="L356" i="6"/>
  <c r="N356" i="6"/>
  <c r="Q356" i="6"/>
  <c r="R356" i="6"/>
  <c r="S356" i="6"/>
  <c r="T356" i="6"/>
  <c r="C357" i="6"/>
  <c r="D357" i="6"/>
  <c r="E357" i="6"/>
  <c r="F357" i="6"/>
  <c r="H357" i="6"/>
  <c r="I357" i="6"/>
  <c r="L357" i="6"/>
  <c r="N357" i="6"/>
  <c r="Q357" i="6"/>
  <c r="R357" i="6"/>
  <c r="S357" i="6"/>
  <c r="T357" i="6"/>
  <c r="C358" i="6"/>
  <c r="L358" i="6" s="1"/>
  <c r="D358" i="6"/>
  <c r="E358" i="6"/>
  <c r="F358" i="6"/>
  <c r="I358" i="6"/>
  <c r="N358" i="6"/>
  <c r="R358" i="6"/>
  <c r="Q358" i="6" s="1"/>
  <c r="S358" i="6" s="1"/>
  <c r="T358" i="6"/>
  <c r="C359" i="6"/>
  <c r="D359" i="6"/>
  <c r="E359" i="6"/>
  <c r="F359" i="6"/>
  <c r="I359" i="6"/>
  <c r="L359" i="6"/>
  <c r="N359" i="6"/>
  <c r="Q359" i="6"/>
  <c r="R359" i="6"/>
  <c r="S359" i="6"/>
  <c r="T359" i="6"/>
  <c r="C360" i="6"/>
  <c r="L360" i="6" s="1"/>
  <c r="D360" i="6"/>
  <c r="E360" i="6"/>
  <c r="F360" i="6"/>
  <c r="I360" i="6"/>
  <c r="N360" i="6"/>
  <c r="R360" i="6"/>
  <c r="Q360" i="6" s="1"/>
  <c r="S360" i="6" s="1"/>
  <c r="T360" i="6"/>
  <c r="C361" i="6"/>
  <c r="D361" i="6"/>
  <c r="E361" i="6"/>
  <c r="F361" i="6"/>
  <c r="I361" i="6"/>
  <c r="L361" i="6"/>
  <c r="N361" i="6"/>
  <c r="Q361" i="6"/>
  <c r="R361" i="6"/>
  <c r="S361" i="6"/>
  <c r="T361" i="6"/>
  <c r="C362" i="6"/>
  <c r="L362" i="6" s="1"/>
  <c r="D362" i="6"/>
  <c r="E362" i="6"/>
  <c r="F362" i="6"/>
  <c r="I362" i="6"/>
  <c r="N362" i="6"/>
  <c r="R362" i="6"/>
  <c r="Q362" i="6" s="1"/>
  <c r="S362" i="6" s="1"/>
  <c r="T362" i="6"/>
  <c r="C363" i="6"/>
  <c r="D363" i="6"/>
  <c r="L363" i="6" s="1"/>
  <c r="E363" i="6"/>
  <c r="F363" i="6"/>
  <c r="H363" i="6"/>
  <c r="I363" i="6"/>
  <c r="N363" i="6"/>
  <c r="R363" i="6"/>
  <c r="Q363" i="6" s="1"/>
  <c r="S363" i="6" s="1"/>
  <c r="T363" i="6"/>
  <c r="C364" i="6"/>
  <c r="D364" i="6"/>
  <c r="L364" i="6" s="1"/>
  <c r="E364" i="6"/>
  <c r="F364" i="6"/>
  <c r="H364" i="6"/>
  <c r="I364" i="6"/>
  <c r="N364" i="6"/>
  <c r="R364" i="6"/>
  <c r="Q364" i="6" s="1"/>
  <c r="S364" i="6" s="1"/>
  <c r="T364" i="6"/>
  <c r="C365" i="6"/>
  <c r="D365" i="6"/>
  <c r="L365" i="6" s="1"/>
  <c r="E365" i="6"/>
  <c r="F365" i="6"/>
  <c r="H365" i="6"/>
  <c r="I365" i="6"/>
  <c r="N365" i="6"/>
  <c r="R365" i="6"/>
  <c r="Q365" i="6" s="1"/>
  <c r="S365" i="6" s="1"/>
  <c r="T365" i="6"/>
  <c r="C366" i="6"/>
  <c r="D366" i="6"/>
  <c r="L366" i="6" s="1"/>
  <c r="E366" i="6"/>
  <c r="F366" i="6"/>
  <c r="H366" i="6"/>
  <c r="I366" i="6"/>
  <c r="N366" i="6"/>
  <c r="R366" i="6"/>
  <c r="Q366" i="6" s="1"/>
  <c r="S366" i="6" s="1"/>
  <c r="T366" i="6"/>
  <c r="C367" i="6"/>
  <c r="D367" i="6"/>
  <c r="L367" i="6" s="1"/>
  <c r="E367" i="6"/>
  <c r="F367" i="6"/>
  <c r="H367" i="6"/>
  <c r="I367" i="6"/>
  <c r="N367" i="6"/>
  <c r="R367" i="6"/>
  <c r="Q367" i="6" s="1"/>
  <c r="S367" i="6" s="1"/>
  <c r="T367" i="6"/>
  <c r="C368" i="6"/>
  <c r="D368" i="6"/>
  <c r="L368" i="6" s="1"/>
  <c r="E368" i="6"/>
  <c r="F368" i="6"/>
  <c r="H368" i="6"/>
  <c r="I368" i="6"/>
  <c r="N368" i="6"/>
  <c r="R368" i="6"/>
  <c r="Q368" i="6" s="1"/>
  <c r="S368" i="6" s="1"/>
  <c r="T368" i="6"/>
  <c r="C369" i="6"/>
  <c r="D369" i="6"/>
  <c r="L369" i="6" s="1"/>
  <c r="E369" i="6"/>
  <c r="F369" i="6"/>
  <c r="H369" i="6"/>
  <c r="I369" i="6"/>
  <c r="N369" i="6"/>
  <c r="R369" i="6"/>
  <c r="Q369" i="6" s="1"/>
  <c r="S369" i="6" s="1"/>
  <c r="T369" i="6"/>
  <c r="C370" i="6"/>
  <c r="D370" i="6"/>
  <c r="E370" i="6"/>
  <c r="F370" i="6"/>
  <c r="I370" i="6"/>
  <c r="L370" i="6"/>
  <c r="N370" i="6"/>
  <c r="Q370" i="6"/>
  <c r="R370" i="6"/>
  <c r="S370" i="6"/>
  <c r="T370" i="6"/>
  <c r="C371" i="6"/>
  <c r="L371" i="6" s="1"/>
  <c r="D371" i="6"/>
  <c r="E371" i="6"/>
  <c r="F371" i="6"/>
  <c r="I371" i="6"/>
  <c r="N371" i="6"/>
  <c r="R371" i="6"/>
  <c r="Q371" i="6" s="1"/>
  <c r="S371" i="6" s="1"/>
  <c r="T371" i="6"/>
  <c r="C372" i="6"/>
  <c r="D372" i="6"/>
  <c r="E372" i="6"/>
  <c r="F372" i="6"/>
  <c r="I372" i="6"/>
  <c r="L372" i="6"/>
  <c r="N372" i="6"/>
  <c r="Q372" i="6"/>
  <c r="R372" i="6"/>
  <c r="S372" i="6"/>
  <c r="T372" i="6"/>
  <c r="C373" i="6"/>
  <c r="L373" i="6" s="1"/>
  <c r="D373" i="6"/>
  <c r="E373" i="6"/>
  <c r="F373" i="6"/>
  <c r="I373" i="6"/>
  <c r="N373" i="6"/>
  <c r="R373" i="6"/>
  <c r="Q373" i="6" s="1"/>
  <c r="S373" i="6" s="1"/>
  <c r="T373" i="6"/>
  <c r="C374" i="6"/>
  <c r="D374" i="6"/>
  <c r="E374" i="6"/>
  <c r="F374" i="6"/>
  <c r="I374" i="6"/>
  <c r="L374" i="6"/>
  <c r="N374" i="6"/>
  <c r="Q374" i="6"/>
  <c r="R374" i="6"/>
  <c r="S374" i="6"/>
  <c r="T374" i="6"/>
  <c r="C375" i="6"/>
  <c r="D375" i="6"/>
  <c r="E375" i="6"/>
  <c r="F375" i="6"/>
  <c r="H375" i="6"/>
  <c r="I375" i="6"/>
  <c r="L375" i="6"/>
  <c r="N375" i="6"/>
  <c r="Q375" i="6"/>
  <c r="R375" i="6"/>
  <c r="S375" i="6"/>
  <c r="T375" i="6"/>
  <c r="C376" i="6"/>
  <c r="D376" i="6"/>
  <c r="E376" i="6"/>
  <c r="F376" i="6"/>
  <c r="H376" i="6"/>
  <c r="I376" i="6"/>
  <c r="L376" i="6"/>
  <c r="N376" i="6"/>
  <c r="Q376" i="6"/>
  <c r="R376" i="6"/>
  <c r="S376" i="6"/>
  <c r="T376" i="6"/>
  <c r="C377" i="6"/>
  <c r="D377" i="6"/>
  <c r="E377" i="6"/>
  <c r="F377" i="6"/>
  <c r="H377" i="6"/>
  <c r="I377" i="6"/>
  <c r="L377" i="6"/>
  <c r="N377" i="6"/>
  <c r="Q377" i="6"/>
  <c r="R377" i="6"/>
  <c r="S377" i="6"/>
  <c r="T377" i="6"/>
  <c r="C378" i="6"/>
  <c r="D378" i="6"/>
  <c r="E378" i="6"/>
  <c r="F378" i="6"/>
  <c r="H378" i="6"/>
  <c r="I378" i="6"/>
  <c r="L378" i="6"/>
  <c r="N378" i="6"/>
  <c r="Q378" i="6"/>
  <c r="R378" i="6"/>
  <c r="S378" i="6"/>
  <c r="T378" i="6"/>
  <c r="C379" i="6"/>
  <c r="D379" i="6"/>
  <c r="E379" i="6"/>
  <c r="F379" i="6"/>
  <c r="H379" i="6"/>
  <c r="I379" i="6"/>
  <c r="L379" i="6"/>
  <c r="N379" i="6"/>
  <c r="Q379" i="6"/>
  <c r="R379" i="6"/>
  <c r="S379" i="6"/>
  <c r="T379" i="6"/>
  <c r="C380" i="6"/>
  <c r="D380" i="6"/>
  <c r="E380" i="6"/>
  <c r="F380" i="6"/>
  <c r="H380" i="6"/>
  <c r="I380" i="6"/>
  <c r="L380" i="6"/>
  <c r="N380" i="6"/>
  <c r="Q380" i="6"/>
  <c r="R380" i="6"/>
  <c r="S380" i="6"/>
  <c r="T380" i="6"/>
  <c r="C381" i="6"/>
  <c r="D381" i="6"/>
  <c r="E381" i="6"/>
  <c r="F381" i="6"/>
  <c r="H381" i="6"/>
  <c r="I381" i="6"/>
  <c r="L381" i="6"/>
  <c r="N381" i="6"/>
  <c r="Q381" i="6"/>
  <c r="R381" i="6"/>
  <c r="S381" i="6"/>
  <c r="T381" i="6"/>
  <c r="C382" i="6"/>
  <c r="L382" i="6" s="1"/>
  <c r="D382" i="6"/>
  <c r="E382" i="6"/>
  <c r="F382" i="6"/>
  <c r="I382" i="6"/>
  <c r="N382" i="6"/>
  <c r="R382" i="6"/>
  <c r="Q382" i="6" s="1"/>
  <c r="S382" i="6" s="1"/>
  <c r="T382" i="6"/>
  <c r="C383" i="6"/>
  <c r="D383" i="6"/>
  <c r="E383" i="6"/>
  <c r="F383" i="6"/>
  <c r="I383" i="6"/>
  <c r="L383" i="6"/>
  <c r="N383" i="6"/>
  <c r="Q383" i="6"/>
  <c r="R383" i="6"/>
  <c r="S383" i="6"/>
  <c r="T383" i="6"/>
  <c r="C384" i="6"/>
  <c r="L384" i="6" s="1"/>
  <c r="D384" i="6"/>
  <c r="E384" i="6"/>
  <c r="F384" i="6"/>
  <c r="I384" i="6"/>
  <c r="N384" i="6"/>
  <c r="R384" i="6"/>
  <c r="Q384" i="6" s="1"/>
  <c r="S384" i="6" s="1"/>
  <c r="T384" i="6"/>
  <c r="C385" i="6"/>
  <c r="D385" i="6"/>
  <c r="E385" i="6"/>
  <c r="F385" i="6"/>
  <c r="I385" i="6"/>
  <c r="L385" i="6"/>
  <c r="N385" i="6"/>
  <c r="Q385" i="6"/>
  <c r="R385" i="6"/>
  <c r="S385" i="6"/>
  <c r="T385" i="6"/>
  <c r="C386" i="6"/>
  <c r="L386" i="6" s="1"/>
  <c r="D386" i="6"/>
  <c r="E386" i="6"/>
  <c r="F386" i="6"/>
  <c r="I386" i="6"/>
  <c r="N386" i="6"/>
  <c r="R386" i="6"/>
  <c r="Q386" i="6" s="1"/>
  <c r="S386" i="6" s="1"/>
  <c r="T386" i="6"/>
  <c r="C387" i="6"/>
  <c r="D387" i="6"/>
  <c r="L387" i="6" s="1"/>
  <c r="E387" i="6"/>
  <c r="F387" i="6"/>
  <c r="H387" i="6"/>
  <c r="I387" i="6"/>
  <c r="N387" i="6"/>
  <c r="R387" i="6"/>
  <c r="Q387" i="6" s="1"/>
  <c r="S387" i="6" s="1"/>
  <c r="T387" i="6"/>
  <c r="C388" i="6"/>
  <c r="D388" i="6"/>
  <c r="L388" i="6" s="1"/>
  <c r="E388" i="6"/>
  <c r="F388" i="6"/>
  <c r="H388" i="6"/>
  <c r="I388" i="6"/>
  <c r="N388" i="6"/>
  <c r="R388" i="6"/>
  <c r="Q388" i="6" s="1"/>
  <c r="S388" i="6" s="1"/>
  <c r="T388" i="6"/>
  <c r="C389" i="6"/>
  <c r="D389" i="6"/>
  <c r="L389" i="6" s="1"/>
  <c r="E389" i="6"/>
  <c r="F389" i="6"/>
  <c r="H389" i="6"/>
  <c r="I389" i="6"/>
  <c r="N389" i="6"/>
  <c r="R389" i="6"/>
  <c r="Q389" i="6" s="1"/>
  <c r="S389" i="6" s="1"/>
  <c r="T389" i="6"/>
  <c r="C390" i="6"/>
  <c r="D390" i="6"/>
  <c r="L390" i="6" s="1"/>
  <c r="E390" i="6"/>
  <c r="F390" i="6"/>
  <c r="H390" i="6"/>
  <c r="I390" i="6"/>
  <c r="N390" i="6"/>
  <c r="R390" i="6"/>
  <c r="Q390" i="6" s="1"/>
  <c r="S390" i="6" s="1"/>
  <c r="T390" i="6"/>
  <c r="C391" i="6"/>
  <c r="D391" i="6"/>
  <c r="L391" i="6" s="1"/>
  <c r="E391" i="6"/>
  <c r="F391" i="6"/>
  <c r="H391" i="6"/>
  <c r="I391" i="6"/>
  <c r="N391" i="6"/>
  <c r="R391" i="6"/>
  <c r="Q391" i="6" s="1"/>
  <c r="S391" i="6" s="1"/>
  <c r="T391" i="6"/>
  <c r="C392" i="6"/>
  <c r="D392" i="6"/>
  <c r="L392" i="6" s="1"/>
  <c r="E392" i="6"/>
  <c r="F392" i="6"/>
  <c r="H392" i="6"/>
  <c r="I392" i="6"/>
  <c r="N392" i="6"/>
  <c r="R392" i="6"/>
  <c r="Q392" i="6" s="1"/>
  <c r="S392" i="6" s="1"/>
  <c r="T392" i="6"/>
  <c r="C393" i="6"/>
  <c r="D393" i="6"/>
  <c r="L393" i="6" s="1"/>
  <c r="E393" i="6"/>
  <c r="F393" i="6"/>
  <c r="H393" i="6"/>
  <c r="I393" i="6"/>
  <c r="N393" i="6"/>
  <c r="R393" i="6"/>
  <c r="Q393" i="6" s="1"/>
  <c r="S393" i="6" s="1"/>
  <c r="T393" i="6"/>
  <c r="C394" i="6"/>
  <c r="D394" i="6"/>
  <c r="E394" i="6"/>
  <c r="F394" i="6"/>
  <c r="I394" i="6"/>
  <c r="L394" i="6"/>
  <c r="N394" i="6"/>
  <c r="Q394" i="6"/>
  <c r="R394" i="6"/>
  <c r="S394" i="6"/>
  <c r="T394" i="6"/>
  <c r="C395" i="6"/>
  <c r="L395" i="6" s="1"/>
  <c r="D395" i="6"/>
  <c r="E395" i="6"/>
  <c r="F395" i="6"/>
  <c r="I395" i="6"/>
  <c r="N395" i="6"/>
  <c r="R395" i="6"/>
  <c r="Q395" i="6" s="1"/>
  <c r="S395" i="6" s="1"/>
  <c r="T395" i="6"/>
  <c r="C396" i="6"/>
  <c r="D396" i="6"/>
  <c r="E396" i="6"/>
  <c r="F396" i="6"/>
  <c r="I396" i="6"/>
  <c r="L396" i="6"/>
  <c r="N396" i="6"/>
  <c r="Q396" i="6"/>
  <c r="R396" i="6"/>
  <c r="S396" i="6"/>
  <c r="T396" i="6"/>
  <c r="C397" i="6"/>
  <c r="L397" i="6" s="1"/>
  <c r="D397" i="6"/>
  <c r="E397" i="6"/>
  <c r="F397" i="6"/>
  <c r="I397" i="6"/>
  <c r="N397" i="6"/>
  <c r="R397" i="6"/>
  <c r="Q397" i="6" s="1"/>
  <c r="S397" i="6" s="1"/>
  <c r="T397" i="6"/>
  <c r="C398" i="6"/>
  <c r="D398" i="6"/>
  <c r="E398" i="6"/>
  <c r="F398" i="6"/>
  <c r="I398" i="6"/>
  <c r="L398" i="6"/>
  <c r="N398" i="6"/>
  <c r="Q398" i="6"/>
  <c r="R398" i="6"/>
  <c r="S398" i="6"/>
  <c r="T398" i="6"/>
  <c r="C399" i="6"/>
  <c r="D399" i="6"/>
  <c r="E399" i="6"/>
  <c r="F399" i="6"/>
  <c r="H399" i="6"/>
  <c r="I399" i="6"/>
  <c r="L399" i="6"/>
  <c r="N399" i="6"/>
  <c r="Q399" i="6"/>
  <c r="R399" i="6"/>
  <c r="S399" i="6"/>
  <c r="T399" i="6"/>
  <c r="C400" i="6"/>
  <c r="D400" i="6"/>
  <c r="E400" i="6"/>
  <c r="F400" i="6"/>
  <c r="H400" i="6"/>
  <c r="I400" i="6"/>
  <c r="L400" i="6"/>
  <c r="N400" i="6"/>
  <c r="Q400" i="6"/>
  <c r="R400" i="6"/>
  <c r="S400" i="6"/>
  <c r="T400" i="6"/>
  <c r="C401" i="6"/>
  <c r="D401" i="6"/>
  <c r="E401" i="6"/>
  <c r="F401" i="6"/>
  <c r="H401" i="6"/>
  <c r="I401" i="6"/>
  <c r="L401" i="6"/>
  <c r="N401" i="6"/>
  <c r="Q401" i="6"/>
  <c r="R401" i="6"/>
  <c r="S401" i="6"/>
  <c r="T401" i="6"/>
  <c r="C402" i="6"/>
  <c r="D402" i="6"/>
  <c r="E402" i="6"/>
  <c r="F402" i="6"/>
  <c r="H402" i="6"/>
  <c r="I402" i="6"/>
  <c r="L402" i="6"/>
  <c r="N402" i="6"/>
  <c r="Q402" i="6"/>
  <c r="R402" i="6"/>
  <c r="S402" i="6"/>
  <c r="T402" i="6"/>
  <c r="C403" i="6"/>
  <c r="D403" i="6"/>
  <c r="E403" i="6"/>
  <c r="F403" i="6"/>
  <c r="H403" i="6"/>
  <c r="I403" i="6"/>
  <c r="L403" i="6"/>
  <c r="N403" i="6"/>
  <c r="Q403" i="6"/>
  <c r="R403" i="6"/>
  <c r="S403" i="6"/>
  <c r="T403" i="6"/>
  <c r="C404" i="6"/>
  <c r="D404" i="6"/>
  <c r="E404" i="6"/>
  <c r="F404" i="6"/>
  <c r="H404" i="6"/>
  <c r="I404" i="6"/>
  <c r="L404" i="6"/>
  <c r="N404" i="6"/>
  <c r="Q404" i="6"/>
  <c r="R404" i="6"/>
  <c r="S404" i="6"/>
  <c r="T404" i="6"/>
  <c r="C405" i="6"/>
  <c r="D405" i="6"/>
  <c r="E405" i="6"/>
  <c r="F405" i="6"/>
  <c r="H405" i="6"/>
  <c r="I405" i="6"/>
  <c r="L405" i="6"/>
  <c r="N405" i="6"/>
  <c r="Q405" i="6"/>
  <c r="R405" i="6"/>
  <c r="S405" i="6"/>
  <c r="T405" i="6"/>
  <c r="C406" i="6"/>
  <c r="L406" i="6" s="1"/>
  <c r="D406" i="6"/>
  <c r="E406" i="6"/>
  <c r="F406" i="6"/>
  <c r="I406" i="6"/>
  <c r="N406" i="6"/>
  <c r="R406" i="6"/>
  <c r="Q406" i="6" s="1"/>
  <c r="S406" i="6" s="1"/>
  <c r="T406" i="6"/>
  <c r="C407" i="6"/>
  <c r="D407" i="6"/>
  <c r="E407" i="6"/>
  <c r="F407" i="6"/>
  <c r="I407" i="6"/>
  <c r="L407" i="6"/>
  <c r="N407" i="6"/>
  <c r="Q407" i="6"/>
  <c r="R407" i="6"/>
  <c r="S407" i="6"/>
  <c r="T407" i="6"/>
  <c r="C408" i="6"/>
  <c r="L408" i="6" s="1"/>
  <c r="D408" i="6"/>
  <c r="E408" i="6"/>
  <c r="F408" i="6"/>
  <c r="I408" i="6"/>
  <c r="N408" i="6"/>
  <c r="R408" i="6"/>
  <c r="Q408" i="6" s="1"/>
  <c r="S408" i="6" s="1"/>
  <c r="T408" i="6"/>
  <c r="C409" i="6"/>
  <c r="D409" i="6"/>
  <c r="E409" i="6"/>
  <c r="F409" i="6"/>
  <c r="I409" i="6"/>
  <c r="L409" i="6"/>
  <c r="N409" i="6"/>
  <c r="Q409" i="6"/>
  <c r="R409" i="6"/>
  <c r="S409" i="6"/>
  <c r="T409" i="6"/>
  <c r="C410" i="6"/>
  <c r="L410" i="6" s="1"/>
  <c r="D410" i="6"/>
  <c r="E410" i="6"/>
  <c r="F410" i="6"/>
  <c r="I410" i="6"/>
  <c r="N410" i="6"/>
  <c r="R410" i="6"/>
  <c r="Q410" i="6" s="1"/>
  <c r="S410" i="6" s="1"/>
  <c r="T410" i="6"/>
  <c r="C411" i="6"/>
  <c r="D411" i="6"/>
  <c r="L411" i="6" s="1"/>
  <c r="E411" i="6"/>
  <c r="F411" i="6"/>
  <c r="H411" i="6"/>
  <c r="I411" i="6"/>
  <c r="N411" i="6"/>
  <c r="R411" i="6"/>
  <c r="Q411" i="6" s="1"/>
  <c r="S411" i="6" s="1"/>
  <c r="T411" i="6"/>
  <c r="C412" i="6"/>
  <c r="D412" i="6"/>
  <c r="L412" i="6" s="1"/>
  <c r="E412" i="6"/>
  <c r="F412" i="6"/>
  <c r="H412" i="6"/>
  <c r="I412" i="6"/>
  <c r="N412" i="6"/>
  <c r="R412" i="6"/>
  <c r="Q412" i="6" s="1"/>
  <c r="S412" i="6" s="1"/>
  <c r="T412" i="6"/>
  <c r="C413" i="6"/>
  <c r="D413" i="6"/>
  <c r="L413" i="6" s="1"/>
  <c r="E413" i="6"/>
  <c r="F413" i="6"/>
  <c r="H413" i="6"/>
  <c r="I413" i="6"/>
  <c r="N413" i="6"/>
  <c r="R413" i="6"/>
  <c r="Q413" i="6" s="1"/>
  <c r="S413" i="6" s="1"/>
  <c r="T413" i="6"/>
  <c r="C414" i="6"/>
  <c r="D414" i="6"/>
  <c r="L414" i="6" s="1"/>
  <c r="E414" i="6"/>
  <c r="F414" i="6"/>
  <c r="H414" i="6"/>
  <c r="I414" i="6"/>
  <c r="N414" i="6"/>
  <c r="R414" i="6"/>
  <c r="Q414" i="6" s="1"/>
  <c r="S414" i="6" s="1"/>
  <c r="T414" i="6"/>
  <c r="C415" i="6"/>
  <c r="D415" i="6"/>
  <c r="L415" i="6" s="1"/>
  <c r="E415" i="6"/>
  <c r="F415" i="6"/>
  <c r="H415" i="6"/>
  <c r="I415" i="6"/>
  <c r="N415" i="6"/>
  <c r="R415" i="6"/>
  <c r="Q415" i="6" s="1"/>
  <c r="S415" i="6" s="1"/>
  <c r="T415" i="6"/>
  <c r="C416" i="6"/>
  <c r="D416" i="6"/>
  <c r="L416" i="6" s="1"/>
  <c r="E416" i="6"/>
  <c r="F416" i="6"/>
  <c r="H416" i="6"/>
  <c r="I416" i="6"/>
  <c r="N416" i="6"/>
  <c r="R416" i="6"/>
  <c r="Q416" i="6" s="1"/>
  <c r="S416" i="6" s="1"/>
  <c r="T416" i="6"/>
  <c r="C417" i="6"/>
  <c r="D417" i="6"/>
  <c r="L417" i="6" s="1"/>
  <c r="E417" i="6"/>
  <c r="F417" i="6"/>
  <c r="H417" i="6"/>
  <c r="I417" i="6"/>
  <c r="N417" i="6"/>
  <c r="R417" i="6"/>
  <c r="Q417" i="6" s="1"/>
  <c r="S417" i="6" s="1"/>
  <c r="T417" i="6"/>
  <c r="C418" i="6"/>
  <c r="D418" i="6"/>
  <c r="E418" i="6"/>
  <c r="F418" i="6"/>
  <c r="I418" i="6"/>
  <c r="L418" i="6"/>
  <c r="N418" i="6"/>
  <c r="Q418" i="6"/>
  <c r="R418" i="6"/>
  <c r="S418" i="6"/>
  <c r="T418" i="6"/>
  <c r="C419" i="6"/>
  <c r="L419" i="6" s="1"/>
  <c r="D419" i="6"/>
  <c r="E419" i="6"/>
  <c r="F419" i="6"/>
  <c r="I419" i="6"/>
  <c r="N419" i="6"/>
  <c r="R419" i="6"/>
  <c r="Q419" i="6" s="1"/>
  <c r="S419" i="6" s="1"/>
  <c r="T419" i="6"/>
  <c r="C420" i="6"/>
  <c r="D420" i="6"/>
  <c r="E420" i="6"/>
  <c r="F420" i="6"/>
  <c r="I420" i="6"/>
  <c r="L420" i="6"/>
  <c r="N420" i="6"/>
  <c r="Q420" i="6"/>
  <c r="R420" i="6"/>
  <c r="S420" i="6"/>
  <c r="T420" i="6"/>
  <c r="C421" i="6"/>
  <c r="L421" i="6" s="1"/>
  <c r="D421" i="6"/>
  <c r="E421" i="6"/>
  <c r="F421" i="6"/>
  <c r="I421" i="6"/>
  <c r="N421" i="6"/>
  <c r="R421" i="6"/>
  <c r="Q421" i="6" s="1"/>
  <c r="S421" i="6" s="1"/>
  <c r="T421" i="6"/>
  <c r="C422" i="6"/>
  <c r="D422" i="6"/>
  <c r="E422" i="6"/>
  <c r="F422" i="6"/>
  <c r="I422" i="6"/>
  <c r="L422" i="6"/>
  <c r="N422" i="6"/>
  <c r="Q422" i="6"/>
  <c r="R422" i="6"/>
  <c r="S422" i="6"/>
  <c r="T422" i="6"/>
  <c r="C423" i="6"/>
  <c r="D423" i="6"/>
  <c r="E423" i="6"/>
  <c r="F423" i="6"/>
  <c r="H423" i="6"/>
  <c r="I423" i="6"/>
  <c r="L423" i="6"/>
  <c r="N423" i="6"/>
  <c r="Q423" i="6"/>
  <c r="R423" i="6"/>
  <c r="S423" i="6"/>
  <c r="T423" i="6"/>
  <c r="C424" i="6"/>
  <c r="D424" i="6"/>
  <c r="E424" i="6"/>
  <c r="F424" i="6"/>
  <c r="H424" i="6"/>
  <c r="I424" i="6"/>
  <c r="L424" i="6"/>
  <c r="N424" i="6"/>
  <c r="Q424" i="6"/>
  <c r="R424" i="6"/>
  <c r="S424" i="6"/>
  <c r="T424" i="6"/>
  <c r="C425" i="6"/>
  <c r="D425" i="6"/>
  <c r="E425" i="6"/>
  <c r="F425" i="6"/>
  <c r="H425" i="6"/>
  <c r="I425" i="6"/>
  <c r="L425" i="6"/>
  <c r="N425" i="6"/>
  <c r="Q425" i="6"/>
  <c r="R425" i="6"/>
  <c r="S425" i="6"/>
  <c r="T425" i="6"/>
  <c r="C426" i="6"/>
  <c r="D426" i="6"/>
  <c r="E426" i="6"/>
  <c r="F426" i="6"/>
  <c r="H426" i="6"/>
  <c r="I426" i="6"/>
  <c r="L426" i="6"/>
  <c r="N426" i="6"/>
  <c r="Q426" i="6"/>
  <c r="R426" i="6"/>
  <c r="S426" i="6"/>
  <c r="T426" i="6"/>
  <c r="C427" i="6"/>
  <c r="D427" i="6"/>
  <c r="E427" i="6"/>
  <c r="F427" i="6"/>
  <c r="H427" i="6"/>
  <c r="I427" i="6"/>
  <c r="L427" i="6"/>
  <c r="N427" i="6"/>
  <c r="Q427" i="6"/>
  <c r="R427" i="6"/>
  <c r="S427" i="6"/>
  <c r="T427" i="6"/>
  <c r="C428" i="6"/>
  <c r="D428" i="6"/>
  <c r="E428" i="6"/>
  <c r="F428" i="6"/>
  <c r="H428" i="6"/>
  <c r="I428" i="6"/>
  <c r="L428" i="6"/>
  <c r="N428" i="6"/>
  <c r="Q428" i="6"/>
  <c r="R428" i="6"/>
  <c r="S428" i="6"/>
  <c r="T428" i="6"/>
  <c r="C429" i="6"/>
  <c r="D429" i="6"/>
  <c r="E429" i="6"/>
  <c r="F429" i="6"/>
  <c r="H429" i="6"/>
  <c r="I429" i="6"/>
  <c r="L429" i="6"/>
  <c r="N429" i="6"/>
  <c r="Q429" i="6"/>
  <c r="R429" i="6"/>
  <c r="S429" i="6"/>
  <c r="T429" i="6"/>
  <c r="C430" i="6"/>
  <c r="L430" i="6" s="1"/>
  <c r="D430" i="6"/>
  <c r="E430" i="6"/>
  <c r="F430" i="6"/>
  <c r="I430" i="6"/>
  <c r="N430" i="6"/>
  <c r="R430" i="6"/>
  <c r="Q430" i="6" s="1"/>
  <c r="S430" i="6" s="1"/>
  <c r="T430" i="6"/>
  <c r="C431" i="6"/>
  <c r="D431" i="6"/>
  <c r="E431" i="6"/>
  <c r="F431" i="6"/>
  <c r="I431" i="6"/>
  <c r="L431" i="6"/>
  <c r="N431" i="6"/>
  <c r="Q431" i="6"/>
  <c r="R431" i="6"/>
  <c r="S431" i="6"/>
  <c r="T431" i="6"/>
  <c r="C432" i="6"/>
  <c r="L432" i="6" s="1"/>
  <c r="D432" i="6"/>
  <c r="E432" i="6"/>
  <c r="F432" i="6"/>
  <c r="I432" i="6"/>
  <c r="N432" i="6"/>
  <c r="R432" i="6"/>
  <c r="Q432" i="6" s="1"/>
  <c r="S432" i="6" s="1"/>
  <c r="T432" i="6"/>
  <c r="C433" i="6"/>
  <c r="D433" i="6"/>
  <c r="E433" i="6"/>
  <c r="F433" i="6"/>
  <c r="I433" i="6"/>
  <c r="L433" i="6"/>
  <c r="N433" i="6"/>
  <c r="Q433" i="6"/>
  <c r="R433" i="6"/>
  <c r="S433" i="6"/>
  <c r="T433" i="6"/>
  <c r="C434" i="6"/>
  <c r="L434" i="6" s="1"/>
  <c r="D434" i="6"/>
  <c r="E434" i="6"/>
  <c r="F434" i="6"/>
  <c r="I434" i="6"/>
  <c r="N434" i="6"/>
  <c r="R434" i="6"/>
  <c r="Q434" i="6" s="1"/>
  <c r="S434" i="6" s="1"/>
  <c r="T434" i="6"/>
  <c r="C435" i="6"/>
  <c r="D435" i="6"/>
  <c r="L435" i="6" s="1"/>
  <c r="E435" i="6"/>
  <c r="F435" i="6"/>
  <c r="H435" i="6"/>
  <c r="I435" i="6"/>
  <c r="N435" i="6"/>
  <c r="R435" i="6"/>
  <c r="Q435" i="6" s="1"/>
  <c r="S435" i="6" s="1"/>
  <c r="T435" i="6"/>
  <c r="C436" i="6"/>
  <c r="D436" i="6"/>
  <c r="L436" i="6" s="1"/>
  <c r="E436" i="6"/>
  <c r="F436" i="6"/>
  <c r="H436" i="6"/>
  <c r="I436" i="6"/>
  <c r="N436" i="6"/>
  <c r="R436" i="6"/>
  <c r="Q436" i="6" s="1"/>
  <c r="S436" i="6" s="1"/>
  <c r="T436" i="6"/>
  <c r="C437" i="6"/>
  <c r="D437" i="6"/>
  <c r="L437" i="6" s="1"/>
  <c r="E437" i="6"/>
  <c r="F437" i="6"/>
  <c r="H437" i="6"/>
  <c r="I437" i="6"/>
  <c r="N437" i="6"/>
  <c r="R437" i="6"/>
  <c r="Q437" i="6" s="1"/>
  <c r="S437" i="6" s="1"/>
  <c r="T437" i="6"/>
  <c r="C438" i="6"/>
  <c r="D438" i="6"/>
  <c r="L438" i="6" s="1"/>
  <c r="E438" i="6"/>
  <c r="F438" i="6"/>
  <c r="H438" i="6"/>
  <c r="I438" i="6"/>
  <c r="N438" i="6"/>
  <c r="R438" i="6"/>
  <c r="Q438" i="6" s="1"/>
  <c r="S438" i="6" s="1"/>
  <c r="T438" i="6"/>
  <c r="C439" i="6"/>
  <c r="D439" i="6"/>
  <c r="L439" i="6" s="1"/>
  <c r="E439" i="6"/>
  <c r="F439" i="6"/>
  <c r="H439" i="6"/>
  <c r="I439" i="6"/>
  <c r="N439" i="6"/>
  <c r="R439" i="6"/>
  <c r="Q439" i="6" s="1"/>
  <c r="S439" i="6" s="1"/>
  <c r="T439" i="6"/>
  <c r="C440" i="6"/>
  <c r="D440" i="6"/>
  <c r="L440" i="6" s="1"/>
  <c r="E440" i="6"/>
  <c r="F440" i="6"/>
  <c r="H440" i="6"/>
  <c r="I440" i="6"/>
  <c r="N440" i="6"/>
  <c r="R440" i="6"/>
  <c r="Q440" i="6" s="1"/>
  <c r="S440" i="6" s="1"/>
  <c r="T440" i="6"/>
  <c r="C441" i="6"/>
  <c r="D441" i="6"/>
  <c r="L441" i="6" s="1"/>
  <c r="E441" i="6"/>
  <c r="F441" i="6"/>
  <c r="H441" i="6"/>
  <c r="I441" i="6"/>
  <c r="N441" i="6"/>
  <c r="R441" i="6"/>
  <c r="Q441" i="6" s="1"/>
  <c r="S441" i="6" s="1"/>
  <c r="T441" i="6"/>
  <c r="C442" i="6"/>
  <c r="D442" i="6"/>
  <c r="E442" i="6"/>
  <c r="F442" i="6"/>
  <c r="I442" i="6"/>
  <c r="L442" i="6"/>
  <c r="N442" i="6"/>
  <c r="Q442" i="6"/>
  <c r="R442" i="6"/>
  <c r="S442" i="6"/>
  <c r="T442" i="6"/>
  <c r="C443" i="6"/>
  <c r="L443" i="6" s="1"/>
  <c r="D443" i="6"/>
  <c r="E443" i="6"/>
  <c r="F443" i="6"/>
  <c r="I443" i="6"/>
  <c r="N443" i="6"/>
  <c r="R443" i="6"/>
  <c r="Q443" i="6" s="1"/>
  <c r="S443" i="6" s="1"/>
  <c r="T443" i="6"/>
  <c r="C444" i="6"/>
  <c r="D444" i="6"/>
  <c r="E444" i="6"/>
  <c r="F444" i="6"/>
  <c r="I444" i="6"/>
  <c r="L444" i="6"/>
  <c r="N444" i="6"/>
  <c r="Q444" i="6"/>
  <c r="R444" i="6"/>
  <c r="S444" i="6"/>
  <c r="T444" i="6"/>
  <c r="C445" i="6"/>
  <c r="L445" i="6" s="1"/>
  <c r="D445" i="6"/>
  <c r="E445" i="6"/>
  <c r="F445" i="6"/>
  <c r="I445" i="6"/>
  <c r="N445" i="6"/>
  <c r="R445" i="6"/>
  <c r="Q445" i="6" s="1"/>
  <c r="S445" i="6" s="1"/>
  <c r="T445" i="6"/>
  <c r="C446" i="6"/>
  <c r="D446" i="6"/>
  <c r="E446" i="6"/>
  <c r="F446" i="6"/>
  <c r="I446" i="6"/>
  <c r="L446" i="6"/>
  <c r="N446" i="6"/>
  <c r="Q446" i="6"/>
  <c r="R446" i="6"/>
  <c r="S446" i="6"/>
  <c r="T446" i="6"/>
  <c r="C447" i="6"/>
  <c r="D447" i="6"/>
  <c r="E447" i="6"/>
  <c r="F447" i="6"/>
  <c r="H447" i="6"/>
  <c r="I447" i="6"/>
  <c r="L447" i="6"/>
  <c r="N447" i="6"/>
  <c r="Q447" i="6"/>
  <c r="R447" i="6"/>
  <c r="S447" i="6"/>
  <c r="T447" i="6"/>
  <c r="C448" i="6"/>
  <c r="D448" i="6"/>
  <c r="E448" i="6"/>
  <c r="F448" i="6"/>
  <c r="H448" i="6"/>
  <c r="I448" i="6"/>
  <c r="L448" i="6"/>
  <c r="N448" i="6"/>
  <c r="Q448" i="6"/>
  <c r="R448" i="6"/>
  <c r="S448" i="6"/>
  <c r="T448" i="6"/>
  <c r="C449" i="6"/>
  <c r="D449" i="6"/>
  <c r="E449" i="6"/>
  <c r="F449" i="6"/>
  <c r="H449" i="6"/>
  <c r="I449" i="6"/>
  <c r="L449" i="6"/>
  <c r="N449" i="6"/>
  <c r="Q449" i="6"/>
  <c r="R449" i="6"/>
  <c r="S449" i="6"/>
  <c r="T449" i="6"/>
  <c r="C450" i="6"/>
  <c r="D450" i="6"/>
  <c r="E450" i="6"/>
  <c r="F450" i="6"/>
  <c r="H450" i="6"/>
  <c r="I450" i="6"/>
  <c r="L450" i="6"/>
  <c r="N450" i="6"/>
  <c r="Q450" i="6"/>
  <c r="R450" i="6"/>
  <c r="S450" i="6"/>
  <c r="T450" i="6"/>
  <c r="C451" i="6"/>
  <c r="D451" i="6"/>
  <c r="E451" i="6"/>
  <c r="F451" i="6"/>
  <c r="H451" i="6"/>
  <c r="I451" i="6"/>
  <c r="L451" i="6"/>
  <c r="N451" i="6"/>
  <c r="Q451" i="6"/>
  <c r="R451" i="6"/>
  <c r="S451" i="6"/>
  <c r="T451" i="6"/>
  <c r="C452" i="6"/>
  <c r="D452" i="6"/>
  <c r="E452" i="6"/>
  <c r="F452" i="6"/>
  <c r="H452" i="6"/>
  <c r="I452" i="6"/>
  <c r="L452" i="6"/>
  <c r="N452" i="6"/>
  <c r="Q452" i="6"/>
  <c r="R452" i="6"/>
  <c r="S452" i="6"/>
  <c r="T452" i="6"/>
  <c r="C453" i="6"/>
  <c r="D453" i="6"/>
  <c r="E453" i="6"/>
  <c r="F453" i="6"/>
  <c r="H453" i="6"/>
  <c r="I453" i="6"/>
  <c r="L453" i="6"/>
  <c r="N453" i="6"/>
  <c r="Q453" i="6"/>
  <c r="R453" i="6"/>
  <c r="S453" i="6"/>
  <c r="T453" i="6"/>
  <c r="C454" i="6"/>
  <c r="L454" i="6" s="1"/>
  <c r="D454" i="6"/>
  <c r="E454" i="6"/>
  <c r="F454" i="6"/>
  <c r="I454" i="6"/>
  <c r="N454" i="6"/>
  <c r="R454" i="6"/>
  <c r="Q454" i="6" s="1"/>
  <c r="S454" i="6" s="1"/>
  <c r="T454" i="6"/>
  <c r="C455" i="6"/>
  <c r="D455" i="6"/>
  <c r="E455" i="6"/>
  <c r="F455" i="6"/>
  <c r="I455" i="6"/>
  <c r="L455" i="6"/>
  <c r="N455" i="6"/>
  <c r="Q455" i="6"/>
  <c r="R455" i="6"/>
  <c r="S455" i="6"/>
  <c r="T455" i="6"/>
  <c r="C456" i="6"/>
  <c r="L456" i="6" s="1"/>
  <c r="D456" i="6"/>
  <c r="E456" i="6"/>
  <c r="F456" i="6"/>
  <c r="I456" i="6"/>
  <c r="N456" i="6"/>
  <c r="R456" i="6"/>
  <c r="Q456" i="6" s="1"/>
  <c r="S456" i="6" s="1"/>
  <c r="T456" i="6"/>
  <c r="C457" i="6"/>
  <c r="D457" i="6"/>
  <c r="E457" i="6"/>
  <c r="F457" i="6"/>
  <c r="I457" i="6"/>
  <c r="L457" i="6"/>
  <c r="N457" i="6"/>
  <c r="Q457" i="6"/>
  <c r="R457" i="6"/>
  <c r="S457" i="6"/>
  <c r="T457" i="6"/>
  <c r="C458" i="6"/>
  <c r="L458" i="6" s="1"/>
  <c r="D458" i="6"/>
  <c r="E458" i="6"/>
  <c r="F458" i="6"/>
  <c r="I458" i="6"/>
  <c r="N458" i="6"/>
  <c r="R458" i="6"/>
  <c r="Q458" i="6" s="1"/>
  <c r="S458" i="6" s="1"/>
  <c r="T458" i="6"/>
  <c r="C459" i="6"/>
  <c r="D459" i="6"/>
  <c r="L459" i="6" s="1"/>
  <c r="E459" i="6"/>
  <c r="F459" i="6"/>
  <c r="H459" i="6"/>
  <c r="I459" i="6"/>
  <c r="N459" i="6"/>
  <c r="R459" i="6"/>
  <c r="Q459" i="6" s="1"/>
  <c r="S459" i="6" s="1"/>
  <c r="T459" i="6"/>
  <c r="C460" i="6"/>
  <c r="D460" i="6"/>
  <c r="L460" i="6" s="1"/>
  <c r="E460" i="6"/>
  <c r="F460" i="6"/>
  <c r="H460" i="6"/>
  <c r="I460" i="6"/>
  <c r="N460" i="6"/>
  <c r="R460" i="6"/>
  <c r="Q460" i="6" s="1"/>
  <c r="S460" i="6" s="1"/>
  <c r="T460" i="6"/>
  <c r="C461" i="6"/>
  <c r="D461" i="6"/>
  <c r="L461" i="6" s="1"/>
  <c r="E461" i="6"/>
  <c r="F461" i="6"/>
  <c r="H461" i="6"/>
  <c r="I461" i="6"/>
  <c r="N461" i="6"/>
  <c r="R461" i="6"/>
  <c r="Q461" i="6" s="1"/>
  <c r="S461" i="6" s="1"/>
  <c r="T461" i="6"/>
  <c r="C462" i="6"/>
  <c r="D462" i="6"/>
  <c r="L462" i="6" s="1"/>
  <c r="E462" i="6"/>
  <c r="F462" i="6"/>
  <c r="H462" i="6"/>
  <c r="I462" i="6"/>
  <c r="N462" i="6"/>
  <c r="R462" i="6"/>
  <c r="Q462" i="6" s="1"/>
  <c r="S462" i="6" s="1"/>
  <c r="T462" i="6"/>
  <c r="C463" i="6"/>
  <c r="D463" i="6"/>
  <c r="L463" i="6" s="1"/>
  <c r="E463" i="6"/>
  <c r="F463" i="6"/>
  <c r="H463" i="6"/>
  <c r="I463" i="6"/>
  <c r="N463" i="6"/>
  <c r="R463" i="6"/>
  <c r="Q463" i="6" s="1"/>
  <c r="S463" i="6" s="1"/>
  <c r="T463" i="6"/>
  <c r="C464" i="6"/>
  <c r="D464" i="6"/>
  <c r="L464" i="6" s="1"/>
  <c r="E464" i="6"/>
  <c r="F464" i="6"/>
  <c r="H464" i="6"/>
  <c r="I464" i="6"/>
  <c r="N464" i="6"/>
  <c r="R464" i="6"/>
  <c r="Q464" i="6" s="1"/>
  <c r="S464" i="6" s="1"/>
  <c r="T464" i="6"/>
  <c r="C465" i="6"/>
  <c r="D465" i="6"/>
  <c r="L465" i="6" s="1"/>
  <c r="E465" i="6"/>
  <c r="F465" i="6"/>
  <c r="H465" i="6"/>
  <c r="I465" i="6"/>
  <c r="N465" i="6"/>
  <c r="R465" i="6"/>
  <c r="Q465" i="6" s="1"/>
  <c r="S465" i="6" s="1"/>
  <c r="T465" i="6"/>
  <c r="C466" i="6"/>
  <c r="D466" i="6"/>
  <c r="E466" i="6"/>
  <c r="F466" i="6"/>
  <c r="I466" i="6"/>
  <c r="L466" i="6"/>
  <c r="N466" i="6"/>
  <c r="Q466" i="6"/>
  <c r="R466" i="6"/>
  <c r="S466" i="6"/>
  <c r="T466" i="6"/>
  <c r="C467" i="6"/>
  <c r="L467" i="6" s="1"/>
  <c r="D467" i="6"/>
  <c r="E467" i="6"/>
  <c r="F467" i="6"/>
  <c r="I467" i="6"/>
  <c r="N467" i="6"/>
  <c r="R467" i="6"/>
  <c r="Q467" i="6" s="1"/>
  <c r="S467" i="6" s="1"/>
  <c r="T467" i="6"/>
  <c r="C468" i="6"/>
  <c r="D468" i="6"/>
  <c r="E468" i="6"/>
  <c r="F468" i="6"/>
  <c r="I468" i="6"/>
  <c r="L468" i="6"/>
  <c r="N468" i="6"/>
  <c r="Q468" i="6"/>
  <c r="R468" i="6"/>
  <c r="S468" i="6"/>
  <c r="T468" i="6"/>
  <c r="C469" i="6"/>
  <c r="L469" i="6" s="1"/>
  <c r="D469" i="6"/>
  <c r="E469" i="6"/>
  <c r="F469" i="6"/>
  <c r="I469" i="6"/>
  <c r="N469" i="6"/>
  <c r="R469" i="6"/>
  <c r="Q469" i="6" s="1"/>
  <c r="S469" i="6" s="1"/>
  <c r="T469" i="6"/>
  <c r="C470" i="6"/>
  <c r="D470" i="6"/>
  <c r="E470" i="6"/>
  <c r="F470" i="6"/>
  <c r="I470" i="6"/>
  <c r="L470" i="6"/>
  <c r="N470" i="6"/>
  <c r="Q470" i="6"/>
  <c r="R470" i="6"/>
  <c r="S470" i="6"/>
  <c r="T470" i="6"/>
  <c r="C471" i="6"/>
  <c r="D471" i="6"/>
  <c r="E471" i="6"/>
  <c r="F471" i="6"/>
  <c r="H471" i="6"/>
  <c r="I471" i="6"/>
  <c r="L471" i="6"/>
  <c r="N471" i="6"/>
  <c r="Q471" i="6"/>
  <c r="R471" i="6"/>
  <c r="S471" i="6"/>
  <c r="T471" i="6"/>
  <c r="C472" i="6"/>
  <c r="D472" i="6"/>
  <c r="E472" i="6"/>
  <c r="F472" i="6"/>
  <c r="H472" i="6"/>
  <c r="I472" i="6"/>
  <c r="L472" i="6"/>
  <c r="N472" i="6"/>
  <c r="Q472" i="6"/>
  <c r="R472" i="6"/>
  <c r="S472" i="6"/>
  <c r="T472" i="6"/>
  <c r="C473" i="6"/>
  <c r="D473" i="6"/>
  <c r="E473" i="6"/>
  <c r="F473" i="6"/>
  <c r="H473" i="6"/>
  <c r="I473" i="6"/>
  <c r="L473" i="6"/>
  <c r="N473" i="6"/>
  <c r="Q473" i="6"/>
  <c r="R473" i="6"/>
  <c r="S473" i="6"/>
  <c r="T473" i="6"/>
  <c r="C474" i="6"/>
  <c r="D474" i="6"/>
  <c r="E474" i="6"/>
  <c r="F474" i="6"/>
  <c r="H474" i="6"/>
  <c r="I474" i="6"/>
  <c r="L474" i="6"/>
  <c r="N474" i="6"/>
  <c r="Q474" i="6"/>
  <c r="R474" i="6"/>
  <c r="S474" i="6"/>
  <c r="T474" i="6"/>
  <c r="C475" i="6"/>
  <c r="D475" i="6"/>
  <c r="E475" i="6"/>
  <c r="F475" i="6"/>
  <c r="H475" i="6"/>
  <c r="I475" i="6"/>
  <c r="L475" i="6"/>
  <c r="N475" i="6"/>
  <c r="Q475" i="6"/>
  <c r="R475" i="6"/>
  <c r="S475" i="6"/>
  <c r="T475" i="6"/>
  <c r="C476" i="6"/>
  <c r="D476" i="6"/>
  <c r="E476" i="6"/>
  <c r="F476" i="6"/>
  <c r="H476" i="6"/>
  <c r="I476" i="6"/>
  <c r="L476" i="6"/>
  <c r="N476" i="6"/>
  <c r="Q476" i="6"/>
  <c r="R476" i="6"/>
  <c r="S476" i="6"/>
  <c r="T476" i="6"/>
  <c r="C477" i="6"/>
  <c r="D477" i="6"/>
  <c r="E477" i="6"/>
  <c r="F477" i="6"/>
  <c r="H477" i="6"/>
  <c r="I477" i="6"/>
  <c r="L477" i="6"/>
  <c r="N477" i="6"/>
  <c r="Q477" i="6"/>
  <c r="R477" i="6"/>
  <c r="S477" i="6"/>
  <c r="T477" i="6"/>
  <c r="C478" i="6"/>
  <c r="L478" i="6" s="1"/>
  <c r="D478" i="6"/>
  <c r="E478" i="6"/>
  <c r="F478" i="6"/>
  <c r="I478" i="6"/>
  <c r="N478" i="6"/>
  <c r="R478" i="6"/>
  <c r="Q478" i="6" s="1"/>
  <c r="S478" i="6" s="1"/>
  <c r="T478" i="6"/>
  <c r="C479" i="6"/>
  <c r="D479" i="6"/>
  <c r="E479" i="6"/>
  <c r="F479" i="6"/>
  <c r="I479" i="6"/>
  <c r="L479" i="6"/>
  <c r="N479" i="6"/>
  <c r="Q479" i="6"/>
  <c r="R479" i="6"/>
  <c r="S479" i="6"/>
  <c r="T479" i="6"/>
  <c r="C480" i="6"/>
  <c r="L480" i="6" s="1"/>
  <c r="D480" i="6"/>
  <c r="E480" i="6"/>
  <c r="F480" i="6"/>
  <c r="I480" i="6"/>
  <c r="N480" i="6"/>
  <c r="R480" i="6"/>
  <c r="Q480" i="6" s="1"/>
  <c r="S480" i="6" s="1"/>
  <c r="T480" i="6"/>
  <c r="C481" i="6"/>
  <c r="D481" i="6"/>
  <c r="E481" i="6"/>
  <c r="F481" i="6"/>
  <c r="I481" i="6"/>
  <c r="L481" i="6"/>
  <c r="N481" i="6"/>
  <c r="Q481" i="6"/>
  <c r="R481" i="6"/>
  <c r="S481" i="6"/>
  <c r="T481" i="6"/>
  <c r="C482" i="6"/>
  <c r="L482" i="6" s="1"/>
  <c r="D482" i="6"/>
  <c r="E482" i="6"/>
  <c r="F482" i="6"/>
  <c r="I482" i="6"/>
  <c r="N482" i="6"/>
  <c r="R482" i="6"/>
  <c r="Q482" i="6" s="1"/>
  <c r="S482" i="6" s="1"/>
  <c r="T482" i="6"/>
  <c r="C483" i="6"/>
  <c r="D483" i="6"/>
  <c r="L483" i="6" s="1"/>
  <c r="E483" i="6"/>
  <c r="F483" i="6"/>
  <c r="H483" i="6"/>
  <c r="I483" i="6"/>
  <c r="N483" i="6"/>
  <c r="R483" i="6"/>
  <c r="Q483" i="6" s="1"/>
  <c r="S483" i="6" s="1"/>
  <c r="T483" i="6"/>
  <c r="C484" i="6"/>
  <c r="D484" i="6"/>
  <c r="L484" i="6" s="1"/>
  <c r="E484" i="6"/>
  <c r="F484" i="6"/>
  <c r="H484" i="6"/>
  <c r="I484" i="6"/>
  <c r="N484" i="6"/>
  <c r="R484" i="6"/>
  <c r="Q484" i="6" s="1"/>
  <c r="S484" i="6" s="1"/>
  <c r="T484" i="6"/>
  <c r="C485" i="6"/>
  <c r="D485" i="6"/>
  <c r="L485" i="6" s="1"/>
  <c r="E485" i="6"/>
  <c r="F485" i="6"/>
  <c r="H485" i="6"/>
  <c r="I485" i="6"/>
  <c r="N485" i="6"/>
  <c r="R485" i="6"/>
  <c r="Q485" i="6" s="1"/>
  <c r="S485" i="6" s="1"/>
  <c r="T485" i="6"/>
  <c r="C486" i="6"/>
  <c r="D486" i="6"/>
  <c r="L486" i="6" s="1"/>
  <c r="E486" i="6"/>
  <c r="F486" i="6"/>
  <c r="H486" i="6"/>
  <c r="I486" i="6"/>
  <c r="N486" i="6"/>
  <c r="R486" i="6"/>
  <c r="Q486" i="6" s="1"/>
  <c r="S486" i="6" s="1"/>
  <c r="T486" i="6"/>
  <c r="C487" i="6"/>
  <c r="D487" i="6"/>
  <c r="L487" i="6" s="1"/>
  <c r="E487" i="6"/>
  <c r="F487" i="6"/>
  <c r="H487" i="6"/>
  <c r="I487" i="6"/>
  <c r="N487" i="6"/>
  <c r="R487" i="6"/>
  <c r="Q487" i="6" s="1"/>
  <c r="S487" i="6" s="1"/>
  <c r="T487" i="6"/>
  <c r="C488" i="6"/>
  <c r="D488" i="6"/>
  <c r="L488" i="6" s="1"/>
  <c r="E488" i="6"/>
  <c r="F488" i="6"/>
  <c r="H488" i="6"/>
  <c r="I488" i="6"/>
  <c r="N488" i="6"/>
  <c r="R488" i="6"/>
  <c r="Q488" i="6" s="1"/>
  <c r="S488" i="6" s="1"/>
  <c r="T488" i="6"/>
  <c r="C489" i="6"/>
  <c r="D489" i="6"/>
  <c r="L489" i="6" s="1"/>
  <c r="E489" i="6"/>
  <c r="F489" i="6"/>
  <c r="H489" i="6"/>
  <c r="I489" i="6"/>
  <c r="N489" i="6"/>
  <c r="R489" i="6"/>
  <c r="Q489" i="6" s="1"/>
  <c r="S489" i="6" s="1"/>
  <c r="T489" i="6"/>
  <c r="C490" i="6"/>
  <c r="D490" i="6"/>
  <c r="E490" i="6"/>
  <c r="F490" i="6"/>
  <c r="I490" i="6"/>
  <c r="L490" i="6"/>
  <c r="N490" i="6"/>
  <c r="Q490" i="6"/>
  <c r="R490" i="6"/>
  <c r="S490" i="6"/>
  <c r="T490" i="6"/>
  <c r="C491" i="6"/>
  <c r="L491" i="6" s="1"/>
  <c r="D491" i="6"/>
  <c r="E491" i="6"/>
  <c r="F491" i="6"/>
  <c r="I491" i="6"/>
  <c r="N491" i="6"/>
  <c r="R491" i="6"/>
  <c r="Q491" i="6" s="1"/>
  <c r="S491" i="6" s="1"/>
  <c r="T491" i="6"/>
  <c r="C492" i="6"/>
  <c r="D492" i="6"/>
  <c r="E492" i="6"/>
  <c r="F492" i="6"/>
  <c r="I492" i="6"/>
  <c r="L492" i="6"/>
  <c r="N492" i="6"/>
  <c r="Q492" i="6"/>
  <c r="R492" i="6"/>
  <c r="S492" i="6"/>
  <c r="T492" i="6"/>
  <c r="C493" i="6"/>
  <c r="L493" i="6" s="1"/>
  <c r="D493" i="6"/>
  <c r="E493" i="6"/>
  <c r="F493" i="6"/>
  <c r="I493" i="6"/>
  <c r="N493" i="6"/>
  <c r="R493" i="6"/>
  <c r="Q493" i="6" s="1"/>
  <c r="S493" i="6" s="1"/>
  <c r="T493" i="6"/>
  <c r="C494" i="6"/>
  <c r="D494" i="6"/>
  <c r="E494" i="6"/>
  <c r="F494" i="6"/>
  <c r="I494" i="6"/>
  <c r="L494" i="6"/>
  <c r="N494" i="6"/>
  <c r="Q494" i="6"/>
  <c r="R494" i="6"/>
  <c r="S494" i="6"/>
  <c r="T494" i="6"/>
  <c r="C495" i="6"/>
  <c r="D495" i="6"/>
  <c r="E495" i="6"/>
  <c r="F495" i="6"/>
  <c r="H495" i="6"/>
  <c r="I495" i="6"/>
  <c r="L495" i="6"/>
  <c r="N495" i="6"/>
  <c r="Q495" i="6"/>
  <c r="R495" i="6"/>
  <c r="S495" i="6"/>
  <c r="T495" i="6"/>
  <c r="C496" i="6"/>
  <c r="D496" i="6"/>
  <c r="E496" i="6"/>
  <c r="F496" i="6"/>
  <c r="H496" i="6"/>
  <c r="I496" i="6"/>
  <c r="L496" i="6"/>
  <c r="N496" i="6"/>
  <c r="Q496" i="6"/>
  <c r="R496" i="6"/>
  <c r="S496" i="6"/>
  <c r="T496" i="6"/>
  <c r="C497" i="6"/>
  <c r="D497" i="6"/>
  <c r="E497" i="6"/>
  <c r="F497" i="6"/>
  <c r="H497" i="6"/>
  <c r="I497" i="6"/>
  <c r="L497" i="6"/>
  <c r="N497" i="6"/>
  <c r="Q497" i="6"/>
  <c r="R497" i="6"/>
  <c r="S497" i="6"/>
  <c r="T497" i="6"/>
  <c r="C498" i="6"/>
  <c r="D498" i="6"/>
  <c r="E498" i="6"/>
  <c r="F498" i="6"/>
  <c r="H498" i="6"/>
  <c r="I498" i="6"/>
  <c r="L498" i="6"/>
  <c r="N498" i="6"/>
  <c r="Q498" i="6"/>
  <c r="R498" i="6"/>
  <c r="S498" i="6"/>
  <c r="T498" i="6"/>
  <c r="C499" i="6"/>
  <c r="D499" i="6"/>
  <c r="E499" i="6"/>
  <c r="F499" i="6"/>
  <c r="H499" i="6"/>
  <c r="I499" i="6"/>
  <c r="L499" i="6"/>
  <c r="N499" i="6"/>
  <c r="Q499" i="6"/>
  <c r="R499" i="6"/>
  <c r="S499" i="6"/>
  <c r="T499" i="6"/>
  <c r="C500" i="6"/>
  <c r="D500" i="6"/>
  <c r="E500" i="6"/>
  <c r="F500" i="6"/>
  <c r="H500" i="6"/>
  <c r="I500" i="6"/>
  <c r="L500" i="6"/>
  <c r="N500" i="6"/>
  <c r="Q500" i="6"/>
  <c r="R500" i="6"/>
  <c r="S500" i="6"/>
  <c r="T500" i="6"/>
  <c r="C501" i="6"/>
  <c r="D501" i="6"/>
  <c r="E501" i="6"/>
  <c r="F501" i="6"/>
  <c r="H501" i="6"/>
  <c r="I501" i="6"/>
  <c r="L501" i="6"/>
  <c r="N501" i="6"/>
  <c r="Q501" i="6"/>
  <c r="R501" i="6"/>
  <c r="S501" i="6"/>
  <c r="T501" i="6"/>
  <c r="C502" i="6"/>
  <c r="L502" i="6" s="1"/>
  <c r="D502" i="6"/>
  <c r="E502" i="6"/>
  <c r="F502" i="6"/>
  <c r="I502" i="6"/>
  <c r="N502" i="6"/>
  <c r="R502" i="6"/>
  <c r="Q502" i="6" s="1"/>
  <c r="S502" i="6" s="1"/>
  <c r="T502" i="6"/>
  <c r="C503" i="6"/>
  <c r="D503" i="6"/>
  <c r="E503" i="6"/>
  <c r="F503" i="6"/>
  <c r="I503" i="6"/>
  <c r="L503" i="6"/>
  <c r="N503" i="6"/>
  <c r="Q503" i="6"/>
  <c r="R503" i="6"/>
  <c r="S503" i="6"/>
  <c r="T503" i="6"/>
  <c r="C504" i="6"/>
  <c r="L504" i="6" s="1"/>
  <c r="D504" i="6"/>
  <c r="E504" i="6"/>
  <c r="F504" i="6"/>
  <c r="I504" i="6"/>
  <c r="N504" i="6"/>
  <c r="R504" i="6"/>
  <c r="Q504" i="6" s="1"/>
  <c r="S504" i="6" s="1"/>
  <c r="T504" i="6"/>
  <c r="C505" i="6"/>
  <c r="D505" i="6"/>
  <c r="E505" i="6"/>
  <c r="F505" i="6"/>
  <c r="I505" i="6"/>
  <c r="L505" i="6"/>
  <c r="N505" i="6"/>
  <c r="Q505" i="6"/>
  <c r="R505" i="6"/>
  <c r="S505" i="6"/>
  <c r="T505" i="6"/>
  <c r="C506" i="6"/>
  <c r="L506" i="6" s="1"/>
  <c r="D506" i="6"/>
  <c r="E506" i="6"/>
  <c r="F506" i="6"/>
  <c r="I506" i="6"/>
  <c r="N506" i="6"/>
  <c r="R506" i="6"/>
  <c r="Q506" i="6" s="1"/>
  <c r="S506" i="6" s="1"/>
  <c r="T506" i="6"/>
  <c r="C507" i="6"/>
  <c r="D507" i="6"/>
  <c r="L507" i="6" s="1"/>
  <c r="E507" i="6"/>
  <c r="F507" i="6"/>
  <c r="H507" i="6"/>
  <c r="I507" i="6"/>
  <c r="N507" i="6"/>
  <c r="R507" i="6"/>
  <c r="Q507" i="6" s="1"/>
  <c r="S507" i="6" s="1"/>
  <c r="T507" i="6"/>
  <c r="C508" i="6"/>
  <c r="D508" i="6"/>
  <c r="L508" i="6" s="1"/>
  <c r="E508" i="6"/>
  <c r="F508" i="6"/>
  <c r="H508" i="6"/>
  <c r="I508" i="6"/>
  <c r="N508" i="6"/>
  <c r="R508" i="6"/>
  <c r="Q508" i="6" s="1"/>
  <c r="S508" i="6" s="1"/>
  <c r="T508" i="6"/>
  <c r="C509" i="6"/>
  <c r="D509" i="6"/>
  <c r="L509" i="6" s="1"/>
  <c r="E509" i="6"/>
  <c r="F509" i="6"/>
  <c r="H509" i="6"/>
  <c r="I509" i="6"/>
  <c r="N509" i="6"/>
  <c r="R509" i="6"/>
  <c r="Q509" i="6" s="1"/>
  <c r="S509" i="6" s="1"/>
  <c r="T509" i="6"/>
  <c r="C510" i="6"/>
  <c r="D510" i="6"/>
  <c r="L510" i="6" s="1"/>
  <c r="E510" i="6"/>
  <c r="F510" i="6"/>
  <c r="H510" i="6"/>
  <c r="I510" i="6"/>
  <c r="N510" i="6"/>
  <c r="R510" i="6"/>
  <c r="Q510" i="6" s="1"/>
  <c r="S510" i="6" s="1"/>
  <c r="T510" i="6"/>
  <c r="C511" i="6"/>
  <c r="D511" i="6"/>
  <c r="L511" i="6" s="1"/>
  <c r="E511" i="6"/>
  <c r="F511" i="6"/>
  <c r="H511" i="6"/>
  <c r="I511" i="6"/>
  <c r="N511" i="6"/>
  <c r="R511" i="6"/>
  <c r="Q511" i="6" s="1"/>
  <c r="S511" i="6" s="1"/>
  <c r="T511" i="6"/>
  <c r="C512" i="6"/>
  <c r="D512" i="6"/>
  <c r="L512" i="6" s="1"/>
  <c r="E512" i="6"/>
  <c r="F512" i="6"/>
  <c r="H512" i="6"/>
  <c r="I512" i="6"/>
  <c r="N512" i="6"/>
  <c r="R512" i="6"/>
  <c r="Q512" i="6" s="1"/>
  <c r="S512" i="6" s="1"/>
  <c r="T512" i="6"/>
  <c r="C513" i="6"/>
  <c r="D513" i="6"/>
  <c r="L513" i="6" s="1"/>
  <c r="E513" i="6"/>
  <c r="F513" i="6"/>
  <c r="H513" i="6"/>
  <c r="I513" i="6"/>
  <c r="N513" i="6"/>
  <c r="R513" i="6"/>
  <c r="Q513" i="6" s="1"/>
  <c r="S513" i="6" s="1"/>
  <c r="T513" i="6"/>
  <c r="C514" i="6"/>
  <c r="D514" i="6"/>
  <c r="E514" i="6"/>
  <c r="F514" i="6"/>
  <c r="I514" i="6"/>
  <c r="L514" i="6"/>
  <c r="N514" i="6"/>
  <c r="Q514" i="6"/>
  <c r="R514" i="6"/>
  <c r="S514" i="6"/>
  <c r="T514" i="6"/>
  <c r="C515" i="6"/>
  <c r="L515" i="6" s="1"/>
  <c r="D515" i="6"/>
  <c r="E515" i="6"/>
  <c r="F515" i="6"/>
  <c r="I515" i="6"/>
  <c r="N515" i="6"/>
  <c r="R515" i="6"/>
  <c r="Q515" i="6" s="1"/>
  <c r="S515" i="6" s="1"/>
  <c r="T515" i="6"/>
  <c r="C516" i="6"/>
  <c r="D516" i="6"/>
  <c r="E516" i="6"/>
  <c r="F516" i="6"/>
  <c r="I516" i="6"/>
  <c r="L516" i="6"/>
  <c r="N516" i="6"/>
  <c r="Q516" i="6"/>
  <c r="R516" i="6"/>
  <c r="S516" i="6"/>
  <c r="T516" i="6"/>
  <c r="C517" i="6"/>
  <c r="L517" i="6" s="1"/>
  <c r="D517" i="6"/>
  <c r="E517" i="6"/>
  <c r="F517" i="6"/>
  <c r="I517" i="6"/>
  <c r="N517" i="6"/>
  <c r="R517" i="6"/>
  <c r="Q517" i="6" s="1"/>
  <c r="S517" i="6" s="1"/>
  <c r="T517" i="6"/>
  <c r="C518" i="6"/>
  <c r="D518" i="6"/>
  <c r="E518" i="6"/>
  <c r="F518" i="6"/>
  <c r="I518" i="6"/>
  <c r="L518" i="6"/>
  <c r="N518" i="6"/>
  <c r="Q518" i="6"/>
  <c r="R518" i="6"/>
  <c r="S518" i="6"/>
  <c r="T518" i="6"/>
  <c r="C519" i="6"/>
  <c r="D519" i="6"/>
  <c r="E519" i="6"/>
  <c r="F519" i="6"/>
  <c r="H519" i="6"/>
  <c r="I519" i="6"/>
  <c r="L519" i="6"/>
  <c r="N519" i="6"/>
  <c r="Q519" i="6"/>
  <c r="R519" i="6"/>
  <c r="S519" i="6"/>
  <c r="T519" i="6"/>
  <c r="C520" i="6"/>
  <c r="D520" i="6"/>
  <c r="E520" i="6"/>
  <c r="F520" i="6"/>
  <c r="H520" i="6"/>
  <c r="I520" i="6"/>
  <c r="L520" i="6"/>
  <c r="N520" i="6"/>
  <c r="Q520" i="6"/>
  <c r="R520" i="6"/>
  <c r="S520" i="6"/>
  <c r="T520" i="6"/>
  <c r="C521" i="6"/>
  <c r="D521" i="6"/>
  <c r="E521" i="6"/>
  <c r="F521" i="6"/>
  <c r="H521" i="6"/>
  <c r="I521" i="6"/>
  <c r="L521" i="6"/>
  <c r="N521" i="6"/>
  <c r="Q521" i="6"/>
  <c r="R521" i="6"/>
  <c r="S521" i="6"/>
  <c r="T521" i="6"/>
  <c r="C522" i="6"/>
  <c r="D522" i="6"/>
  <c r="E522" i="6"/>
  <c r="F522" i="6"/>
  <c r="H522" i="6"/>
  <c r="I522" i="6"/>
  <c r="L522" i="6"/>
  <c r="N522" i="6"/>
  <c r="Q522" i="6"/>
  <c r="R522" i="6"/>
  <c r="S522" i="6"/>
  <c r="T522" i="6"/>
  <c r="C523" i="6"/>
  <c r="D523" i="6"/>
  <c r="E523" i="6"/>
  <c r="F523" i="6"/>
  <c r="H523" i="6"/>
  <c r="I523" i="6"/>
  <c r="L523" i="6"/>
  <c r="N523" i="6"/>
  <c r="Q523" i="6"/>
  <c r="R523" i="6"/>
  <c r="S523" i="6"/>
  <c r="T523" i="6"/>
  <c r="C524" i="6"/>
  <c r="D524" i="6"/>
  <c r="E524" i="6"/>
  <c r="F524" i="6"/>
  <c r="H524" i="6"/>
  <c r="I524" i="6"/>
  <c r="L524" i="6"/>
  <c r="N524" i="6"/>
  <c r="Q524" i="6"/>
  <c r="R524" i="6"/>
  <c r="S524" i="6"/>
  <c r="T524" i="6"/>
  <c r="C525" i="6"/>
  <c r="D525" i="6"/>
  <c r="E525" i="6"/>
  <c r="F525" i="6"/>
  <c r="H525" i="6"/>
  <c r="I525" i="6"/>
  <c r="L525" i="6"/>
  <c r="N525" i="6"/>
  <c r="Q525" i="6"/>
  <c r="R525" i="6"/>
  <c r="S525" i="6"/>
  <c r="T525" i="6"/>
  <c r="C526" i="6"/>
  <c r="L526" i="6" s="1"/>
  <c r="D526" i="6"/>
  <c r="E526" i="6"/>
  <c r="F526" i="6"/>
  <c r="I526" i="6"/>
  <c r="N526" i="6"/>
  <c r="R526" i="6"/>
  <c r="Q526" i="6" s="1"/>
  <c r="S526" i="6" s="1"/>
  <c r="T526" i="6"/>
  <c r="C527" i="6"/>
  <c r="D527" i="6"/>
  <c r="E527" i="6"/>
  <c r="F527" i="6"/>
  <c r="I527" i="6"/>
  <c r="L527" i="6"/>
  <c r="N527" i="6"/>
  <c r="Q527" i="6"/>
  <c r="R527" i="6"/>
  <c r="S527" i="6"/>
  <c r="T527" i="6"/>
  <c r="C528" i="6"/>
  <c r="L528" i="6" s="1"/>
  <c r="D528" i="6"/>
  <c r="E528" i="6"/>
  <c r="F528" i="6"/>
  <c r="I528" i="6"/>
  <c r="N528" i="6"/>
  <c r="R528" i="6"/>
  <c r="Q528" i="6" s="1"/>
  <c r="S528" i="6" s="1"/>
  <c r="T528" i="6"/>
  <c r="C529" i="6"/>
  <c r="D529" i="6"/>
  <c r="E529" i="6"/>
  <c r="F529" i="6"/>
  <c r="I529" i="6"/>
  <c r="L529" i="6"/>
  <c r="N529" i="6"/>
  <c r="Q529" i="6"/>
  <c r="R529" i="6"/>
  <c r="S529" i="6"/>
  <c r="T529" i="6"/>
  <c r="C530" i="6"/>
  <c r="L530" i="6" s="1"/>
  <c r="D530" i="6"/>
  <c r="E530" i="6"/>
  <c r="F530" i="6"/>
  <c r="I530" i="6"/>
  <c r="N530" i="6"/>
  <c r="R530" i="6"/>
  <c r="Q530" i="6" s="1"/>
  <c r="S530" i="6" s="1"/>
  <c r="T530" i="6"/>
  <c r="C531" i="6"/>
  <c r="D531" i="6"/>
  <c r="L531" i="6" s="1"/>
  <c r="E531" i="6"/>
  <c r="F531" i="6"/>
  <c r="H531" i="6"/>
  <c r="I531" i="6"/>
  <c r="N531" i="6"/>
  <c r="R531" i="6"/>
  <c r="Q531" i="6" s="1"/>
  <c r="S531" i="6" s="1"/>
  <c r="T531" i="6"/>
  <c r="C532" i="6"/>
  <c r="D532" i="6"/>
  <c r="L532" i="6" s="1"/>
  <c r="E532" i="6"/>
  <c r="F532" i="6"/>
  <c r="H532" i="6"/>
  <c r="I532" i="6"/>
  <c r="N532" i="6"/>
  <c r="R532" i="6"/>
  <c r="Q532" i="6" s="1"/>
  <c r="S532" i="6" s="1"/>
  <c r="T532" i="6"/>
  <c r="C533" i="6"/>
  <c r="D533" i="6"/>
  <c r="L533" i="6" s="1"/>
  <c r="E533" i="6"/>
  <c r="F533" i="6"/>
  <c r="H533" i="6"/>
  <c r="I533" i="6"/>
  <c r="N533" i="6"/>
  <c r="R533" i="6"/>
  <c r="Q533" i="6" s="1"/>
  <c r="S533" i="6" s="1"/>
  <c r="T533" i="6"/>
  <c r="C534" i="6"/>
  <c r="D534" i="6"/>
  <c r="L534" i="6" s="1"/>
  <c r="E534" i="6"/>
  <c r="F534" i="6"/>
  <c r="H534" i="6"/>
  <c r="I534" i="6"/>
  <c r="N534" i="6"/>
  <c r="R534" i="6"/>
  <c r="Q534" i="6" s="1"/>
  <c r="S534" i="6" s="1"/>
  <c r="T534" i="6"/>
  <c r="C535" i="6"/>
  <c r="D535" i="6"/>
  <c r="L535" i="6" s="1"/>
  <c r="E535" i="6"/>
  <c r="F535" i="6"/>
  <c r="H535" i="6"/>
  <c r="I535" i="6"/>
  <c r="N535" i="6"/>
  <c r="R535" i="6"/>
  <c r="Q535" i="6" s="1"/>
  <c r="S535" i="6" s="1"/>
  <c r="T535" i="6"/>
  <c r="C536" i="6"/>
  <c r="D536" i="6"/>
  <c r="L536" i="6" s="1"/>
  <c r="E536" i="6"/>
  <c r="F536" i="6"/>
  <c r="H536" i="6"/>
  <c r="I536" i="6"/>
  <c r="N536" i="6"/>
  <c r="R536" i="6"/>
  <c r="Q536" i="6" s="1"/>
  <c r="S536" i="6" s="1"/>
  <c r="T536" i="6"/>
  <c r="C537" i="6"/>
  <c r="D537" i="6"/>
  <c r="L537" i="6" s="1"/>
  <c r="E537" i="6"/>
  <c r="F537" i="6"/>
  <c r="H537" i="6"/>
  <c r="I537" i="6"/>
  <c r="N537" i="6"/>
  <c r="R537" i="6"/>
  <c r="Q537" i="6" s="1"/>
  <c r="S537" i="6" s="1"/>
  <c r="T537" i="6"/>
  <c r="C538" i="6"/>
  <c r="D538" i="6"/>
  <c r="E538" i="6"/>
  <c r="F538" i="6"/>
  <c r="I538" i="6"/>
  <c r="L538" i="6"/>
  <c r="N538" i="6"/>
  <c r="Q538" i="6"/>
  <c r="R538" i="6"/>
  <c r="S538" i="6"/>
  <c r="T538" i="6"/>
  <c r="C539" i="6"/>
  <c r="L539" i="6" s="1"/>
  <c r="D539" i="6"/>
  <c r="E539" i="6"/>
  <c r="F539" i="6"/>
  <c r="I539" i="6"/>
  <c r="N539" i="6"/>
  <c r="R539" i="6"/>
  <c r="Q539" i="6" s="1"/>
  <c r="S539" i="6" s="1"/>
  <c r="T539" i="6"/>
  <c r="C540" i="6"/>
  <c r="D540" i="6"/>
  <c r="E540" i="6"/>
  <c r="F540" i="6"/>
  <c r="I540" i="6"/>
  <c r="L540" i="6"/>
  <c r="N540" i="6"/>
  <c r="Q540" i="6"/>
  <c r="R540" i="6"/>
  <c r="S540" i="6"/>
  <c r="T540" i="6"/>
  <c r="C541" i="6"/>
  <c r="L541" i="6" s="1"/>
  <c r="D541" i="6"/>
  <c r="E541" i="6"/>
  <c r="F541" i="6"/>
  <c r="I541" i="6"/>
  <c r="N541" i="6"/>
  <c r="R541" i="6"/>
  <c r="Q541" i="6" s="1"/>
  <c r="S541" i="6" s="1"/>
  <c r="T541" i="6"/>
  <c r="C542" i="6"/>
  <c r="D542" i="6"/>
  <c r="E542" i="6"/>
  <c r="F542" i="6"/>
  <c r="I542" i="6"/>
  <c r="L542" i="6"/>
  <c r="N542" i="6"/>
  <c r="Q542" i="6"/>
  <c r="R542" i="6"/>
  <c r="S542" i="6"/>
  <c r="T542" i="6"/>
  <c r="C543" i="6"/>
  <c r="D543" i="6"/>
  <c r="E543" i="6"/>
  <c r="F543" i="6"/>
  <c r="H543" i="6"/>
  <c r="I543" i="6"/>
  <c r="L543" i="6"/>
  <c r="N543" i="6"/>
  <c r="Q543" i="6"/>
  <c r="R543" i="6"/>
  <c r="S543" i="6"/>
  <c r="T543" i="6"/>
  <c r="C544" i="6"/>
  <c r="D544" i="6"/>
  <c r="E544" i="6"/>
  <c r="F544" i="6"/>
  <c r="H544" i="6"/>
  <c r="I544" i="6"/>
  <c r="L544" i="6"/>
  <c r="N544" i="6"/>
  <c r="Q544" i="6"/>
  <c r="R544" i="6"/>
  <c r="S544" i="6"/>
  <c r="T544" i="6"/>
  <c r="C545" i="6"/>
  <c r="D545" i="6"/>
  <c r="E545" i="6"/>
  <c r="F545" i="6"/>
  <c r="H545" i="6"/>
  <c r="I545" i="6"/>
  <c r="L545" i="6"/>
  <c r="N545" i="6"/>
  <c r="Q545" i="6"/>
  <c r="R545" i="6"/>
  <c r="S545" i="6"/>
  <c r="T545" i="6"/>
  <c r="C546" i="6"/>
  <c r="D546" i="6"/>
  <c r="E546" i="6"/>
  <c r="F546" i="6"/>
  <c r="H546" i="6"/>
  <c r="I546" i="6"/>
  <c r="L546" i="6"/>
  <c r="N546" i="6"/>
  <c r="Q546" i="6"/>
  <c r="R546" i="6"/>
  <c r="S546" i="6"/>
  <c r="T546" i="6"/>
  <c r="C547" i="6"/>
  <c r="D547" i="6"/>
  <c r="E547" i="6"/>
  <c r="F547" i="6"/>
  <c r="H547" i="6"/>
  <c r="I547" i="6"/>
  <c r="L547" i="6"/>
  <c r="N547" i="6"/>
  <c r="Q547" i="6"/>
  <c r="R547" i="6"/>
  <c r="S547" i="6"/>
  <c r="T547" i="6"/>
  <c r="C548" i="6"/>
  <c r="D548" i="6"/>
  <c r="E548" i="6"/>
  <c r="F548" i="6"/>
  <c r="H548" i="6"/>
  <c r="I548" i="6"/>
  <c r="L548" i="6"/>
  <c r="N548" i="6"/>
  <c r="Q548" i="6"/>
  <c r="R548" i="6"/>
  <c r="S548" i="6"/>
  <c r="T548" i="6"/>
  <c r="C549" i="6"/>
  <c r="D549" i="6"/>
  <c r="E549" i="6"/>
  <c r="F549" i="6"/>
  <c r="H549" i="6"/>
  <c r="I549" i="6"/>
  <c r="L549" i="6"/>
  <c r="N549" i="6"/>
  <c r="Q549" i="6"/>
  <c r="R549" i="6"/>
  <c r="S549" i="6"/>
  <c r="T549" i="6"/>
  <c r="C550" i="6"/>
  <c r="L550" i="6" s="1"/>
  <c r="D550" i="6"/>
  <c r="E550" i="6"/>
  <c r="F550" i="6"/>
  <c r="I550" i="6"/>
  <c r="N550" i="6"/>
  <c r="R550" i="6"/>
  <c r="Q550" i="6" s="1"/>
  <c r="S550" i="6" s="1"/>
  <c r="T550" i="6"/>
  <c r="C551" i="6"/>
  <c r="D551" i="6"/>
  <c r="E551" i="6"/>
  <c r="F551" i="6"/>
  <c r="I551" i="6"/>
  <c r="L551" i="6"/>
  <c r="N551" i="6"/>
  <c r="Q551" i="6"/>
  <c r="R551" i="6"/>
  <c r="S551" i="6"/>
  <c r="T551" i="6"/>
  <c r="C552" i="6"/>
  <c r="L552" i="6" s="1"/>
  <c r="D552" i="6"/>
  <c r="E552" i="6"/>
  <c r="F552" i="6"/>
  <c r="I552" i="6"/>
  <c r="N552" i="6"/>
  <c r="R552" i="6"/>
  <c r="Q552" i="6" s="1"/>
  <c r="S552" i="6" s="1"/>
  <c r="T552" i="6"/>
  <c r="C553" i="6"/>
  <c r="D553" i="6"/>
  <c r="E553" i="6"/>
  <c r="F553" i="6"/>
  <c r="I553" i="6"/>
  <c r="L553" i="6"/>
  <c r="N553" i="6"/>
  <c r="Q553" i="6"/>
  <c r="R553" i="6"/>
  <c r="S553" i="6"/>
  <c r="T553" i="6"/>
  <c r="C554" i="6"/>
  <c r="L554" i="6" s="1"/>
  <c r="D554" i="6"/>
  <c r="E554" i="6"/>
  <c r="F554" i="6"/>
  <c r="I554" i="6"/>
  <c r="N554" i="6"/>
  <c r="R554" i="6"/>
  <c r="Q554" i="6" s="1"/>
  <c r="S554" i="6" s="1"/>
  <c r="T554" i="6"/>
  <c r="C555" i="6"/>
  <c r="D555" i="6"/>
  <c r="L555" i="6" s="1"/>
  <c r="E555" i="6"/>
  <c r="F555" i="6"/>
  <c r="H555" i="6"/>
  <c r="I555" i="6"/>
  <c r="N555" i="6"/>
  <c r="R555" i="6"/>
  <c r="Q555" i="6" s="1"/>
  <c r="S555" i="6" s="1"/>
  <c r="T555" i="6"/>
  <c r="C556" i="6"/>
  <c r="D556" i="6"/>
  <c r="L556" i="6" s="1"/>
  <c r="E556" i="6"/>
  <c r="F556" i="6"/>
  <c r="H556" i="6"/>
  <c r="I556" i="6"/>
  <c r="N556" i="6"/>
  <c r="R556" i="6"/>
  <c r="Q556" i="6" s="1"/>
  <c r="S556" i="6" s="1"/>
  <c r="T556" i="6"/>
  <c r="C557" i="6"/>
  <c r="D557" i="6"/>
  <c r="L557" i="6" s="1"/>
  <c r="E557" i="6"/>
  <c r="F557" i="6"/>
  <c r="H557" i="6"/>
  <c r="I557" i="6"/>
  <c r="N557" i="6"/>
  <c r="R557" i="6"/>
  <c r="Q557" i="6" s="1"/>
  <c r="S557" i="6" s="1"/>
  <c r="T557" i="6"/>
  <c r="C558" i="6"/>
  <c r="D558" i="6"/>
  <c r="L558" i="6" s="1"/>
  <c r="E558" i="6"/>
  <c r="F558" i="6"/>
  <c r="H558" i="6"/>
  <c r="I558" i="6"/>
  <c r="N558" i="6"/>
  <c r="R558" i="6"/>
  <c r="Q558" i="6" s="1"/>
  <c r="S558" i="6" s="1"/>
  <c r="T558" i="6"/>
  <c r="C559" i="6"/>
  <c r="D559" i="6"/>
  <c r="L559" i="6" s="1"/>
  <c r="E559" i="6"/>
  <c r="F559" i="6"/>
  <c r="H559" i="6"/>
  <c r="I559" i="6"/>
  <c r="N559" i="6"/>
  <c r="R559" i="6"/>
  <c r="Q559" i="6" s="1"/>
  <c r="S559" i="6" s="1"/>
  <c r="T559" i="6"/>
  <c r="C560" i="6"/>
  <c r="D560" i="6"/>
  <c r="E560" i="6"/>
  <c r="F560" i="6"/>
  <c r="H560" i="6"/>
  <c r="I560" i="6"/>
  <c r="N560" i="6"/>
  <c r="R560" i="6"/>
  <c r="Q560" i="6" s="1"/>
  <c r="S560" i="6" s="1"/>
  <c r="T560" i="6"/>
  <c r="C561" i="6"/>
  <c r="D561" i="6"/>
  <c r="E561" i="6"/>
  <c r="F561" i="6"/>
  <c r="H561" i="6"/>
  <c r="I561" i="6"/>
  <c r="N561" i="6"/>
  <c r="R561" i="6"/>
  <c r="Q561" i="6" s="1"/>
  <c r="S561" i="6" s="1"/>
  <c r="T561" i="6"/>
  <c r="C562" i="6"/>
  <c r="D562" i="6"/>
  <c r="E562" i="6"/>
  <c r="F562" i="6"/>
  <c r="I562" i="6"/>
  <c r="L562" i="6"/>
  <c r="N562" i="6"/>
  <c r="Q562" i="6"/>
  <c r="R562" i="6"/>
  <c r="S562" i="6"/>
  <c r="T562" i="6"/>
  <c r="C563" i="6"/>
  <c r="D563" i="6"/>
  <c r="E563" i="6"/>
  <c r="F563" i="6"/>
  <c r="I563" i="6"/>
  <c r="N563" i="6"/>
  <c r="R563" i="6"/>
  <c r="Q563" i="6" s="1"/>
  <c r="S563" i="6" s="1"/>
  <c r="T563" i="6"/>
  <c r="C564" i="6"/>
  <c r="D564" i="6"/>
  <c r="E564" i="6"/>
  <c r="F564" i="6"/>
  <c r="I564" i="6"/>
  <c r="L564" i="6"/>
  <c r="N564" i="6"/>
  <c r="Q564" i="6"/>
  <c r="R564" i="6"/>
  <c r="S564" i="6"/>
  <c r="T564" i="6"/>
  <c r="C565" i="6"/>
  <c r="D565" i="6"/>
  <c r="E565" i="6"/>
  <c r="F565" i="6"/>
  <c r="I565" i="6"/>
  <c r="N565" i="6"/>
  <c r="R565" i="6"/>
  <c r="Q565" i="6" s="1"/>
  <c r="S565" i="6" s="1"/>
  <c r="T565" i="6"/>
  <c r="C566" i="6"/>
  <c r="D566" i="6"/>
  <c r="E566" i="6"/>
  <c r="F566" i="6"/>
  <c r="I566" i="6"/>
  <c r="L566" i="6"/>
  <c r="N566" i="6"/>
  <c r="Q566" i="6"/>
  <c r="R566" i="6"/>
  <c r="S566" i="6"/>
  <c r="T566" i="6"/>
  <c r="C567" i="6"/>
  <c r="D567" i="6"/>
  <c r="E567" i="6"/>
  <c r="F567" i="6"/>
  <c r="H567" i="6"/>
  <c r="I567" i="6"/>
  <c r="L567" i="6"/>
  <c r="N567" i="6"/>
  <c r="Q567" i="6"/>
  <c r="R567" i="6"/>
  <c r="S567" i="6"/>
  <c r="T567" i="6"/>
  <c r="C568" i="6"/>
  <c r="D568" i="6"/>
  <c r="E568" i="6"/>
  <c r="F568" i="6"/>
  <c r="H568" i="6"/>
  <c r="I568" i="6"/>
  <c r="L568" i="6"/>
  <c r="N568" i="6"/>
  <c r="Q568" i="6"/>
  <c r="R568" i="6"/>
  <c r="S568" i="6"/>
  <c r="T568" i="6"/>
  <c r="C569" i="6"/>
  <c r="D569" i="6"/>
  <c r="E569" i="6"/>
  <c r="F569" i="6"/>
  <c r="H569" i="6"/>
  <c r="I569" i="6"/>
  <c r="L569" i="6"/>
  <c r="N569" i="6"/>
  <c r="Q569" i="6"/>
  <c r="R569" i="6"/>
  <c r="S569" i="6"/>
  <c r="T569" i="6"/>
  <c r="C570" i="6"/>
  <c r="D570" i="6"/>
  <c r="E570" i="6"/>
  <c r="F570" i="6"/>
  <c r="H570" i="6"/>
  <c r="I570" i="6"/>
  <c r="L570" i="6"/>
  <c r="N570" i="6"/>
  <c r="Q570" i="6"/>
  <c r="R570" i="6"/>
  <c r="S570" i="6"/>
  <c r="T570" i="6"/>
  <c r="C571" i="6"/>
  <c r="D571" i="6"/>
  <c r="E571" i="6"/>
  <c r="F571" i="6"/>
  <c r="H571" i="6"/>
  <c r="I571" i="6"/>
  <c r="L571" i="6"/>
  <c r="N571" i="6"/>
  <c r="Q571" i="6"/>
  <c r="R571" i="6"/>
  <c r="S571" i="6"/>
  <c r="T571" i="6"/>
  <c r="C572" i="6"/>
  <c r="D572" i="6"/>
  <c r="E572" i="6"/>
  <c r="F572" i="6"/>
  <c r="H572" i="6"/>
  <c r="I572" i="6"/>
  <c r="L572" i="6"/>
  <c r="N572" i="6"/>
  <c r="Q572" i="6"/>
  <c r="R572" i="6"/>
  <c r="S572" i="6"/>
  <c r="T572" i="6"/>
  <c r="C573" i="6"/>
  <c r="D573" i="6"/>
  <c r="E573" i="6"/>
  <c r="F573" i="6"/>
  <c r="H573" i="6"/>
  <c r="I573" i="6"/>
  <c r="L573" i="6"/>
  <c r="N573" i="6"/>
  <c r="Q573" i="6"/>
  <c r="R573" i="6"/>
  <c r="S573" i="6"/>
  <c r="T573" i="6"/>
  <c r="C574" i="6"/>
  <c r="D574" i="6"/>
  <c r="E574" i="6"/>
  <c r="F574" i="6"/>
  <c r="I574" i="6"/>
  <c r="N574" i="6"/>
  <c r="R574" i="6"/>
  <c r="Q574" i="6" s="1"/>
  <c r="S574" i="6" s="1"/>
  <c r="T574" i="6"/>
  <c r="C575" i="6"/>
  <c r="D575" i="6"/>
  <c r="E575" i="6"/>
  <c r="F575" i="6"/>
  <c r="I575" i="6"/>
  <c r="L575" i="6"/>
  <c r="N575" i="6"/>
  <c r="Q575" i="6"/>
  <c r="R575" i="6"/>
  <c r="S575" i="6"/>
  <c r="T575" i="6"/>
  <c r="C576" i="6"/>
  <c r="D576" i="6"/>
  <c r="E576" i="6"/>
  <c r="F576" i="6"/>
  <c r="I576" i="6"/>
  <c r="N576" i="6"/>
  <c r="R576" i="6"/>
  <c r="Q576" i="6" s="1"/>
  <c r="S576" i="6" s="1"/>
  <c r="T576" i="6"/>
  <c r="C577" i="6"/>
  <c r="D577" i="6"/>
  <c r="E577" i="6"/>
  <c r="F577" i="6"/>
  <c r="I577" i="6"/>
  <c r="L577" i="6"/>
  <c r="N577" i="6"/>
  <c r="Q577" i="6"/>
  <c r="R577" i="6"/>
  <c r="S577" i="6"/>
  <c r="T577" i="6"/>
  <c r="C578" i="6"/>
  <c r="D578" i="6"/>
  <c r="E578" i="6"/>
  <c r="F578" i="6"/>
  <c r="I578" i="6"/>
  <c r="N578" i="6"/>
  <c r="R578" i="6"/>
  <c r="Q578" i="6" s="1"/>
  <c r="S578" i="6" s="1"/>
  <c r="T578" i="6"/>
  <c r="C579" i="6"/>
  <c r="D579" i="6"/>
  <c r="E579" i="6"/>
  <c r="F579" i="6"/>
  <c r="H579" i="6"/>
  <c r="I579" i="6"/>
  <c r="L579" i="6"/>
  <c r="N579" i="6"/>
  <c r="Q579" i="6"/>
  <c r="R579" i="6"/>
  <c r="S579" i="6"/>
  <c r="T579" i="6"/>
  <c r="C580" i="6"/>
  <c r="D580" i="6"/>
  <c r="E580" i="6"/>
  <c r="F580" i="6"/>
  <c r="H580" i="6"/>
  <c r="I580" i="6"/>
  <c r="L580" i="6"/>
  <c r="N580" i="6"/>
  <c r="Q580" i="6"/>
  <c r="R580" i="6"/>
  <c r="S580" i="6"/>
  <c r="T580" i="6"/>
  <c r="C581" i="6"/>
  <c r="D581" i="6"/>
  <c r="E581" i="6"/>
  <c r="F581" i="6"/>
  <c r="H581" i="6"/>
  <c r="I581" i="6"/>
  <c r="L581" i="6"/>
  <c r="N581" i="6"/>
  <c r="Q581" i="6"/>
  <c r="R581" i="6"/>
  <c r="S581" i="6"/>
  <c r="T581" i="6"/>
  <c r="C582" i="6"/>
  <c r="D582" i="6"/>
  <c r="E582" i="6"/>
  <c r="F582" i="6"/>
  <c r="H582" i="6"/>
  <c r="I582" i="6"/>
  <c r="L582" i="6"/>
  <c r="N582" i="6"/>
  <c r="Q582" i="6"/>
  <c r="R582" i="6"/>
  <c r="S582" i="6"/>
  <c r="T582" i="6"/>
  <c r="C583" i="6"/>
  <c r="D583" i="6"/>
  <c r="E583" i="6"/>
  <c r="F583" i="6"/>
  <c r="H583" i="6"/>
  <c r="I583" i="6"/>
  <c r="L583" i="6"/>
  <c r="N583" i="6"/>
  <c r="Q583" i="6"/>
  <c r="R583" i="6"/>
  <c r="S583" i="6"/>
  <c r="T583" i="6"/>
  <c r="C584" i="6"/>
  <c r="D584" i="6"/>
  <c r="E584" i="6"/>
  <c r="F584" i="6"/>
  <c r="H584" i="6"/>
  <c r="I584" i="6"/>
  <c r="L584" i="6"/>
  <c r="N584" i="6"/>
  <c r="Q584" i="6"/>
  <c r="R584" i="6"/>
  <c r="S584" i="6"/>
  <c r="T584" i="6"/>
  <c r="C585" i="6"/>
  <c r="D585" i="6"/>
  <c r="E585" i="6"/>
  <c r="F585" i="6"/>
  <c r="H585" i="6"/>
  <c r="I585" i="6"/>
  <c r="L585" i="6"/>
  <c r="N585" i="6"/>
  <c r="Q585" i="6"/>
  <c r="R585" i="6"/>
  <c r="S585" i="6"/>
  <c r="T585" i="6"/>
  <c r="C586" i="6"/>
  <c r="L586" i="6" s="1"/>
  <c r="D586" i="6"/>
  <c r="E586" i="6"/>
  <c r="F586" i="6"/>
  <c r="I586" i="6"/>
  <c r="N586" i="6"/>
  <c r="R586" i="6"/>
  <c r="Q586" i="6" s="1"/>
  <c r="S586" i="6" s="1"/>
  <c r="T586" i="6"/>
  <c r="C587" i="6"/>
  <c r="D587" i="6"/>
  <c r="E587" i="6"/>
  <c r="F587" i="6"/>
  <c r="I587" i="6"/>
  <c r="L587" i="6"/>
  <c r="N587" i="6"/>
  <c r="Q587" i="6"/>
  <c r="R587" i="6"/>
  <c r="S587" i="6"/>
  <c r="T587" i="6"/>
  <c r="C588" i="6"/>
  <c r="L588" i="6" s="1"/>
  <c r="D588" i="6"/>
  <c r="E588" i="6"/>
  <c r="F588" i="6"/>
  <c r="I588" i="6"/>
  <c r="N588" i="6"/>
  <c r="R588" i="6"/>
  <c r="Q588" i="6" s="1"/>
  <c r="S588" i="6" s="1"/>
  <c r="T588" i="6"/>
  <c r="C589" i="6"/>
  <c r="D589" i="6"/>
  <c r="E589" i="6"/>
  <c r="F589" i="6"/>
  <c r="I589" i="6"/>
  <c r="L589" i="6"/>
  <c r="N589" i="6"/>
  <c r="Q589" i="6"/>
  <c r="R589" i="6"/>
  <c r="S589" i="6"/>
  <c r="T589" i="6"/>
  <c r="C590" i="6"/>
  <c r="L590" i="6" s="1"/>
  <c r="D590" i="6"/>
  <c r="E590" i="6"/>
  <c r="F590" i="6"/>
  <c r="I590" i="6"/>
  <c r="N590" i="6"/>
  <c r="R590" i="6"/>
  <c r="Q590" i="6" s="1"/>
  <c r="S590" i="6" s="1"/>
  <c r="T590" i="6"/>
  <c r="C591" i="6"/>
  <c r="D591" i="6"/>
  <c r="L591" i="6" s="1"/>
  <c r="E591" i="6"/>
  <c r="F591" i="6"/>
  <c r="H591" i="6"/>
  <c r="I591" i="6"/>
  <c r="N591" i="6"/>
  <c r="R591" i="6"/>
  <c r="Q591" i="6" s="1"/>
  <c r="T591" i="6"/>
  <c r="C592" i="6"/>
  <c r="D592" i="6"/>
  <c r="L592" i="6" s="1"/>
  <c r="E592" i="6"/>
  <c r="F592" i="6"/>
  <c r="H592" i="6"/>
  <c r="I592" i="6"/>
  <c r="N592" i="6"/>
  <c r="R592" i="6"/>
  <c r="Q592" i="6" s="1"/>
  <c r="S592" i="6" s="1"/>
  <c r="T592" i="6"/>
  <c r="C593" i="6"/>
  <c r="D593" i="6"/>
  <c r="L593" i="6" s="1"/>
  <c r="E593" i="6"/>
  <c r="F593" i="6"/>
  <c r="H593" i="6"/>
  <c r="I593" i="6"/>
  <c r="N593" i="6"/>
  <c r="R593" i="6"/>
  <c r="Q593" i="6" s="1"/>
  <c r="T593" i="6"/>
  <c r="C594" i="6"/>
  <c r="D594" i="6"/>
  <c r="L594" i="6" s="1"/>
  <c r="E594" i="6"/>
  <c r="F594" i="6"/>
  <c r="H594" i="6"/>
  <c r="I594" i="6"/>
  <c r="N594" i="6"/>
  <c r="R594" i="6"/>
  <c r="Q594" i="6" s="1"/>
  <c r="S594" i="6" s="1"/>
  <c r="T594" i="6"/>
  <c r="C595" i="6"/>
  <c r="D595" i="6"/>
  <c r="L595" i="6" s="1"/>
  <c r="E595" i="6"/>
  <c r="F595" i="6"/>
  <c r="H595" i="6"/>
  <c r="I595" i="6"/>
  <c r="N595" i="6"/>
  <c r="R595" i="6"/>
  <c r="Q595" i="6" s="1"/>
  <c r="T595" i="6"/>
  <c r="C596" i="6"/>
  <c r="D596" i="6"/>
  <c r="L596" i="6" s="1"/>
  <c r="E596" i="6"/>
  <c r="F596" i="6"/>
  <c r="H596" i="6"/>
  <c r="I596" i="6"/>
  <c r="N596" i="6"/>
  <c r="R596" i="6"/>
  <c r="Q596" i="6" s="1"/>
  <c r="S596" i="6" s="1"/>
  <c r="T596" i="6"/>
  <c r="C597" i="6"/>
  <c r="D597" i="6"/>
  <c r="L597" i="6" s="1"/>
  <c r="E597" i="6"/>
  <c r="F597" i="6"/>
  <c r="H597" i="6"/>
  <c r="I597" i="6"/>
  <c r="N597" i="6"/>
  <c r="R597" i="6"/>
  <c r="Q597" i="6" s="1"/>
  <c r="T597" i="6"/>
  <c r="C598" i="6"/>
  <c r="D598" i="6"/>
  <c r="E598" i="6"/>
  <c r="F598" i="6"/>
  <c r="I598" i="6"/>
  <c r="L598" i="6"/>
  <c r="N598" i="6"/>
  <c r="Q598" i="6"/>
  <c r="R598" i="6"/>
  <c r="S598" i="6"/>
  <c r="T598" i="6"/>
  <c r="C599" i="6"/>
  <c r="L599" i="6" s="1"/>
  <c r="D599" i="6"/>
  <c r="E599" i="6"/>
  <c r="F599" i="6"/>
  <c r="I599" i="6"/>
  <c r="N599" i="6"/>
  <c r="R599" i="6"/>
  <c r="Q599" i="6" s="1"/>
  <c r="T599" i="6"/>
  <c r="C601" i="6"/>
  <c r="D601" i="6"/>
  <c r="E601" i="6"/>
  <c r="F601" i="6"/>
  <c r="G601" i="6"/>
  <c r="H601" i="6"/>
  <c r="I601" i="6"/>
  <c r="J601" i="6"/>
  <c r="K601" i="6"/>
  <c r="L601" i="6"/>
  <c r="N601" i="6"/>
  <c r="O601" i="6"/>
  <c r="P601" i="6"/>
  <c r="Q601" i="6"/>
  <c r="R601" i="6"/>
  <c r="T601" i="6"/>
  <c r="C602" i="6"/>
  <c r="D602" i="6"/>
  <c r="E602" i="6"/>
  <c r="F602" i="6"/>
  <c r="G602" i="6"/>
  <c r="H602" i="6"/>
  <c r="I602" i="6"/>
  <c r="J602" i="6"/>
  <c r="K602" i="6"/>
  <c r="L602" i="6"/>
  <c r="N602" i="6"/>
  <c r="O602" i="6"/>
  <c r="P602" i="6"/>
  <c r="Q602" i="6"/>
  <c r="R602" i="6"/>
  <c r="T602" i="6"/>
  <c r="C603" i="6"/>
  <c r="D603" i="6"/>
  <c r="E603" i="6"/>
  <c r="F603" i="6"/>
  <c r="G603" i="6"/>
  <c r="H603" i="6"/>
  <c r="I603" i="6"/>
  <c r="J603" i="6"/>
  <c r="K603" i="6"/>
  <c r="L603" i="6"/>
  <c r="N603" i="6"/>
  <c r="O603" i="6"/>
  <c r="P603" i="6"/>
  <c r="Q603" i="6"/>
  <c r="R603" i="6"/>
  <c r="T603" i="6"/>
  <c r="C604" i="6"/>
  <c r="D604" i="6"/>
  <c r="E604" i="6"/>
  <c r="F604" i="6"/>
  <c r="G604" i="6"/>
  <c r="H604" i="6"/>
  <c r="I604" i="6"/>
  <c r="J604" i="6"/>
  <c r="K604" i="6"/>
  <c r="L604" i="6"/>
  <c r="N604" i="6"/>
  <c r="O604" i="6"/>
  <c r="P604" i="6"/>
  <c r="Q604" i="6"/>
  <c r="R604" i="6"/>
  <c r="S604" i="6"/>
  <c r="T604" i="6"/>
  <c r="C605" i="6"/>
  <c r="D605" i="6"/>
  <c r="E605" i="6"/>
  <c r="F605" i="6"/>
  <c r="G605" i="6"/>
  <c r="H605" i="6"/>
  <c r="I605" i="6"/>
  <c r="J605" i="6"/>
  <c r="K605" i="6"/>
  <c r="M605" i="6"/>
  <c r="N605" i="6"/>
  <c r="O605" i="6"/>
  <c r="P605" i="6"/>
  <c r="Q605" i="6"/>
  <c r="R605" i="6"/>
  <c r="S605" i="6"/>
  <c r="T605" i="6"/>
  <c r="C606" i="6"/>
  <c r="D606" i="6"/>
  <c r="E606" i="6"/>
  <c r="F606" i="6"/>
  <c r="G606" i="6"/>
  <c r="H606" i="6"/>
  <c r="I606" i="6"/>
  <c r="J606" i="6"/>
  <c r="K606" i="6"/>
  <c r="L606" i="6"/>
  <c r="M606" i="6"/>
  <c r="N606" i="6"/>
  <c r="O606" i="6"/>
  <c r="P606" i="6"/>
  <c r="Q606" i="6"/>
  <c r="R606" i="6"/>
  <c r="S606" i="6"/>
  <c r="T606" i="6"/>
  <c r="C607" i="6"/>
  <c r="D607" i="6"/>
  <c r="E607" i="6"/>
  <c r="F607" i="6"/>
  <c r="G607" i="6"/>
  <c r="H607" i="6"/>
  <c r="I607" i="6"/>
  <c r="J607" i="6"/>
  <c r="K607" i="6"/>
  <c r="L607" i="6"/>
  <c r="M607" i="6"/>
  <c r="N607" i="6"/>
  <c r="O607" i="6"/>
  <c r="P607" i="6"/>
  <c r="Q607" i="6"/>
  <c r="R607" i="6"/>
  <c r="S607" i="6"/>
  <c r="T607" i="6"/>
  <c r="C608" i="6"/>
  <c r="D608" i="6"/>
  <c r="E608" i="6"/>
  <c r="F608" i="6"/>
  <c r="G608" i="6"/>
  <c r="H608" i="6"/>
  <c r="I608" i="6"/>
  <c r="J608" i="6"/>
  <c r="K608" i="6"/>
  <c r="L608" i="6"/>
  <c r="M608" i="6"/>
  <c r="N608" i="6"/>
  <c r="O608" i="6"/>
  <c r="P608" i="6"/>
  <c r="Q608" i="6"/>
  <c r="R608" i="6"/>
  <c r="S608" i="6"/>
  <c r="T608" i="6"/>
  <c r="C609" i="6"/>
  <c r="D609" i="6"/>
  <c r="E609" i="6"/>
  <c r="F609" i="6"/>
  <c r="G609" i="6"/>
  <c r="H609" i="6"/>
  <c r="I609" i="6"/>
  <c r="J609" i="6"/>
  <c r="K609" i="6"/>
  <c r="M609" i="6"/>
  <c r="N609" i="6"/>
  <c r="O609" i="6"/>
  <c r="P609" i="6"/>
  <c r="Q609" i="6"/>
  <c r="R609" i="6"/>
  <c r="S609" i="6"/>
  <c r="T609" i="6"/>
  <c r="C610" i="6"/>
  <c r="D610" i="6"/>
  <c r="E610" i="6"/>
  <c r="F610" i="6"/>
  <c r="G610" i="6"/>
  <c r="H610" i="6"/>
  <c r="I610" i="6"/>
  <c r="J610" i="6"/>
  <c r="K610" i="6"/>
  <c r="L610" i="6"/>
  <c r="M610" i="6"/>
  <c r="N610" i="6"/>
  <c r="O610" i="6"/>
  <c r="P610" i="6"/>
  <c r="Q610" i="6"/>
  <c r="R610" i="6"/>
  <c r="S610" i="6"/>
  <c r="T610" i="6"/>
  <c r="C611" i="6"/>
  <c r="D611" i="6"/>
  <c r="E611" i="6"/>
  <c r="F611" i="6"/>
  <c r="G611" i="6"/>
  <c r="H611" i="6"/>
  <c r="I611" i="6"/>
  <c r="J611" i="6"/>
  <c r="K611" i="6"/>
  <c r="L611" i="6"/>
  <c r="M611" i="6"/>
  <c r="N611" i="6"/>
  <c r="O611" i="6"/>
  <c r="P611" i="6"/>
  <c r="Q611" i="6"/>
  <c r="R611" i="6"/>
  <c r="S611" i="6"/>
  <c r="T611" i="6"/>
  <c r="C612" i="6"/>
  <c r="D612" i="6"/>
  <c r="E612" i="6"/>
  <c r="F612" i="6"/>
  <c r="G612" i="6"/>
  <c r="H612" i="6"/>
  <c r="I612" i="6"/>
  <c r="J612" i="6"/>
  <c r="K612" i="6"/>
  <c r="L612" i="6"/>
  <c r="M612" i="6"/>
  <c r="N612" i="6"/>
  <c r="O612" i="6"/>
  <c r="P612" i="6"/>
  <c r="Q612" i="6"/>
  <c r="R612" i="6"/>
  <c r="S612" i="6"/>
  <c r="T612" i="6"/>
  <c r="C613" i="6"/>
  <c r="D613" i="6"/>
  <c r="E613" i="6"/>
  <c r="F613" i="6"/>
  <c r="G613" i="6"/>
  <c r="H613" i="6"/>
  <c r="I613" i="6"/>
  <c r="J613" i="6"/>
  <c r="K613" i="6"/>
  <c r="L613" i="6"/>
  <c r="M613" i="6"/>
  <c r="N613" i="6"/>
  <c r="O613" i="6"/>
  <c r="P613" i="6"/>
  <c r="Q613" i="6"/>
  <c r="R613" i="6"/>
  <c r="S613" i="6"/>
  <c r="T613" i="6"/>
  <c r="C614" i="6"/>
  <c r="D614" i="6"/>
  <c r="E614" i="6"/>
  <c r="F614" i="6"/>
  <c r="G614" i="6"/>
  <c r="H614" i="6"/>
  <c r="I614" i="6"/>
  <c r="J614" i="6"/>
  <c r="K614" i="6"/>
  <c r="L614" i="6"/>
  <c r="M614" i="6"/>
  <c r="N614" i="6"/>
  <c r="O614" i="6"/>
  <c r="P614" i="6"/>
  <c r="Q614" i="6"/>
  <c r="R614" i="6"/>
  <c r="S614" i="6"/>
  <c r="T614" i="6"/>
  <c r="C615" i="6"/>
  <c r="D615" i="6"/>
  <c r="E615" i="6"/>
  <c r="F615" i="6"/>
  <c r="G615" i="6"/>
  <c r="H615" i="6"/>
  <c r="I615" i="6"/>
  <c r="J615" i="6"/>
  <c r="K615" i="6"/>
  <c r="L615" i="6"/>
  <c r="M615" i="6"/>
  <c r="N615" i="6"/>
  <c r="O615" i="6"/>
  <c r="P615" i="6"/>
  <c r="Q615" i="6"/>
  <c r="R615" i="6"/>
  <c r="S615" i="6"/>
  <c r="T615" i="6"/>
  <c r="C616" i="6"/>
  <c r="D616" i="6"/>
  <c r="E616" i="6"/>
  <c r="F616" i="6"/>
  <c r="G616" i="6"/>
  <c r="H616" i="6"/>
  <c r="I616" i="6"/>
  <c r="J616" i="6"/>
  <c r="K616" i="6"/>
  <c r="L616" i="6"/>
  <c r="M616" i="6"/>
  <c r="N616" i="6"/>
  <c r="O616" i="6"/>
  <c r="P616" i="6"/>
  <c r="Q616" i="6"/>
  <c r="R616" i="6"/>
  <c r="S616" i="6"/>
  <c r="T616" i="6"/>
  <c r="C617" i="6"/>
  <c r="D617" i="6"/>
  <c r="E617" i="6"/>
  <c r="F617" i="6"/>
  <c r="G617" i="6"/>
  <c r="H617" i="6"/>
  <c r="I617" i="6"/>
  <c r="J617" i="6"/>
  <c r="K617" i="6"/>
  <c r="L617" i="6"/>
  <c r="M617" i="6"/>
  <c r="N617" i="6"/>
  <c r="O617" i="6"/>
  <c r="P617" i="6"/>
  <c r="Q617" i="6"/>
  <c r="R617" i="6"/>
  <c r="S617" i="6"/>
  <c r="T617" i="6"/>
  <c r="C618" i="6"/>
  <c r="D618" i="6"/>
  <c r="E618" i="6"/>
  <c r="F618" i="6"/>
  <c r="G618" i="6"/>
  <c r="H618" i="6"/>
  <c r="I618" i="6"/>
  <c r="J618" i="6"/>
  <c r="K618" i="6"/>
  <c r="L618" i="6"/>
  <c r="M618" i="6"/>
  <c r="N618" i="6"/>
  <c r="O618" i="6"/>
  <c r="P618" i="6"/>
  <c r="Q618" i="6"/>
  <c r="R618" i="6"/>
  <c r="S618" i="6"/>
  <c r="T618" i="6"/>
  <c r="C619" i="6"/>
  <c r="D619" i="6"/>
  <c r="E619" i="6"/>
  <c r="F619" i="6"/>
  <c r="G619" i="6"/>
  <c r="H619" i="6"/>
  <c r="I619" i="6"/>
  <c r="J619" i="6"/>
  <c r="K619" i="6"/>
  <c r="M619" i="6"/>
  <c r="N619" i="6"/>
  <c r="O619" i="6"/>
  <c r="P619" i="6"/>
  <c r="Q619" i="6"/>
  <c r="R619" i="6"/>
  <c r="S619" i="6"/>
  <c r="T619" i="6"/>
  <c r="C620" i="6"/>
  <c r="D620" i="6"/>
  <c r="E620" i="6"/>
  <c r="F620" i="6"/>
  <c r="G620" i="6"/>
  <c r="H620" i="6"/>
  <c r="I620" i="6"/>
  <c r="J620" i="6"/>
  <c r="K620" i="6"/>
  <c r="M620" i="6"/>
  <c r="N620" i="6"/>
  <c r="O620" i="6"/>
  <c r="P620" i="6"/>
  <c r="Q620" i="6"/>
  <c r="R620" i="6"/>
  <c r="S620" i="6"/>
  <c r="T620" i="6"/>
  <c r="C621" i="6"/>
  <c r="D621" i="6"/>
  <c r="E621" i="6"/>
  <c r="F621" i="6"/>
  <c r="G621" i="6"/>
  <c r="H621" i="6"/>
  <c r="I621" i="6"/>
  <c r="J621" i="6"/>
  <c r="K621" i="6"/>
  <c r="L621" i="6"/>
  <c r="M621" i="6"/>
  <c r="N621" i="6"/>
  <c r="O621" i="6"/>
  <c r="P621" i="6"/>
  <c r="Q621" i="6"/>
  <c r="R621" i="6"/>
  <c r="S621" i="6"/>
  <c r="T621" i="6"/>
  <c r="C622" i="6"/>
  <c r="D622" i="6"/>
  <c r="E622" i="6"/>
  <c r="F622" i="6"/>
  <c r="G622" i="6"/>
  <c r="H622" i="6"/>
  <c r="I622" i="6"/>
  <c r="J622" i="6"/>
  <c r="K622" i="6"/>
  <c r="L622" i="6"/>
  <c r="M622" i="6"/>
  <c r="N622" i="6"/>
  <c r="O622" i="6"/>
  <c r="P622" i="6"/>
  <c r="Q622" i="6"/>
  <c r="R622" i="6"/>
  <c r="S622" i="6"/>
  <c r="T622" i="6"/>
  <c r="C623" i="6"/>
  <c r="D623" i="6"/>
  <c r="E623" i="6"/>
  <c r="F623" i="6"/>
  <c r="G623" i="6"/>
  <c r="H623" i="6"/>
  <c r="I623" i="6"/>
  <c r="J623" i="6"/>
  <c r="K623" i="6"/>
  <c r="L623" i="6"/>
  <c r="M623" i="6"/>
  <c r="N623" i="6"/>
  <c r="O623" i="6"/>
  <c r="P623" i="6"/>
  <c r="Q623" i="6"/>
  <c r="R623" i="6"/>
  <c r="S623" i="6"/>
  <c r="T623" i="6"/>
  <c r="C624" i="6"/>
  <c r="D624" i="6"/>
  <c r="E624" i="6"/>
  <c r="F624" i="6"/>
  <c r="G624" i="6"/>
  <c r="H624" i="6"/>
  <c r="I624" i="6"/>
  <c r="J624" i="6"/>
  <c r="K624" i="6"/>
  <c r="L624" i="6"/>
  <c r="M624" i="6"/>
  <c r="N624" i="6"/>
  <c r="O624" i="6"/>
  <c r="P624" i="6"/>
  <c r="Q624" i="6"/>
  <c r="R624" i="6"/>
  <c r="S624" i="6"/>
  <c r="T624" i="6"/>
  <c r="C625" i="6"/>
  <c r="D625" i="6"/>
  <c r="E625" i="6"/>
  <c r="F625" i="6"/>
  <c r="G625" i="6"/>
  <c r="H625" i="6"/>
  <c r="I625" i="6"/>
  <c r="J625" i="6"/>
  <c r="K625" i="6"/>
  <c r="L625" i="6"/>
  <c r="M625" i="6"/>
  <c r="N625" i="6"/>
  <c r="O625" i="6"/>
  <c r="P625" i="6"/>
  <c r="Q625" i="6"/>
  <c r="R625" i="6"/>
  <c r="S625" i="6"/>
  <c r="T625" i="6"/>
  <c r="A626" i="6"/>
  <c r="C626" i="6"/>
  <c r="D626" i="6"/>
  <c r="E626" i="6"/>
  <c r="F626" i="6"/>
  <c r="G626" i="6"/>
  <c r="H626" i="6"/>
  <c r="I626" i="6"/>
  <c r="J626" i="6"/>
  <c r="K626" i="6"/>
  <c r="L626" i="6"/>
  <c r="M626" i="6"/>
  <c r="N626" i="6"/>
  <c r="O626" i="6"/>
  <c r="P626" i="6"/>
  <c r="Q626" i="6"/>
  <c r="R626" i="6"/>
  <c r="S626" i="6"/>
  <c r="T626" i="6"/>
  <c r="A627" i="6"/>
  <c r="C627" i="6"/>
  <c r="D627" i="6"/>
  <c r="E627" i="6"/>
  <c r="F627" i="6"/>
  <c r="G627" i="6"/>
  <c r="H627" i="6"/>
  <c r="I627" i="6"/>
  <c r="J627" i="6"/>
  <c r="K627" i="6"/>
  <c r="L627" i="6"/>
  <c r="M627" i="6"/>
  <c r="N627" i="6"/>
  <c r="O627" i="6"/>
  <c r="P627" i="6"/>
  <c r="Q627" i="6"/>
  <c r="R627" i="6"/>
  <c r="S627" i="6"/>
  <c r="T627" i="6"/>
  <c r="A628" i="6"/>
  <c r="C628" i="6"/>
  <c r="D628" i="6"/>
  <c r="E628" i="6"/>
  <c r="F628" i="6"/>
  <c r="G628" i="6"/>
  <c r="H628" i="6"/>
  <c r="I628" i="6"/>
  <c r="J628" i="6"/>
  <c r="K628" i="6"/>
  <c r="M628" i="6"/>
  <c r="N628" i="6"/>
  <c r="O628" i="6"/>
  <c r="P628" i="6"/>
  <c r="Q628" i="6"/>
  <c r="R628" i="6"/>
  <c r="S628" i="6"/>
  <c r="T628" i="6"/>
  <c r="A629" i="6"/>
  <c r="C629" i="6"/>
  <c r="D629" i="6"/>
  <c r="E629" i="6"/>
  <c r="F629" i="6"/>
  <c r="G629" i="6"/>
  <c r="H629" i="6"/>
  <c r="I629" i="6"/>
  <c r="J629" i="6"/>
  <c r="K629" i="6"/>
  <c r="L629" i="6"/>
  <c r="M629" i="6"/>
  <c r="N629" i="6"/>
  <c r="O629" i="6"/>
  <c r="P629" i="6"/>
  <c r="Q629" i="6"/>
  <c r="R629" i="6"/>
  <c r="S629" i="6"/>
  <c r="T629" i="6"/>
  <c r="A630" i="6"/>
  <c r="C630" i="6"/>
  <c r="D630" i="6"/>
  <c r="E630" i="6"/>
  <c r="F630" i="6"/>
  <c r="G630" i="6"/>
  <c r="H630" i="6"/>
  <c r="I630" i="6"/>
  <c r="J630" i="6"/>
  <c r="K630" i="6"/>
  <c r="L630" i="6"/>
  <c r="M630" i="6"/>
  <c r="N630" i="6"/>
  <c r="O630" i="6"/>
  <c r="P630" i="6"/>
  <c r="Q630" i="6"/>
  <c r="R630" i="6"/>
  <c r="S630" i="6"/>
  <c r="T630" i="6"/>
  <c r="A631" i="6"/>
  <c r="C631" i="6"/>
  <c r="D631" i="6"/>
  <c r="E631" i="6"/>
  <c r="F631" i="6"/>
  <c r="G631" i="6"/>
  <c r="H631" i="6"/>
  <c r="I631" i="6"/>
  <c r="J631" i="6"/>
  <c r="K631" i="6"/>
  <c r="L631" i="6"/>
  <c r="M631" i="6"/>
  <c r="N631" i="6"/>
  <c r="O631" i="6"/>
  <c r="P631" i="6"/>
  <c r="Q631" i="6"/>
  <c r="R631" i="6"/>
  <c r="S631" i="6"/>
  <c r="T631" i="6"/>
  <c r="A632" i="6"/>
  <c r="C632" i="6"/>
  <c r="D632" i="6"/>
  <c r="E632" i="6"/>
  <c r="F632" i="6"/>
  <c r="G632" i="6"/>
  <c r="H632" i="6"/>
  <c r="I632" i="6"/>
  <c r="J632" i="6"/>
  <c r="K632" i="6"/>
  <c r="L632" i="6"/>
  <c r="M632" i="6"/>
  <c r="N632" i="6"/>
  <c r="O632" i="6"/>
  <c r="P632" i="6"/>
  <c r="Q632" i="6"/>
  <c r="R632" i="6"/>
  <c r="S632" i="6"/>
  <c r="T632" i="6"/>
  <c r="A633" i="6"/>
  <c r="C633" i="6"/>
  <c r="D633" i="6"/>
  <c r="E633" i="6"/>
  <c r="F633" i="6"/>
  <c r="G633" i="6"/>
  <c r="H633" i="6"/>
  <c r="I633" i="6"/>
  <c r="J633" i="6"/>
  <c r="K633" i="6"/>
  <c r="L633" i="6"/>
  <c r="M633" i="6"/>
  <c r="N633" i="6"/>
  <c r="O633" i="6"/>
  <c r="P633" i="6"/>
  <c r="Q633" i="6"/>
  <c r="R633" i="6"/>
  <c r="S633" i="6"/>
  <c r="T633" i="6"/>
  <c r="A634" i="6"/>
  <c r="C634" i="6"/>
  <c r="D634" i="6"/>
  <c r="E634" i="6"/>
  <c r="F634" i="6"/>
  <c r="G634" i="6"/>
  <c r="H634" i="6"/>
  <c r="I634" i="6"/>
  <c r="J634" i="6"/>
  <c r="K634" i="6"/>
  <c r="L634" i="6"/>
  <c r="M634" i="6"/>
  <c r="N634" i="6"/>
  <c r="O634" i="6"/>
  <c r="P634" i="6"/>
  <c r="Q634" i="6"/>
  <c r="R634" i="6"/>
  <c r="S634" i="6"/>
  <c r="T634" i="6"/>
  <c r="A635" i="6"/>
  <c r="C635" i="6"/>
  <c r="D635" i="6"/>
  <c r="E635" i="6"/>
  <c r="F635" i="6"/>
  <c r="G635" i="6"/>
  <c r="H635" i="6"/>
  <c r="I635" i="6"/>
  <c r="J635" i="6"/>
  <c r="K635" i="6"/>
  <c r="L635" i="6"/>
  <c r="M635" i="6"/>
  <c r="N635" i="6"/>
  <c r="O635" i="6"/>
  <c r="P635" i="6"/>
  <c r="Q635" i="6"/>
  <c r="R635" i="6"/>
  <c r="S635" i="6"/>
  <c r="T635" i="6"/>
  <c r="A636" i="6"/>
  <c r="C636" i="6"/>
  <c r="D636" i="6"/>
  <c r="E636" i="6"/>
  <c r="F636" i="6"/>
  <c r="G636" i="6"/>
  <c r="H636" i="6"/>
  <c r="I636" i="6"/>
  <c r="J636" i="6"/>
  <c r="K636" i="6"/>
  <c r="L636" i="6"/>
  <c r="M636" i="6"/>
  <c r="N636" i="6"/>
  <c r="O636" i="6"/>
  <c r="P636" i="6"/>
  <c r="Q636" i="6"/>
  <c r="R636" i="6"/>
  <c r="S636" i="6"/>
  <c r="T636" i="6"/>
  <c r="A637" i="6"/>
  <c r="C637" i="6"/>
  <c r="D637" i="6"/>
  <c r="E637" i="6"/>
  <c r="F637" i="6"/>
  <c r="G637" i="6"/>
  <c r="H637" i="6"/>
  <c r="I637" i="6"/>
  <c r="J637" i="6"/>
  <c r="K637" i="6"/>
  <c r="L637" i="6"/>
  <c r="M637" i="6"/>
  <c r="N637" i="6"/>
  <c r="O637" i="6"/>
  <c r="P637" i="6"/>
  <c r="Q637" i="6"/>
  <c r="R637" i="6"/>
  <c r="S637" i="6"/>
  <c r="T637" i="6"/>
  <c r="A638" i="6"/>
  <c r="C638" i="6"/>
  <c r="D638" i="6"/>
  <c r="E638" i="6"/>
  <c r="F638" i="6"/>
  <c r="G638" i="6"/>
  <c r="H638" i="6"/>
  <c r="I638" i="6"/>
  <c r="J638" i="6"/>
  <c r="K638" i="6"/>
  <c r="L638" i="6"/>
  <c r="M638" i="6"/>
  <c r="N638" i="6"/>
  <c r="O638" i="6"/>
  <c r="P638" i="6"/>
  <c r="Q638" i="6"/>
  <c r="R638" i="6"/>
  <c r="S638" i="6"/>
  <c r="T638" i="6"/>
  <c r="A639" i="6"/>
  <c r="C639" i="6"/>
  <c r="D639" i="6"/>
  <c r="E639" i="6"/>
  <c r="F639" i="6"/>
  <c r="G639" i="6"/>
  <c r="H639" i="6"/>
  <c r="I639" i="6"/>
  <c r="J639" i="6"/>
  <c r="K639" i="6"/>
  <c r="L639" i="6"/>
  <c r="M639" i="6"/>
  <c r="N639" i="6"/>
  <c r="O639" i="6"/>
  <c r="P639" i="6"/>
  <c r="Q639" i="6"/>
  <c r="R639" i="6"/>
  <c r="S639" i="6"/>
  <c r="T639" i="6"/>
  <c r="A640" i="6"/>
  <c r="C640" i="6"/>
  <c r="D640" i="6"/>
  <c r="E640" i="6"/>
  <c r="F640" i="6"/>
  <c r="G640" i="6"/>
  <c r="H640" i="6"/>
  <c r="I640" i="6"/>
  <c r="J640" i="6"/>
  <c r="K640" i="6"/>
  <c r="L640" i="6"/>
  <c r="M640" i="6"/>
  <c r="N640" i="6"/>
  <c r="O640" i="6"/>
  <c r="P640" i="6"/>
  <c r="Q640" i="6"/>
  <c r="R640" i="6"/>
  <c r="S640" i="6"/>
  <c r="T640" i="6"/>
  <c r="A641" i="6"/>
  <c r="C641" i="6"/>
  <c r="D641" i="6"/>
  <c r="E641" i="6"/>
  <c r="F641" i="6"/>
  <c r="G641" i="6"/>
  <c r="H641" i="6"/>
  <c r="I641" i="6"/>
  <c r="J641" i="6"/>
  <c r="K641" i="6"/>
  <c r="L641" i="6"/>
  <c r="M641" i="6"/>
  <c r="N641" i="6"/>
  <c r="O641" i="6"/>
  <c r="P641" i="6"/>
  <c r="Q641" i="6"/>
  <c r="R641" i="6"/>
  <c r="S641" i="6"/>
  <c r="T641" i="6"/>
  <c r="A642" i="6"/>
  <c r="C642" i="6"/>
  <c r="D642" i="6"/>
  <c r="E642" i="6"/>
  <c r="F642" i="6"/>
  <c r="G642" i="6"/>
  <c r="H642" i="6"/>
  <c r="I642" i="6"/>
  <c r="J642" i="6"/>
  <c r="K642" i="6"/>
  <c r="L642" i="6"/>
  <c r="M642" i="6"/>
  <c r="N642" i="6"/>
  <c r="O642" i="6"/>
  <c r="P642" i="6"/>
  <c r="Q642" i="6"/>
  <c r="R642" i="6"/>
  <c r="S642" i="6"/>
  <c r="T642" i="6"/>
  <c r="A643" i="6"/>
  <c r="C643" i="6"/>
  <c r="D643" i="6"/>
  <c r="E643" i="6"/>
  <c r="F643" i="6"/>
  <c r="G643" i="6"/>
  <c r="H643" i="6"/>
  <c r="I643" i="6"/>
  <c r="J643" i="6"/>
  <c r="K643" i="6"/>
  <c r="L643" i="6"/>
  <c r="M643" i="6"/>
  <c r="N643" i="6"/>
  <c r="O643" i="6"/>
  <c r="P643" i="6"/>
  <c r="Q643" i="6"/>
  <c r="R643" i="6"/>
  <c r="S643" i="6"/>
  <c r="T643" i="6"/>
  <c r="A644" i="6"/>
  <c r="C644" i="6"/>
  <c r="D644" i="6"/>
  <c r="E644" i="6"/>
  <c r="F644" i="6"/>
  <c r="G644" i="6"/>
  <c r="H644" i="6"/>
  <c r="I644" i="6"/>
  <c r="J644" i="6"/>
  <c r="K644" i="6"/>
  <c r="L644" i="6"/>
  <c r="M644" i="6"/>
  <c r="N644" i="6"/>
  <c r="O644" i="6"/>
  <c r="P644" i="6"/>
  <c r="Q644" i="6"/>
  <c r="R644" i="6"/>
  <c r="S644" i="6"/>
  <c r="T644" i="6"/>
  <c r="A645" i="6"/>
  <c r="C645" i="6"/>
  <c r="D645" i="6"/>
  <c r="E645" i="6"/>
  <c r="F645" i="6"/>
  <c r="G645" i="6"/>
  <c r="H645" i="6"/>
  <c r="I645" i="6"/>
  <c r="J645" i="6"/>
  <c r="K645" i="6"/>
  <c r="L645" i="6"/>
  <c r="M645" i="6"/>
  <c r="N645" i="6"/>
  <c r="O645" i="6"/>
  <c r="P645" i="6"/>
  <c r="Q645" i="6"/>
  <c r="R645" i="6"/>
  <c r="S645" i="6"/>
  <c r="T645" i="6"/>
  <c r="A646" i="6"/>
  <c r="C646" i="6"/>
  <c r="D646" i="6"/>
  <c r="E646" i="6"/>
  <c r="F646" i="6"/>
  <c r="G646" i="6"/>
  <c r="H646" i="6"/>
  <c r="I646" i="6"/>
  <c r="J646" i="6"/>
  <c r="K646" i="6"/>
  <c r="L646" i="6"/>
  <c r="M646" i="6"/>
  <c r="N646" i="6"/>
  <c r="O646" i="6"/>
  <c r="P646" i="6"/>
  <c r="Q646" i="6"/>
  <c r="R646" i="6"/>
  <c r="S646" i="6"/>
  <c r="T646" i="6"/>
  <c r="A647" i="6"/>
  <c r="C647" i="6"/>
  <c r="D647" i="6"/>
  <c r="E647" i="6"/>
  <c r="F647" i="6"/>
  <c r="G647" i="6"/>
  <c r="H647" i="6"/>
  <c r="I647" i="6"/>
  <c r="J647" i="6"/>
  <c r="K647" i="6"/>
  <c r="L647" i="6"/>
  <c r="M647" i="6"/>
  <c r="N647" i="6"/>
  <c r="O647" i="6"/>
  <c r="P647" i="6"/>
  <c r="Q647" i="6"/>
  <c r="R647" i="6"/>
  <c r="S647" i="6"/>
  <c r="T647" i="6"/>
  <c r="A648" i="6"/>
  <c r="C648" i="6"/>
  <c r="D648" i="6"/>
  <c r="E648" i="6"/>
  <c r="F648" i="6"/>
  <c r="G648" i="6"/>
  <c r="H648" i="6"/>
  <c r="I648" i="6"/>
  <c r="J648" i="6"/>
  <c r="K648" i="6"/>
  <c r="L648" i="6"/>
  <c r="M648" i="6"/>
  <c r="N648" i="6"/>
  <c r="O648" i="6"/>
  <c r="P648" i="6"/>
  <c r="Q648" i="6"/>
  <c r="R648" i="6"/>
  <c r="S648" i="6"/>
  <c r="T648" i="6"/>
  <c r="A649" i="6"/>
  <c r="C649" i="6"/>
  <c r="D649" i="6"/>
  <c r="E649" i="6"/>
  <c r="F649" i="6"/>
  <c r="G649" i="6"/>
  <c r="H649" i="6"/>
  <c r="I649" i="6"/>
  <c r="J649" i="6"/>
  <c r="K649" i="6"/>
  <c r="L649" i="6"/>
  <c r="M649" i="6"/>
  <c r="N649" i="6"/>
  <c r="O649" i="6"/>
  <c r="P649" i="6"/>
  <c r="Q649" i="6"/>
  <c r="R649" i="6"/>
  <c r="S649" i="6"/>
  <c r="T649" i="6"/>
  <c r="C9" i="5"/>
  <c r="B15" i="5"/>
  <c r="C15" i="5"/>
  <c r="D15" i="5"/>
  <c r="E15" i="5"/>
  <c r="F15" i="5"/>
  <c r="G15" i="5"/>
  <c r="H15" i="5"/>
  <c r="I15" i="5"/>
  <c r="J15" i="5"/>
  <c r="L15" i="5"/>
  <c r="M15" i="5"/>
  <c r="AC15" i="5" s="1"/>
  <c r="N15" i="5"/>
  <c r="O15" i="5"/>
  <c r="P15" i="5"/>
  <c r="Q15" i="5"/>
  <c r="R15" i="5"/>
  <c r="S15" i="5"/>
  <c r="T15" i="5"/>
  <c r="U15" i="5"/>
  <c r="V15" i="5"/>
  <c r="W15" i="5"/>
  <c r="Y15" i="5"/>
  <c r="Z15" i="5"/>
  <c r="AA15" i="5"/>
  <c r="AB15" i="5"/>
  <c r="B16" i="5"/>
  <c r="C16" i="5"/>
  <c r="D16" i="5"/>
  <c r="E16" i="5"/>
  <c r="F16" i="5"/>
  <c r="G16" i="5"/>
  <c r="H16" i="5"/>
  <c r="I16" i="5"/>
  <c r="J16" i="5"/>
  <c r="L16" i="5"/>
  <c r="M16" i="5"/>
  <c r="AC16" i="5" s="1"/>
  <c r="N16" i="5"/>
  <c r="O16" i="5"/>
  <c r="P16" i="5"/>
  <c r="Q16" i="5"/>
  <c r="R16" i="5"/>
  <c r="S16" i="5"/>
  <c r="T16" i="5"/>
  <c r="U16" i="5"/>
  <c r="V16" i="5"/>
  <c r="W16" i="5"/>
  <c r="X16" i="5"/>
  <c r="Z16" i="5"/>
  <c r="AA16" i="5"/>
  <c r="AB16" i="5"/>
  <c r="B17" i="5"/>
  <c r="C17" i="5"/>
  <c r="D17" i="5"/>
  <c r="E17" i="5"/>
  <c r="F17" i="5"/>
  <c r="G17" i="5"/>
  <c r="H17" i="5"/>
  <c r="I17" i="5"/>
  <c r="J17" i="5"/>
  <c r="L17" i="5"/>
  <c r="M17" i="5"/>
  <c r="AC17" i="5" s="1"/>
  <c r="N17" i="5"/>
  <c r="O17" i="5"/>
  <c r="P17" i="5"/>
  <c r="Q17" i="5"/>
  <c r="R17" i="5"/>
  <c r="S17" i="5"/>
  <c r="T17" i="5"/>
  <c r="U17" i="5"/>
  <c r="V17" i="5"/>
  <c r="W17" i="5"/>
  <c r="X17" i="5"/>
  <c r="Z17" i="5"/>
  <c r="AA17" i="5"/>
  <c r="AB17" i="5"/>
  <c r="B18" i="5"/>
  <c r="C18" i="5"/>
  <c r="D18" i="5"/>
  <c r="E18" i="5"/>
  <c r="F18" i="5"/>
  <c r="G18" i="5"/>
  <c r="H18" i="5"/>
  <c r="I18" i="5"/>
  <c r="J18" i="5"/>
  <c r="L18" i="5"/>
  <c r="M18" i="5"/>
  <c r="AC18" i="5" s="1"/>
  <c r="N18" i="5"/>
  <c r="O18" i="5"/>
  <c r="P18" i="5"/>
  <c r="Q18" i="5"/>
  <c r="R18" i="5"/>
  <c r="S18" i="5"/>
  <c r="T18" i="5"/>
  <c r="U18" i="5"/>
  <c r="V18" i="5"/>
  <c r="W18" i="5"/>
  <c r="X18" i="5"/>
  <c r="Z18" i="5"/>
  <c r="AA18" i="5"/>
  <c r="AB18" i="5"/>
  <c r="B19" i="5"/>
  <c r="C19" i="5"/>
  <c r="D19" i="5"/>
  <c r="E19" i="5"/>
  <c r="F19" i="5"/>
  <c r="G19" i="5"/>
  <c r="H19" i="5"/>
  <c r="I19" i="5"/>
  <c r="J19" i="5"/>
  <c r="L19" i="5"/>
  <c r="M19" i="5"/>
  <c r="AC19" i="5" s="1"/>
  <c r="N19" i="5"/>
  <c r="O19" i="5"/>
  <c r="P19" i="5"/>
  <c r="Q19" i="5"/>
  <c r="R19" i="5"/>
  <c r="S19" i="5"/>
  <c r="T19" i="5"/>
  <c r="U19" i="5"/>
  <c r="V19" i="5"/>
  <c r="W19" i="5"/>
  <c r="X19" i="5"/>
  <c r="Z19" i="5"/>
  <c r="AA19" i="5"/>
  <c r="AB19" i="5"/>
  <c r="B20" i="5"/>
  <c r="C20" i="5"/>
  <c r="D20" i="5"/>
  <c r="E20" i="5"/>
  <c r="F20" i="5"/>
  <c r="G20" i="5"/>
  <c r="H20" i="5"/>
  <c r="I20" i="5"/>
  <c r="J20" i="5"/>
  <c r="L20" i="5"/>
  <c r="M20" i="5"/>
  <c r="AC20" i="5" s="1"/>
  <c r="N20" i="5"/>
  <c r="O20" i="5"/>
  <c r="P20" i="5"/>
  <c r="Q20" i="5"/>
  <c r="R20" i="5"/>
  <c r="S20" i="5"/>
  <c r="T20" i="5"/>
  <c r="U20" i="5"/>
  <c r="V20" i="5"/>
  <c r="W20" i="5"/>
  <c r="X20" i="5"/>
  <c r="Z20" i="5"/>
  <c r="AA20" i="5"/>
  <c r="AB20" i="5"/>
  <c r="B21" i="5"/>
  <c r="C21" i="5"/>
  <c r="D21" i="5"/>
  <c r="E21" i="5"/>
  <c r="F21" i="5"/>
  <c r="G21" i="5"/>
  <c r="H21" i="5"/>
  <c r="I21" i="5"/>
  <c r="J21" i="5"/>
  <c r="L21" i="5"/>
  <c r="M21" i="5"/>
  <c r="AC21" i="5" s="1"/>
  <c r="N21" i="5"/>
  <c r="O21" i="5"/>
  <c r="P21" i="5"/>
  <c r="Q21" i="5"/>
  <c r="R21" i="5"/>
  <c r="S21" i="5"/>
  <c r="T21" i="5"/>
  <c r="U21" i="5"/>
  <c r="V21" i="5"/>
  <c r="W21" i="5"/>
  <c r="X21" i="5"/>
  <c r="Z21" i="5"/>
  <c r="AA21" i="5"/>
  <c r="AB21" i="5"/>
  <c r="B22" i="5"/>
  <c r="C22" i="5"/>
  <c r="D22" i="5"/>
  <c r="E22" i="5"/>
  <c r="F22" i="5"/>
  <c r="G22" i="5"/>
  <c r="H22" i="5"/>
  <c r="I22" i="5"/>
  <c r="J22" i="5"/>
  <c r="L22" i="5"/>
  <c r="M22" i="5"/>
  <c r="AC22" i="5" s="1"/>
  <c r="N22" i="5"/>
  <c r="O22" i="5"/>
  <c r="P22" i="5"/>
  <c r="Q22" i="5"/>
  <c r="R22" i="5"/>
  <c r="S22" i="5"/>
  <c r="T22" i="5"/>
  <c r="U22" i="5"/>
  <c r="V22" i="5"/>
  <c r="W22" i="5"/>
  <c r="X22" i="5"/>
  <c r="Z22" i="5"/>
  <c r="AA22" i="5"/>
  <c r="AB22" i="5"/>
  <c r="B23" i="5"/>
  <c r="AB23" i="5" s="1"/>
  <c r="C23" i="5"/>
  <c r="D23" i="5"/>
  <c r="E23" i="5"/>
  <c r="F23" i="5"/>
  <c r="G23" i="5"/>
  <c r="H23" i="5"/>
  <c r="I23" i="5"/>
  <c r="J23" i="5"/>
  <c r="L23" i="5"/>
  <c r="M23" i="5"/>
  <c r="N23" i="5"/>
  <c r="O23" i="5"/>
  <c r="P23" i="5"/>
  <c r="Q23" i="5"/>
  <c r="R23" i="5"/>
  <c r="S23" i="5"/>
  <c r="T23" i="5"/>
  <c r="U23" i="5"/>
  <c r="V23" i="5"/>
  <c r="W23" i="5"/>
  <c r="Z23" i="5"/>
  <c r="AA23" i="5"/>
  <c r="AC23" i="5"/>
  <c r="B24" i="5"/>
  <c r="C24" i="5"/>
  <c r="D24" i="5"/>
  <c r="E24" i="5"/>
  <c r="F24" i="5"/>
  <c r="G24" i="5"/>
  <c r="H24" i="5"/>
  <c r="I24" i="5"/>
  <c r="J24" i="5"/>
  <c r="L24" i="5"/>
  <c r="M24" i="5"/>
  <c r="N24" i="5"/>
  <c r="AC24" i="5" s="1"/>
  <c r="O24" i="5"/>
  <c r="P24" i="5"/>
  <c r="Q24" i="5"/>
  <c r="R24" i="5"/>
  <c r="S24" i="5"/>
  <c r="T24" i="5"/>
  <c r="U24" i="5"/>
  <c r="V24" i="5"/>
  <c r="W24" i="5"/>
  <c r="Z24" i="5"/>
  <c r="AA24" i="5"/>
  <c r="AB24" i="5"/>
  <c r="B25" i="5"/>
  <c r="AB25" i="5" s="1"/>
  <c r="C25" i="5"/>
  <c r="D25" i="5"/>
  <c r="E25" i="5"/>
  <c r="F25" i="5"/>
  <c r="G25" i="5"/>
  <c r="H25" i="5"/>
  <c r="I25" i="5"/>
  <c r="J25" i="5"/>
  <c r="L25" i="5"/>
  <c r="M25" i="5"/>
  <c r="N25" i="5"/>
  <c r="O25" i="5"/>
  <c r="P25" i="5"/>
  <c r="Q25" i="5"/>
  <c r="R25" i="5"/>
  <c r="S25" i="5"/>
  <c r="T25" i="5"/>
  <c r="U25" i="5"/>
  <c r="V25" i="5"/>
  <c r="W25" i="5"/>
  <c r="Z25" i="5"/>
  <c r="AA25" i="5"/>
  <c r="AC25" i="5"/>
  <c r="B26" i="5"/>
  <c r="C26" i="5"/>
  <c r="D26" i="5"/>
  <c r="E26" i="5"/>
  <c r="F26" i="5"/>
  <c r="G26" i="5"/>
  <c r="H26" i="5"/>
  <c r="I26" i="5"/>
  <c r="J26" i="5"/>
  <c r="L26" i="5"/>
  <c r="M26" i="5"/>
  <c r="N26" i="5"/>
  <c r="AC26" i="5" s="1"/>
  <c r="O26" i="5"/>
  <c r="P26" i="5"/>
  <c r="Q26" i="5"/>
  <c r="R26" i="5"/>
  <c r="S26" i="5"/>
  <c r="T26" i="5"/>
  <c r="U26" i="5"/>
  <c r="V26" i="5"/>
  <c r="W26" i="5"/>
  <c r="Z26" i="5"/>
  <c r="AA26" i="5"/>
  <c r="AB26" i="5"/>
  <c r="B27" i="5"/>
  <c r="AB27" i="5" s="1"/>
  <c r="C27" i="5"/>
  <c r="D27" i="5"/>
  <c r="E27" i="5"/>
  <c r="F27" i="5"/>
  <c r="G27" i="5"/>
  <c r="H27" i="5"/>
  <c r="I27" i="5"/>
  <c r="J27" i="5"/>
  <c r="L27" i="5"/>
  <c r="M27" i="5"/>
  <c r="N27" i="5"/>
  <c r="O27" i="5"/>
  <c r="P27" i="5"/>
  <c r="Q27" i="5"/>
  <c r="R27" i="5"/>
  <c r="S27" i="5"/>
  <c r="T27" i="5"/>
  <c r="U27" i="5"/>
  <c r="V27" i="5"/>
  <c r="W27" i="5"/>
  <c r="Z27" i="5"/>
  <c r="AA27" i="5"/>
  <c r="AC27" i="5"/>
  <c r="B28" i="5"/>
  <c r="C28" i="5"/>
  <c r="AB28" i="5" s="1"/>
  <c r="D28" i="5"/>
  <c r="E28" i="5"/>
  <c r="F28" i="5"/>
  <c r="G28" i="5"/>
  <c r="H28" i="5"/>
  <c r="I28" i="5"/>
  <c r="J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Z28" i="5"/>
  <c r="AA28" i="5"/>
  <c r="AC28" i="5"/>
  <c r="B29" i="5"/>
  <c r="C29" i="5"/>
  <c r="AB29" i="5" s="1"/>
  <c r="D29" i="5"/>
  <c r="E29" i="5"/>
  <c r="F29" i="5"/>
  <c r="G29" i="5"/>
  <c r="H29" i="5"/>
  <c r="I29" i="5"/>
  <c r="J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Z29" i="5"/>
  <c r="AA29" i="5"/>
  <c r="AC29" i="5"/>
  <c r="B30" i="5"/>
  <c r="C30" i="5"/>
  <c r="AB30" i="5" s="1"/>
  <c r="D30" i="5"/>
  <c r="E30" i="5"/>
  <c r="F30" i="5"/>
  <c r="G30" i="5"/>
  <c r="H30" i="5"/>
  <c r="I30" i="5"/>
  <c r="J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Z30" i="5"/>
  <c r="AA30" i="5"/>
  <c r="AC30" i="5"/>
  <c r="B31" i="5"/>
  <c r="C31" i="5"/>
  <c r="AB31" i="5" s="1"/>
  <c r="D31" i="5"/>
  <c r="E31" i="5"/>
  <c r="F31" i="5"/>
  <c r="G31" i="5"/>
  <c r="H31" i="5"/>
  <c r="I31" i="5"/>
  <c r="J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Z31" i="5"/>
  <c r="AA31" i="5"/>
  <c r="AC31" i="5"/>
  <c r="B32" i="5"/>
  <c r="C32" i="5"/>
  <c r="AB32" i="5" s="1"/>
  <c r="D32" i="5"/>
  <c r="E32" i="5"/>
  <c r="F32" i="5"/>
  <c r="G32" i="5"/>
  <c r="H32" i="5"/>
  <c r="I32" i="5"/>
  <c r="J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Z32" i="5"/>
  <c r="AA32" i="5"/>
  <c r="AC32" i="5"/>
  <c r="B33" i="5"/>
  <c r="C33" i="5"/>
  <c r="AB33" i="5" s="1"/>
  <c r="D33" i="5"/>
  <c r="E33" i="5"/>
  <c r="F33" i="5"/>
  <c r="G33" i="5"/>
  <c r="H33" i="5"/>
  <c r="I33" i="5"/>
  <c r="J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Z33" i="5"/>
  <c r="AA33" i="5"/>
  <c r="AC33" i="5"/>
  <c r="B34" i="5"/>
  <c r="C34" i="5"/>
  <c r="AB34" i="5" s="1"/>
  <c r="D34" i="5"/>
  <c r="E34" i="5"/>
  <c r="F34" i="5"/>
  <c r="G34" i="5"/>
  <c r="H34" i="5"/>
  <c r="I34" i="5"/>
  <c r="J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Z34" i="5"/>
  <c r="AA34" i="5"/>
  <c r="AC34" i="5"/>
  <c r="B35" i="5"/>
  <c r="C35" i="5"/>
  <c r="D35" i="5"/>
  <c r="E35" i="5"/>
  <c r="F35" i="5"/>
  <c r="G35" i="5"/>
  <c r="H35" i="5"/>
  <c r="I35" i="5"/>
  <c r="J35" i="5"/>
  <c r="L35" i="5"/>
  <c r="M35" i="5"/>
  <c r="N35" i="5"/>
  <c r="AC35" i="5" s="1"/>
  <c r="O35" i="5"/>
  <c r="P35" i="5"/>
  <c r="Q35" i="5"/>
  <c r="R35" i="5"/>
  <c r="S35" i="5"/>
  <c r="T35" i="5"/>
  <c r="U35" i="5"/>
  <c r="V35" i="5"/>
  <c r="W35" i="5"/>
  <c r="Z35" i="5"/>
  <c r="AA35" i="5"/>
  <c r="AB35" i="5"/>
  <c r="B36" i="5"/>
  <c r="AB36" i="5" s="1"/>
  <c r="C36" i="5"/>
  <c r="D36" i="5"/>
  <c r="E36" i="5"/>
  <c r="F36" i="5"/>
  <c r="G36" i="5"/>
  <c r="H36" i="5"/>
  <c r="I36" i="5"/>
  <c r="J36" i="5"/>
  <c r="L36" i="5"/>
  <c r="M36" i="5"/>
  <c r="N36" i="5"/>
  <c r="O36" i="5"/>
  <c r="P36" i="5"/>
  <c r="Q36" i="5"/>
  <c r="R36" i="5"/>
  <c r="S36" i="5"/>
  <c r="T36" i="5"/>
  <c r="U36" i="5"/>
  <c r="V36" i="5"/>
  <c r="W36" i="5"/>
  <c r="Z36" i="5"/>
  <c r="AA36" i="5"/>
  <c r="AC36" i="5"/>
  <c r="B37" i="5"/>
  <c r="C37" i="5"/>
  <c r="D37" i="5"/>
  <c r="E37" i="5"/>
  <c r="F37" i="5"/>
  <c r="G37" i="5"/>
  <c r="H37" i="5"/>
  <c r="I37" i="5"/>
  <c r="J37" i="5"/>
  <c r="L37" i="5"/>
  <c r="M37" i="5"/>
  <c r="N37" i="5"/>
  <c r="AC37" i="5" s="1"/>
  <c r="O37" i="5"/>
  <c r="P37" i="5"/>
  <c r="Q37" i="5"/>
  <c r="R37" i="5"/>
  <c r="S37" i="5"/>
  <c r="T37" i="5"/>
  <c r="U37" i="5"/>
  <c r="V37" i="5"/>
  <c r="W37" i="5"/>
  <c r="Z37" i="5"/>
  <c r="AA37" i="5"/>
  <c r="AB37" i="5"/>
  <c r="B38" i="5"/>
  <c r="AB38" i="5" s="1"/>
  <c r="C38" i="5"/>
  <c r="D38" i="5"/>
  <c r="E38" i="5"/>
  <c r="F38" i="5"/>
  <c r="G38" i="5"/>
  <c r="H38" i="5"/>
  <c r="I38" i="5"/>
  <c r="J38" i="5"/>
  <c r="L38" i="5"/>
  <c r="M38" i="5"/>
  <c r="N38" i="5"/>
  <c r="O38" i="5"/>
  <c r="P38" i="5"/>
  <c r="Q38" i="5"/>
  <c r="R38" i="5"/>
  <c r="S38" i="5"/>
  <c r="T38" i="5"/>
  <c r="U38" i="5"/>
  <c r="V38" i="5"/>
  <c r="W38" i="5"/>
  <c r="Z38" i="5"/>
  <c r="AA38" i="5"/>
  <c r="AC38" i="5"/>
  <c r="B39" i="5"/>
  <c r="C39" i="5"/>
  <c r="D39" i="5"/>
  <c r="E39" i="5"/>
  <c r="F39" i="5"/>
  <c r="G39" i="5"/>
  <c r="H39" i="5"/>
  <c r="I39" i="5"/>
  <c r="J39" i="5"/>
  <c r="L39" i="5"/>
  <c r="M39" i="5"/>
  <c r="N39" i="5"/>
  <c r="AC39" i="5" s="1"/>
  <c r="O39" i="5"/>
  <c r="P39" i="5"/>
  <c r="Q39" i="5"/>
  <c r="R39" i="5"/>
  <c r="S39" i="5"/>
  <c r="T39" i="5"/>
  <c r="U39" i="5"/>
  <c r="V39" i="5"/>
  <c r="W39" i="5"/>
  <c r="Z39" i="5"/>
  <c r="AA39" i="5"/>
  <c r="AB39" i="5"/>
  <c r="B40" i="5"/>
  <c r="C40" i="5"/>
  <c r="D40" i="5"/>
  <c r="E40" i="5"/>
  <c r="F40" i="5"/>
  <c r="G40" i="5"/>
  <c r="H40" i="5"/>
  <c r="I40" i="5"/>
  <c r="J40" i="5"/>
  <c r="L40" i="5"/>
  <c r="M40" i="5"/>
  <c r="AC40" i="5" s="1"/>
  <c r="N40" i="5"/>
  <c r="O40" i="5"/>
  <c r="P40" i="5"/>
  <c r="Q40" i="5"/>
  <c r="R40" i="5"/>
  <c r="S40" i="5"/>
  <c r="T40" i="5"/>
  <c r="U40" i="5"/>
  <c r="V40" i="5"/>
  <c r="W40" i="5"/>
  <c r="X40" i="5"/>
  <c r="Z40" i="5"/>
  <c r="AA40" i="5"/>
  <c r="AB40" i="5"/>
  <c r="B41" i="5"/>
  <c r="C41" i="5"/>
  <c r="D41" i="5"/>
  <c r="E41" i="5"/>
  <c r="F41" i="5"/>
  <c r="G41" i="5"/>
  <c r="H41" i="5"/>
  <c r="I41" i="5"/>
  <c r="J41" i="5"/>
  <c r="L41" i="5"/>
  <c r="M41" i="5"/>
  <c r="AC41" i="5" s="1"/>
  <c r="N41" i="5"/>
  <c r="O41" i="5"/>
  <c r="P41" i="5"/>
  <c r="Q41" i="5"/>
  <c r="R41" i="5"/>
  <c r="S41" i="5"/>
  <c r="T41" i="5"/>
  <c r="U41" i="5"/>
  <c r="V41" i="5"/>
  <c r="W41" i="5"/>
  <c r="X41" i="5"/>
  <c r="Z41" i="5"/>
  <c r="AA41" i="5"/>
  <c r="AB41" i="5"/>
  <c r="B42" i="5"/>
  <c r="C42" i="5"/>
  <c r="D42" i="5"/>
  <c r="E42" i="5"/>
  <c r="F42" i="5"/>
  <c r="G42" i="5"/>
  <c r="H42" i="5"/>
  <c r="I42" i="5"/>
  <c r="J42" i="5"/>
  <c r="L42" i="5"/>
  <c r="M42" i="5"/>
  <c r="AC42" i="5" s="1"/>
  <c r="N42" i="5"/>
  <c r="O42" i="5"/>
  <c r="P42" i="5"/>
  <c r="Q42" i="5"/>
  <c r="R42" i="5"/>
  <c r="S42" i="5"/>
  <c r="T42" i="5"/>
  <c r="U42" i="5"/>
  <c r="V42" i="5"/>
  <c r="W42" i="5"/>
  <c r="X42" i="5"/>
  <c r="Z42" i="5"/>
  <c r="AA42" i="5"/>
  <c r="AB42" i="5"/>
  <c r="B43" i="5"/>
  <c r="C43" i="5"/>
  <c r="D43" i="5"/>
  <c r="E43" i="5"/>
  <c r="F43" i="5"/>
  <c r="G43" i="5"/>
  <c r="H43" i="5"/>
  <c r="I43" i="5"/>
  <c r="J43" i="5"/>
  <c r="L43" i="5"/>
  <c r="M43" i="5"/>
  <c r="AC43" i="5" s="1"/>
  <c r="N43" i="5"/>
  <c r="O43" i="5"/>
  <c r="P43" i="5"/>
  <c r="Q43" i="5"/>
  <c r="R43" i="5"/>
  <c r="S43" i="5"/>
  <c r="T43" i="5"/>
  <c r="U43" i="5"/>
  <c r="V43" i="5"/>
  <c r="W43" i="5"/>
  <c r="X43" i="5"/>
  <c r="Z43" i="5"/>
  <c r="AA43" i="5"/>
  <c r="AB43" i="5"/>
  <c r="B44" i="5"/>
  <c r="C44" i="5"/>
  <c r="D44" i="5"/>
  <c r="E44" i="5"/>
  <c r="F44" i="5"/>
  <c r="G44" i="5"/>
  <c r="H44" i="5"/>
  <c r="I44" i="5"/>
  <c r="J44" i="5"/>
  <c r="L44" i="5"/>
  <c r="M44" i="5"/>
  <c r="AC44" i="5" s="1"/>
  <c r="N44" i="5"/>
  <c r="O44" i="5"/>
  <c r="P44" i="5"/>
  <c r="Q44" i="5"/>
  <c r="R44" i="5"/>
  <c r="S44" i="5"/>
  <c r="T44" i="5"/>
  <c r="U44" i="5"/>
  <c r="V44" i="5"/>
  <c r="W44" i="5"/>
  <c r="X44" i="5"/>
  <c r="Z44" i="5"/>
  <c r="AA44" i="5"/>
  <c r="AB44" i="5"/>
  <c r="B45" i="5"/>
  <c r="C45" i="5"/>
  <c r="D45" i="5"/>
  <c r="E45" i="5"/>
  <c r="F45" i="5"/>
  <c r="G45" i="5"/>
  <c r="H45" i="5"/>
  <c r="I45" i="5"/>
  <c r="J45" i="5"/>
  <c r="L45" i="5"/>
  <c r="M45" i="5"/>
  <c r="AC45" i="5" s="1"/>
  <c r="N45" i="5"/>
  <c r="O45" i="5"/>
  <c r="P45" i="5"/>
  <c r="Q45" i="5"/>
  <c r="R45" i="5"/>
  <c r="S45" i="5"/>
  <c r="T45" i="5"/>
  <c r="U45" i="5"/>
  <c r="V45" i="5"/>
  <c r="W45" i="5"/>
  <c r="X45" i="5"/>
  <c r="Z45" i="5"/>
  <c r="AA45" i="5"/>
  <c r="AB45" i="5"/>
  <c r="B46" i="5"/>
  <c r="C46" i="5"/>
  <c r="D46" i="5"/>
  <c r="E46" i="5"/>
  <c r="F46" i="5"/>
  <c r="G46" i="5"/>
  <c r="H46" i="5"/>
  <c r="AB46" i="5" s="1"/>
  <c r="I46" i="5"/>
  <c r="J46" i="5"/>
  <c r="L46" i="5"/>
  <c r="M46" i="5"/>
  <c r="AC46" i="5" s="1"/>
  <c r="N46" i="5"/>
  <c r="O46" i="5"/>
  <c r="P46" i="5"/>
  <c r="Q46" i="5"/>
  <c r="R46" i="5"/>
  <c r="S46" i="5"/>
  <c r="T46" i="5"/>
  <c r="U46" i="5"/>
  <c r="V46" i="5"/>
  <c r="W46" i="5"/>
  <c r="X46" i="5"/>
  <c r="Z46" i="5"/>
  <c r="AA46" i="5"/>
  <c r="B47" i="5"/>
  <c r="C47" i="5"/>
  <c r="D47" i="5"/>
  <c r="E47" i="5"/>
  <c r="F47" i="5"/>
  <c r="G47" i="5"/>
  <c r="H47" i="5"/>
  <c r="I47" i="5"/>
  <c r="J47" i="5"/>
  <c r="L47" i="5"/>
  <c r="M47" i="5"/>
  <c r="AC47" i="5" s="1"/>
  <c r="N47" i="5"/>
  <c r="O47" i="5"/>
  <c r="P47" i="5"/>
  <c r="Q47" i="5"/>
  <c r="R47" i="5"/>
  <c r="S47" i="5"/>
  <c r="T47" i="5"/>
  <c r="U47" i="5"/>
  <c r="V47" i="5"/>
  <c r="W47" i="5"/>
  <c r="X47" i="5"/>
  <c r="Z47" i="5"/>
  <c r="AA47" i="5"/>
  <c r="AB47" i="5"/>
  <c r="B48" i="5"/>
  <c r="C48" i="5"/>
  <c r="D48" i="5"/>
  <c r="E48" i="5"/>
  <c r="F48" i="5"/>
  <c r="G48" i="5"/>
  <c r="H48" i="5"/>
  <c r="AB48" i="5" s="1"/>
  <c r="I48" i="5"/>
  <c r="J48" i="5"/>
  <c r="L48" i="5"/>
  <c r="M48" i="5"/>
  <c r="AC48" i="5" s="1"/>
  <c r="N48" i="5"/>
  <c r="O48" i="5"/>
  <c r="P48" i="5"/>
  <c r="Q48" i="5"/>
  <c r="R48" i="5"/>
  <c r="S48" i="5"/>
  <c r="T48" i="5"/>
  <c r="U48" i="5"/>
  <c r="V48" i="5"/>
  <c r="W48" i="5"/>
  <c r="X48" i="5"/>
  <c r="Z48" i="5"/>
  <c r="AA48" i="5"/>
  <c r="B49" i="5"/>
  <c r="C49" i="5"/>
  <c r="D49" i="5"/>
  <c r="E49" i="5"/>
  <c r="F49" i="5"/>
  <c r="AB49" i="5" s="1"/>
  <c r="G49" i="5"/>
  <c r="H49" i="5"/>
  <c r="I49" i="5"/>
  <c r="J49" i="5"/>
  <c r="L49" i="5"/>
  <c r="M49" i="5"/>
  <c r="AC49" i="5" s="1"/>
  <c r="N49" i="5"/>
  <c r="O49" i="5"/>
  <c r="P49" i="5"/>
  <c r="Q49" i="5"/>
  <c r="R49" i="5"/>
  <c r="S49" i="5"/>
  <c r="T49" i="5"/>
  <c r="U49" i="5"/>
  <c r="V49" i="5"/>
  <c r="W49" i="5"/>
  <c r="X49" i="5"/>
  <c r="B50" i="5"/>
  <c r="AB50" i="5" s="1"/>
  <c r="C50" i="5"/>
  <c r="D50" i="5"/>
  <c r="E50" i="5"/>
  <c r="F50" i="5"/>
  <c r="G50" i="5"/>
  <c r="H50" i="5"/>
  <c r="I50" i="5"/>
  <c r="J50" i="5"/>
  <c r="L50" i="5"/>
  <c r="M50" i="5"/>
  <c r="AC50" i="5" s="1"/>
  <c r="N50" i="5"/>
  <c r="O50" i="5"/>
  <c r="P50" i="5"/>
  <c r="Q50" i="5"/>
  <c r="R50" i="5"/>
  <c r="S50" i="5"/>
  <c r="T50" i="5"/>
  <c r="U50" i="5"/>
  <c r="V50" i="5"/>
  <c r="W50" i="5"/>
  <c r="X50" i="5"/>
  <c r="B51" i="5"/>
  <c r="AB51" i="5" s="1"/>
  <c r="C51" i="5"/>
  <c r="D51" i="5"/>
  <c r="E51" i="5"/>
  <c r="F51" i="5"/>
  <c r="G51" i="5"/>
  <c r="H51" i="5"/>
  <c r="I51" i="5"/>
  <c r="J51" i="5"/>
  <c r="L51" i="5"/>
  <c r="M51" i="5"/>
  <c r="AC51" i="5" s="1"/>
  <c r="N51" i="5"/>
  <c r="O51" i="5"/>
  <c r="P51" i="5"/>
  <c r="Q51" i="5"/>
  <c r="R51" i="5"/>
  <c r="S51" i="5"/>
  <c r="T51" i="5"/>
  <c r="U51" i="5"/>
  <c r="V51" i="5"/>
  <c r="W51" i="5"/>
  <c r="X51" i="5"/>
  <c r="B52" i="5"/>
  <c r="AB52" i="5" s="1"/>
  <c r="C52" i="5"/>
  <c r="D52" i="5"/>
  <c r="E52" i="5"/>
  <c r="F52" i="5"/>
  <c r="G52" i="5"/>
  <c r="H52" i="5"/>
  <c r="I52" i="5"/>
  <c r="J52" i="5"/>
  <c r="L52" i="5"/>
  <c r="M52" i="5"/>
  <c r="AC52" i="5" s="1"/>
  <c r="N52" i="5"/>
  <c r="O52" i="5"/>
  <c r="P52" i="5"/>
  <c r="Q52" i="5"/>
  <c r="R52" i="5"/>
  <c r="S52" i="5"/>
  <c r="T52" i="5"/>
  <c r="U52" i="5"/>
  <c r="V52" i="5"/>
  <c r="W52" i="5"/>
  <c r="X52" i="5"/>
  <c r="B53" i="5"/>
  <c r="AB53" i="5" s="1"/>
  <c r="C53" i="5"/>
  <c r="D53" i="5"/>
  <c r="E53" i="5"/>
  <c r="F53" i="5"/>
  <c r="G53" i="5"/>
  <c r="H53" i="5"/>
  <c r="I53" i="5"/>
  <c r="J53" i="5"/>
  <c r="L53" i="5"/>
  <c r="M53" i="5"/>
  <c r="AC53" i="5" s="1"/>
  <c r="N53" i="5"/>
  <c r="O53" i="5"/>
  <c r="P53" i="5"/>
  <c r="Q53" i="5"/>
  <c r="R53" i="5"/>
  <c r="S53" i="5"/>
  <c r="T53" i="5"/>
  <c r="U53" i="5"/>
  <c r="V53" i="5"/>
  <c r="W53" i="5"/>
  <c r="X53" i="5"/>
  <c r="B54" i="5"/>
  <c r="AB54" i="5" s="1"/>
  <c r="C54" i="5"/>
  <c r="D54" i="5"/>
  <c r="E54" i="5"/>
  <c r="F54" i="5"/>
  <c r="G54" i="5"/>
  <c r="H54" i="5"/>
  <c r="I54" i="5"/>
  <c r="J54" i="5"/>
  <c r="L54" i="5"/>
  <c r="M54" i="5"/>
  <c r="AC54" i="5" s="1"/>
  <c r="N54" i="5"/>
  <c r="O54" i="5"/>
  <c r="P54" i="5"/>
  <c r="Q54" i="5"/>
  <c r="R54" i="5"/>
  <c r="S54" i="5"/>
  <c r="T54" i="5"/>
  <c r="U54" i="5"/>
  <c r="V54" i="5"/>
  <c r="W54" i="5"/>
  <c r="X54" i="5"/>
  <c r="B55" i="5"/>
  <c r="AB55" i="5" s="1"/>
  <c r="C55" i="5"/>
  <c r="D55" i="5"/>
  <c r="E55" i="5"/>
  <c r="F55" i="5"/>
  <c r="G55" i="5"/>
  <c r="H55" i="5"/>
  <c r="I55" i="5"/>
  <c r="J55" i="5"/>
  <c r="L55" i="5"/>
  <c r="M55" i="5"/>
  <c r="AC55" i="5" s="1"/>
  <c r="N55" i="5"/>
  <c r="O55" i="5"/>
  <c r="P55" i="5"/>
  <c r="Q55" i="5"/>
  <c r="R55" i="5"/>
  <c r="S55" i="5"/>
  <c r="T55" i="5"/>
  <c r="U55" i="5"/>
  <c r="V55" i="5"/>
  <c r="W55" i="5"/>
  <c r="X55" i="5"/>
  <c r="B56" i="5"/>
  <c r="AB56" i="5" s="1"/>
  <c r="C56" i="5"/>
  <c r="D56" i="5"/>
  <c r="E56" i="5"/>
  <c r="F56" i="5"/>
  <c r="G56" i="5"/>
  <c r="H56" i="5"/>
  <c r="I56" i="5"/>
  <c r="J56" i="5"/>
  <c r="L56" i="5"/>
  <c r="M56" i="5"/>
  <c r="AC56" i="5" s="1"/>
  <c r="N56" i="5"/>
  <c r="O56" i="5"/>
  <c r="P56" i="5"/>
  <c r="Q56" i="5"/>
  <c r="R56" i="5"/>
  <c r="S56" i="5"/>
  <c r="T56" i="5"/>
  <c r="U56" i="5"/>
  <c r="V56" i="5"/>
  <c r="W56" i="5"/>
  <c r="X56" i="5"/>
  <c r="B57" i="5"/>
  <c r="AB57" i="5" s="1"/>
  <c r="C57" i="5"/>
  <c r="D57" i="5"/>
  <c r="E57" i="5"/>
  <c r="F57" i="5"/>
  <c r="G57" i="5"/>
  <c r="H57" i="5"/>
  <c r="I57" i="5"/>
  <c r="J57" i="5"/>
  <c r="L57" i="5"/>
  <c r="M57" i="5"/>
  <c r="AC57" i="5" s="1"/>
  <c r="N57" i="5"/>
  <c r="O57" i="5"/>
  <c r="P57" i="5"/>
  <c r="Q57" i="5"/>
  <c r="R57" i="5"/>
  <c r="S57" i="5"/>
  <c r="T57" i="5"/>
  <c r="U57" i="5"/>
  <c r="V57" i="5"/>
  <c r="W57" i="5"/>
  <c r="X57" i="5"/>
  <c r="B58" i="5"/>
  <c r="AB58" i="5" s="1"/>
  <c r="C58" i="5"/>
  <c r="D58" i="5"/>
  <c r="E58" i="5"/>
  <c r="F58" i="5"/>
  <c r="G58" i="5"/>
  <c r="H58" i="5"/>
  <c r="I58" i="5"/>
  <c r="J58" i="5"/>
  <c r="L58" i="5"/>
  <c r="M58" i="5"/>
  <c r="AC58" i="5" s="1"/>
  <c r="N58" i="5"/>
  <c r="O58" i="5"/>
  <c r="P58" i="5"/>
  <c r="Q58" i="5"/>
  <c r="R58" i="5"/>
  <c r="S58" i="5"/>
  <c r="T58" i="5"/>
  <c r="U58" i="5"/>
  <c r="V58" i="5"/>
  <c r="W58" i="5"/>
  <c r="X58" i="5"/>
  <c r="B59" i="5"/>
  <c r="C59" i="5"/>
  <c r="D59" i="5"/>
  <c r="E59" i="5"/>
  <c r="F59" i="5"/>
  <c r="G59" i="5"/>
  <c r="H59" i="5"/>
  <c r="I59" i="5"/>
  <c r="J59" i="5"/>
  <c r="L59" i="5"/>
  <c r="M59" i="5"/>
  <c r="N59" i="5"/>
  <c r="O59" i="5"/>
  <c r="AC59" i="5" s="1"/>
  <c r="P59" i="5"/>
  <c r="Q59" i="5"/>
  <c r="R59" i="5"/>
  <c r="S59" i="5"/>
  <c r="T59" i="5"/>
  <c r="U59" i="5"/>
  <c r="V59" i="5"/>
  <c r="W59" i="5"/>
  <c r="X59" i="5"/>
  <c r="B60" i="5"/>
  <c r="C60" i="5"/>
  <c r="D60" i="5"/>
  <c r="E60" i="5"/>
  <c r="F60" i="5"/>
  <c r="G60" i="5"/>
  <c r="H60" i="5"/>
  <c r="I60" i="5"/>
  <c r="J60" i="5"/>
  <c r="L60" i="5"/>
  <c r="M60" i="5"/>
  <c r="N60" i="5"/>
  <c r="O60" i="5"/>
  <c r="P60" i="5"/>
  <c r="AC60" i="5" s="1"/>
  <c r="Q60" i="5"/>
  <c r="R60" i="5"/>
  <c r="S60" i="5"/>
  <c r="T60" i="5"/>
  <c r="U60" i="5"/>
  <c r="V60" i="5"/>
  <c r="W60" i="5"/>
  <c r="X60" i="5"/>
  <c r="B61" i="5"/>
  <c r="C61" i="5"/>
  <c r="D61" i="5"/>
  <c r="E61" i="5"/>
  <c r="F61" i="5"/>
  <c r="G61" i="5"/>
  <c r="H61" i="5"/>
  <c r="I61" i="5"/>
  <c r="J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AC61" i="5"/>
  <c r="B62" i="5"/>
  <c r="C62" i="5"/>
  <c r="D62" i="5"/>
  <c r="E62" i="5"/>
  <c r="F62" i="5"/>
  <c r="G62" i="5"/>
  <c r="H62" i="5"/>
  <c r="I62" i="5"/>
  <c r="J62" i="5"/>
  <c r="L62" i="5"/>
  <c r="M62" i="5"/>
  <c r="N62" i="5"/>
  <c r="AC62" i="5" s="1"/>
  <c r="O62" i="5"/>
  <c r="P62" i="5"/>
  <c r="Q62" i="5"/>
  <c r="R62" i="5"/>
  <c r="S62" i="5"/>
  <c r="T62" i="5"/>
  <c r="U62" i="5"/>
  <c r="V62" i="5"/>
  <c r="W62" i="5"/>
  <c r="X62" i="5"/>
  <c r="B63" i="5"/>
  <c r="C63" i="5"/>
  <c r="D63" i="5"/>
  <c r="E63" i="5"/>
  <c r="F63" i="5"/>
  <c r="G63" i="5"/>
  <c r="H63" i="5"/>
  <c r="I63" i="5"/>
  <c r="J63" i="5"/>
  <c r="L63" i="5"/>
  <c r="M63" i="5"/>
  <c r="N63" i="5"/>
  <c r="O63" i="5"/>
  <c r="AC63" i="5" s="1"/>
  <c r="P63" i="5"/>
  <c r="Q63" i="5"/>
  <c r="R63" i="5"/>
  <c r="S63" i="5"/>
  <c r="T63" i="5"/>
  <c r="U63" i="5"/>
  <c r="V63" i="5"/>
  <c r="W63" i="5"/>
  <c r="X63" i="5"/>
  <c r="B64" i="5"/>
  <c r="C64" i="5"/>
  <c r="D64" i="5"/>
  <c r="E64" i="5"/>
  <c r="F64" i="5"/>
  <c r="G64" i="5"/>
  <c r="H64" i="5"/>
  <c r="I64" i="5"/>
  <c r="J64" i="5"/>
  <c r="L64" i="5"/>
  <c r="M64" i="5"/>
  <c r="N64" i="5"/>
  <c r="O64" i="5"/>
  <c r="P64" i="5"/>
  <c r="AC64" i="5" s="1"/>
  <c r="Q64" i="5"/>
  <c r="R64" i="5"/>
  <c r="S64" i="5"/>
  <c r="T64" i="5"/>
  <c r="U64" i="5"/>
  <c r="V64" i="5"/>
  <c r="W64" i="5"/>
  <c r="X64" i="5"/>
  <c r="B65" i="5"/>
  <c r="C65" i="5"/>
  <c r="D65" i="5"/>
  <c r="AB65" i="5" s="1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C66" i="5" s="1"/>
  <c r="Q66" i="5"/>
  <c r="R66" i="5"/>
  <c r="S66" i="5"/>
  <c r="T66" i="5"/>
  <c r="U66" i="5"/>
  <c r="V66" i="5"/>
  <c r="W66" i="5"/>
  <c r="X66" i="5"/>
  <c r="B67" i="5"/>
  <c r="C67" i="5"/>
  <c r="D67" i="5"/>
  <c r="AB67" i="5" s="1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C68" i="5" s="1"/>
  <c r="Q68" i="5"/>
  <c r="R68" i="5"/>
  <c r="S68" i="5"/>
  <c r="T68" i="5"/>
  <c r="U68" i="5"/>
  <c r="V68" i="5"/>
  <c r="W68" i="5"/>
  <c r="X68" i="5"/>
  <c r="B69" i="5"/>
  <c r="C69" i="5"/>
  <c r="D69" i="5"/>
  <c r="AB69" i="5" s="1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C70" i="5" s="1"/>
  <c r="Q70" i="5"/>
  <c r="R70" i="5"/>
  <c r="S70" i="5"/>
  <c r="T70" i="5"/>
  <c r="U70" i="5"/>
  <c r="V70" i="5"/>
  <c r="W70" i="5"/>
  <c r="X70" i="5"/>
  <c r="B71" i="5"/>
  <c r="C71" i="5"/>
  <c r="D71" i="5"/>
  <c r="AB71" i="5" s="1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C72" i="5" s="1"/>
  <c r="Q72" i="5"/>
  <c r="R72" i="5"/>
  <c r="S72" i="5"/>
  <c r="T72" i="5"/>
  <c r="U72" i="5"/>
  <c r="V72" i="5"/>
  <c r="W72" i="5"/>
  <c r="X72" i="5"/>
  <c r="B73" i="5"/>
  <c r="C73" i="5"/>
  <c r="D73" i="5"/>
  <c r="AB73" i="5" s="1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C74" i="5" s="1"/>
  <c r="Q74" i="5"/>
  <c r="R74" i="5"/>
  <c r="S74" i="5"/>
  <c r="T74" i="5"/>
  <c r="U74" i="5"/>
  <c r="V74" i="5"/>
  <c r="W74" i="5"/>
  <c r="X74" i="5"/>
  <c r="B75" i="5"/>
  <c r="C75" i="5"/>
  <c r="D75" i="5"/>
  <c r="AB75" i="5" s="1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C76" i="5" s="1"/>
  <c r="Q76" i="5"/>
  <c r="R76" i="5"/>
  <c r="S76" i="5"/>
  <c r="T76" i="5"/>
  <c r="U76" i="5"/>
  <c r="V76" i="5"/>
  <c r="W76" i="5"/>
  <c r="X76" i="5"/>
  <c r="B77" i="5"/>
  <c r="C77" i="5"/>
  <c r="D77" i="5"/>
  <c r="AB77" i="5" s="1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C78" i="5" s="1"/>
  <c r="Q78" i="5"/>
  <c r="R78" i="5"/>
  <c r="S78" i="5"/>
  <c r="T78" i="5"/>
  <c r="U78" i="5"/>
  <c r="V78" i="5"/>
  <c r="W78" i="5"/>
  <c r="X78" i="5"/>
  <c r="B79" i="5"/>
  <c r="C79" i="5"/>
  <c r="D79" i="5"/>
  <c r="AB79" i="5" s="1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C80" i="5" s="1"/>
  <c r="Q80" i="5"/>
  <c r="R80" i="5"/>
  <c r="S80" i="5"/>
  <c r="T80" i="5"/>
  <c r="U80" i="5"/>
  <c r="V80" i="5"/>
  <c r="W80" i="5"/>
  <c r="X80" i="5"/>
  <c r="B81" i="5"/>
  <c r="C81" i="5"/>
  <c r="D81" i="5"/>
  <c r="AB81" i="5" s="1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C82" i="5" s="1"/>
  <c r="Q82" i="5"/>
  <c r="R82" i="5"/>
  <c r="S82" i="5"/>
  <c r="T82" i="5"/>
  <c r="U82" i="5"/>
  <c r="V82" i="5"/>
  <c r="W82" i="5"/>
  <c r="X82" i="5"/>
  <c r="B83" i="5"/>
  <c r="C83" i="5"/>
  <c r="D83" i="5"/>
  <c r="AB83" i="5" s="1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C84" i="5" s="1"/>
  <c r="Q84" i="5"/>
  <c r="R84" i="5"/>
  <c r="S84" i="5"/>
  <c r="T84" i="5"/>
  <c r="U84" i="5"/>
  <c r="V84" i="5"/>
  <c r="W84" i="5"/>
  <c r="X84" i="5"/>
  <c r="B85" i="5"/>
  <c r="C85" i="5"/>
  <c r="D85" i="5"/>
  <c r="AB85" i="5" s="1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C86" i="5" s="1"/>
  <c r="Q86" i="5"/>
  <c r="R86" i="5"/>
  <c r="S86" i="5"/>
  <c r="T86" i="5"/>
  <c r="U86" i="5"/>
  <c r="V86" i="5"/>
  <c r="W86" i="5"/>
  <c r="X86" i="5"/>
  <c r="B87" i="5"/>
  <c r="C87" i="5"/>
  <c r="D87" i="5"/>
  <c r="AB87" i="5" s="1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C88" i="5" s="1"/>
  <c r="Q88" i="5"/>
  <c r="R88" i="5"/>
  <c r="S88" i="5"/>
  <c r="T88" i="5"/>
  <c r="U88" i="5"/>
  <c r="V88" i="5"/>
  <c r="W88" i="5"/>
  <c r="X88" i="5"/>
  <c r="B89" i="5"/>
  <c r="C89" i="5"/>
  <c r="D89" i="5"/>
  <c r="AB89" i="5" s="1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AC90" i="5" s="1"/>
  <c r="O90" i="5"/>
  <c r="P90" i="5"/>
  <c r="Q90" i="5"/>
  <c r="R90" i="5"/>
  <c r="S90" i="5"/>
  <c r="T90" i="5"/>
  <c r="U90" i="5"/>
  <c r="V90" i="5"/>
  <c r="W90" i="5"/>
  <c r="X90" i="5"/>
  <c r="B91" i="5"/>
  <c r="C91" i="5"/>
  <c r="D91" i="5"/>
  <c r="AB91" i="5" s="1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AC92" i="5" s="1"/>
  <c r="O92" i="5"/>
  <c r="P92" i="5"/>
  <c r="Q92" i="5"/>
  <c r="R92" i="5"/>
  <c r="S92" i="5"/>
  <c r="T92" i="5"/>
  <c r="U92" i="5"/>
  <c r="V92" i="5"/>
  <c r="W92" i="5"/>
  <c r="X92" i="5"/>
  <c r="B93" i="5"/>
  <c r="C93" i="5"/>
  <c r="D93" i="5"/>
  <c r="AB93" i="5" s="1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AC94" i="5" s="1"/>
  <c r="O94" i="5"/>
  <c r="P94" i="5"/>
  <c r="Q94" i="5"/>
  <c r="R94" i="5"/>
  <c r="S94" i="5"/>
  <c r="T94" i="5"/>
  <c r="U94" i="5"/>
  <c r="V94" i="5"/>
  <c r="W94" i="5"/>
  <c r="X94" i="5"/>
  <c r="B95" i="5"/>
  <c r="C95" i="5"/>
  <c r="D95" i="5"/>
  <c r="AB95" i="5" s="1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AC96" i="5" s="1"/>
  <c r="O96" i="5"/>
  <c r="P96" i="5"/>
  <c r="Q96" i="5"/>
  <c r="R96" i="5"/>
  <c r="S96" i="5"/>
  <c r="T96" i="5"/>
  <c r="U96" i="5"/>
  <c r="V96" i="5"/>
  <c r="W96" i="5"/>
  <c r="X96" i="5"/>
  <c r="B97" i="5"/>
  <c r="C97" i="5"/>
  <c r="D97" i="5"/>
  <c r="AB97" i="5" s="1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AC98" i="5" s="1"/>
  <c r="O98" i="5"/>
  <c r="P98" i="5"/>
  <c r="Q98" i="5"/>
  <c r="R98" i="5"/>
  <c r="S98" i="5"/>
  <c r="T98" i="5"/>
  <c r="U98" i="5"/>
  <c r="V98" i="5"/>
  <c r="W98" i="5"/>
  <c r="X98" i="5"/>
  <c r="B99" i="5"/>
  <c r="C99" i="5"/>
  <c r="D99" i="5"/>
  <c r="AB99" i="5" s="1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AC100" i="5" s="1"/>
  <c r="O100" i="5"/>
  <c r="P100" i="5"/>
  <c r="Q100" i="5"/>
  <c r="R100" i="5"/>
  <c r="S100" i="5"/>
  <c r="T100" i="5"/>
  <c r="U100" i="5"/>
  <c r="V100" i="5"/>
  <c r="W100" i="5"/>
  <c r="X100" i="5"/>
  <c r="B101" i="5"/>
  <c r="C101" i="5"/>
  <c r="D101" i="5"/>
  <c r="AB101" i="5" s="1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AC102" i="5" s="1"/>
  <c r="O102" i="5"/>
  <c r="P102" i="5"/>
  <c r="Q102" i="5"/>
  <c r="R102" i="5"/>
  <c r="S102" i="5"/>
  <c r="T102" i="5"/>
  <c r="U102" i="5"/>
  <c r="V102" i="5"/>
  <c r="W102" i="5"/>
  <c r="X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AC104" i="5" s="1"/>
  <c r="O104" i="5"/>
  <c r="P104" i="5"/>
  <c r="Q104" i="5"/>
  <c r="R104" i="5"/>
  <c r="S104" i="5"/>
  <c r="T104" i="5"/>
  <c r="U104" i="5"/>
  <c r="V104" i="5"/>
  <c r="W104" i="5"/>
  <c r="X104" i="5"/>
  <c r="B105" i="5"/>
  <c r="AB105" i="5" s="1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AB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AC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AC109" i="5" s="1"/>
  <c r="N109" i="5"/>
  <c r="O109" i="5"/>
  <c r="P109" i="5"/>
  <c r="Q109" i="5"/>
  <c r="R109" i="5"/>
  <c r="S109" i="5"/>
  <c r="T109" i="5"/>
  <c r="U109" i="5"/>
  <c r="V109" i="5"/>
  <c r="W109" i="5"/>
  <c r="X109" i="5"/>
  <c r="AB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AC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AC111" i="5" s="1"/>
  <c r="N111" i="5"/>
  <c r="O111" i="5"/>
  <c r="P111" i="5"/>
  <c r="Q111" i="5"/>
  <c r="R111" i="5"/>
  <c r="S111" i="5"/>
  <c r="T111" i="5"/>
  <c r="U111" i="5"/>
  <c r="V111" i="5"/>
  <c r="W111" i="5"/>
  <c r="X111" i="5"/>
  <c r="AB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AC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AC113" i="5" s="1"/>
  <c r="N113" i="5"/>
  <c r="O113" i="5"/>
  <c r="P113" i="5"/>
  <c r="Q113" i="5"/>
  <c r="R113" i="5"/>
  <c r="S113" i="5"/>
  <c r="T113" i="5"/>
  <c r="U113" i="5"/>
  <c r="V113" i="5"/>
  <c r="W113" i="5"/>
  <c r="X113" i="5"/>
  <c r="AB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AC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AC115" i="5" s="1"/>
  <c r="N115" i="5"/>
  <c r="O115" i="5"/>
  <c r="P115" i="5"/>
  <c r="Q115" i="5"/>
  <c r="R115" i="5"/>
  <c r="S115" i="5"/>
  <c r="T115" i="5"/>
  <c r="U115" i="5"/>
  <c r="V115" i="5"/>
  <c r="W115" i="5"/>
  <c r="X115" i="5"/>
  <c r="AB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AC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AC117" i="5" s="1"/>
  <c r="N117" i="5"/>
  <c r="O117" i="5"/>
  <c r="P117" i="5"/>
  <c r="Q117" i="5"/>
  <c r="R117" i="5"/>
  <c r="S117" i="5"/>
  <c r="T117" i="5"/>
  <c r="U117" i="5"/>
  <c r="V117" i="5"/>
  <c r="W117" i="5"/>
  <c r="X117" i="5"/>
  <c r="AB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AC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AC119" i="5" s="1"/>
  <c r="N119" i="5"/>
  <c r="O119" i="5"/>
  <c r="P119" i="5"/>
  <c r="Q119" i="5"/>
  <c r="R119" i="5"/>
  <c r="S119" i="5"/>
  <c r="T119" i="5"/>
  <c r="U119" i="5"/>
  <c r="V119" i="5"/>
  <c r="W119" i="5"/>
  <c r="X119" i="5"/>
  <c r="AB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AC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AC121" i="5" s="1"/>
  <c r="N121" i="5"/>
  <c r="O121" i="5"/>
  <c r="P121" i="5"/>
  <c r="Q121" i="5"/>
  <c r="R121" i="5"/>
  <c r="S121" i="5"/>
  <c r="T121" i="5"/>
  <c r="U121" i="5"/>
  <c r="V121" i="5"/>
  <c r="W121" i="5"/>
  <c r="X121" i="5"/>
  <c r="AB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AC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AC123" i="5" s="1"/>
  <c r="N123" i="5"/>
  <c r="O123" i="5"/>
  <c r="P123" i="5"/>
  <c r="Q123" i="5"/>
  <c r="R123" i="5"/>
  <c r="S123" i="5"/>
  <c r="T123" i="5"/>
  <c r="U123" i="5"/>
  <c r="V123" i="5"/>
  <c r="W123" i="5"/>
  <c r="X123" i="5"/>
  <c r="AB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AC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AC125" i="5" s="1"/>
  <c r="N125" i="5"/>
  <c r="O125" i="5"/>
  <c r="P125" i="5"/>
  <c r="Q125" i="5"/>
  <c r="R125" i="5"/>
  <c r="S125" i="5"/>
  <c r="T125" i="5"/>
  <c r="U125" i="5"/>
  <c r="V125" i="5"/>
  <c r="W125" i="5"/>
  <c r="X125" i="5"/>
  <c r="AB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AC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AC127" i="5" s="1"/>
  <c r="N127" i="5"/>
  <c r="O127" i="5"/>
  <c r="P127" i="5"/>
  <c r="Q127" i="5"/>
  <c r="R127" i="5"/>
  <c r="S127" i="5"/>
  <c r="T127" i="5"/>
  <c r="U127" i="5"/>
  <c r="V127" i="5"/>
  <c r="W127" i="5"/>
  <c r="X127" i="5"/>
  <c r="AB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AC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AC129" i="5" s="1"/>
  <c r="N129" i="5"/>
  <c r="O129" i="5"/>
  <c r="P129" i="5"/>
  <c r="Q129" i="5"/>
  <c r="R129" i="5"/>
  <c r="S129" i="5"/>
  <c r="T129" i="5"/>
  <c r="U129" i="5"/>
  <c r="V129" i="5"/>
  <c r="W129" i="5"/>
  <c r="X129" i="5"/>
  <c r="AB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AC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AC131" i="5" s="1"/>
  <c r="N131" i="5"/>
  <c r="O131" i="5"/>
  <c r="P131" i="5"/>
  <c r="Q131" i="5"/>
  <c r="R131" i="5"/>
  <c r="S131" i="5"/>
  <c r="T131" i="5"/>
  <c r="U131" i="5"/>
  <c r="V131" i="5"/>
  <c r="W131" i="5"/>
  <c r="X131" i="5"/>
  <c r="AB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AC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AC133" i="5" s="1"/>
  <c r="N133" i="5"/>
  <c r="O133" i="5"/>
  <c r="P133" i="5"/>
  <c r="Q133" i="5"/>
  <c r="R133" i="5"/>
  <c r="S133" i="5"/>
  <c r="T133" i="5"/>
  <c r="U133" i="5"/>
  <c r="V133" i="5"/>
  <c r="W133" i="5"/>
  <c r="X133" i="5"/>
  <c r="AB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AC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AC135" i="5" s="1"/>
  <c r="N135" i="5"/>
  <c r="O135" i="5"/>
  <c r="P135" i="5"/>
  <c r="Q135" i="5"/>
  <c r="R135" i="5"/>
  <c r="S135" i="5"/>
  <c r="T135" i="5"/>
  <c r="U135" i="5"/>
  <c r="V135" i="5"/>
  <c r="W135" i="5"/>
  <c r="X135" i="5"/>
  <c r="AB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AC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AC137" i="5" s="1"/>
  <c r="N137" i="5"/>
  <c r="O137" i="5"/>
  <c r="P137" i="5"/>
  <c r="Q137" i="5"/>
  <c r="R137" i="5"/>
  <c r="S137" i="5"/>
  <c r="T137" i="5"/>
  <c r="U137" i="5"/>
  <c r="V137" i="5"/>
  <c r="W137" i="5"/>
  <c r="X137" i="5"/>
  <c r="AB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AC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AC139" i="5" s="1"/>
  <c r="N139" i="5"/>
  <c r="O139" i="5"/>
  <c r="P139" i="5"/>
  <c r="Q139" i="5"/>
  <c r="R139" i="5"/>
  <c r="S139" i="5"/>
  <c r="T139" i="5"/>
  <c r="U139" i="5"/>
  <c r="V139" i="5"/>
  <c r="W139" i="5"/>
  <c r="X139" i="5"/>
  <c r="AB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AC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AC141" i="5" s="1"/>
  <c r="N141" i="5"/>
  <c r="O141" i="5"/>
  <c r="P141" i="5"/>
  <c r="Q141" i="5"/>
  <c r="R141" i="5"/>
  <c r="S141" i="5"/>
  <c r="T141" i="5"/>
  <c r="U141" i="5"/>
  <c r="V141" i="5"/>
  <c r="W141" i="5"/>
  <c r="X141" i="5"/>
  <c r="AB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AC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AC143" i="5" s="1"/>
  <c r="N143" i="5"/>
  <c r="O143" i="5"/>
  <c r="P143" i="5"/>
  <c r="Q143" i="5"/>
  <c r="R143" i="5"/>
  <c r="S143" i="5"/>
  <c r="T143" i="5"/>
  <c r="U143" i="5"/>
  <c r="V143" i="5"/>
  <c r="W143" i="5"/>
  <c r="X143" i="5"/>
  <c r="AB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AC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AC145" i="5" s="1"/>
  <c r="N145" i="5"/>
  <c r="O145" i="5"/>
  <c r="P145" i="5"/>
  <c r="Q145" i="5"/>
  <c r="R145" i="5"/>
  <c r="S145" i="5"/>
  <c r="T145" i="5"/>
  <c r="U145" i="5"/>
  <c r="V145" i="5"/>
  <c r="W145" i="5"/>
  <c r="X145" i="5"/>
  <c r="AB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AC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AC147" i="5" s="1"/>
  <c r="N147" i="5"/>
  <c r="O147" i="5"/>
  <c r="P147" i="5"/>
  <c r="Q147" i="5"/>
  <c r="R147" i="5"/>
  <c r="S147" i="5"/>
  <c r="T147" i="5"/>
  <c r="U147" i="5"/>
  <c r="V147" i="5"/>
  <c r="W147" i="5"/>
  <c r="X147" i="5"/>
  <c r="AB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AC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AC149" i="5" s="1"/>
  <c r="N149" i="5"/>
  <c r="O149" i="5"/>
  <c r="P149" i="5"/>
  <c r="Q149" i="5"/>
  <c r="R149" i="5"/>
  <c r="S149" i="5"/>
  <c r="T149" i="5"/>
  <c r="U149" i="5"/>
  <c r="V149" i="5"/>
  <c r="W149" i="5"/>
  <c r="X149" i="5"/>
  <c r="AB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AC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AC151" i="5" s="1"/>
  <c r="N151" i="5"/>
  <c r="O151" i="5"/>
  <c r="P151" i="5"/>
  <c r="Q151" i="5"/>
  <c r="R151" i="5"/>
  <c r="S151" i="5"/>
  <c r="T151" i="5"/>
  <c r="U151" i="5"/>
  <c r="V151" i="5"/>
  <c r="W151" i="5"/>
  <c r="X151" i="5"/>
  <c r="AB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AC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AC153" i="5" s="1"/>
  <c r="N153" i="5"/>
  <c r="O153" i="5"/>
  <c r="P153" i="5"/>
  <c r="Q153" i="5"/>
  <c r="R153" i="5"/>
  <c r="S153" i="5"/>
  <c r="T153" i="5"/>
  <c r="U153" i="5"/>
  <c r="V153" i="5"/>
  <c r="W153" i="5"/>
  <c r="X153" i="5"/>
  <c r="AB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AC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AC155" i="5" s="1"/>
  <c r="N155" i="5"/>
  <c r="O155" i="5"/>
  <c r="P155" i="5"/>
  <c r="Q155" i="5"/>
  <c r="R155" i="5"/>
  <c r="S155" i="5"/>
  <c r="T155" i="5"/>
  <c r="U155" i="5"/>
  <c r="V155" i="5"/>
  <c r="W155" i="5"/>
  <c r="X155" i="5"/>
  <c r="AB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AC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AC157" i="5" s="1"/>
  <c r="N157" i="5"/>
  <c r="O157" i="5"/>
  <c r="P157" i="5"/>
  <c r="Q157" i="5"/>
  <c r="R157" i="5"/>
  <c r="S157" i="5"/>
  <c r="T157" i="5"/>
  <c r="U157" i="5"/>
  <c r="V157" i="5"/>
  <c r="W157" i="5"/>
  <c r="X157" i="5"/>
  <c r="AB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AC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AC159" i="5" s="1"/>
  <c r="N159" i="5"/>
  <c r="O159" i="5"/>
  <c r="P159" i="5"/>
  <c r="Q159" i="5"/>
  <c r="R159" i="5"/>
  <c r="S159" i="5"/>
  <c r="T159" i="5"/>
  <c r="U159" i="5"/>
  <c r="V159" i="5"/>
  <c r="W159" i="5"/>
  <c r="X159" i="5"/>
  <c r="AB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AC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AC161" i="5" s="1"/>
  <c r="N161" i="5"/>
  <c r="O161" i="5"/>
  <c r="P161" i="5"/>
  <c r="Q161" i="5"/>
  <c r="R161" i="5"/>
  <c r="S161" i="5"/>
  <c r="T161" i="5"/>
  <c r="U161" i="5"/>
  <c r="V161" i="5"/>
  <c r="W161" i="5"/>
  <c r="X161" i="5"/>
  <c r="AB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AC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AC163" i="5" s="1"/>
  <c r="N163" i="5"/>
  <c r="O163" i="5"/>
  <c r="P163" i="5"/>
  <c r="Q163" i="5"/>
  <c r="R163" i="5"/>
  <c r="S163" i="5"/>
  <c r="T163" i="5"/>
  <c r="U163" i="5"/>
  <c r="V163" i="5"/>
  <c r="W163" i="5"/>
  <c r="X163" i="5"/>
  <c r="AB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AC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AC165" i="5" s="1"/>
  <c r="N165" i="5"/>
  <c r="O165" i="5"/>
  <c r="P165" i="5"/>
  <c r="Q165" i="5"/>
  <c r="R165" i="5"/>
  <c r="S165" i="5"/>
  <c r="T165" i="5"/>
  <c r="U165" i="5"/>
  <c r="V165" i="5"/>
  <c r="W165" i="5"/>
  <c r="X165" i="5"/>
  <c r="AB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AC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AC167" i="5" s="1"/>
  <c r="N167" i="5"/>
  <c r="O167" i="5"/>
  <c r="P167" i="5"/>
  <c r="Q167" i="5"/>
  <c r="R167" i="5"/>
  <c r="S167" i="5"/>
  <c r="T167" i="5"/>
  <c r="U167" i="5"/>
  <c r="V167" i="5"/>
  <c r="W167" i="5"/>
  <c r="X167" i="5"/>
  <c r="AB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AC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AC169" i="5" s="1"/>
  <c r="N169" i="5"/>
  <c r="O169" i="5"/>
  <c r="P169" i="5"/>
  <c r="Q169" i="5"/>
  <c r="R169" i="5"/>
  <c r="S169" i="5"/>
  <c r="T169" i="5"/>
  <c r="U169" i="5"/>
  <c r="V169" i="5"/>
  <c r="W169" i="5"/>
  <c r="X169" i="5"/>
  <c r="AB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AC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AC171" i="5" s="1"/>
  <c r="N171" i="5"/>
  <c r="O171" i="5"/>
  <c r="P171" i="5"/>
  <c r="Q171" i="5"/>
  <c r="R171" i="5"/>
  <c r="S171" i="5"/>
  <c r="T171" i="5"/>
  <c r="U171" i="5"/>
  <c r="V171" i="5"/>
  <c r="W171" i="5"/>
  <c r="X171" i="5"/>
  <c r="AB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AC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AC173" i="5" s="1"/>
  <c r="N173" i="5"/>
  <c r="O173" i="5"/>
  <c r="P173" i="5"/>
  <c r="Q173" i="5"/>
  <c r="R173" i="5"/>
  <c r="S173" i="5"/>
  <c r="T173" i="5"/>
  <c r="U173" i="5"/>
  <c r="V173" i="5"/>
  <c r="W173" i="5"/>
  <c r="X173" i="5"/>
  <c r="AB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AC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AC175" i="5" s="1"/>
  <c r="N175" i="5"/>
  <c r="O175" i="5"/>
  <c r="P175" i="5"/>
  <c r="Q175" i="5"/>
  <c r="R175" i="5"/>
  <c r="S175" i="5"/>
  <c r="T175" i="5"/>
  <c r="U175" i="5"/>
  <c r="V175" i="5"/>
  <c r="W175" i="5"/>
  <c r="X175" i="5"/>
  <c r="AB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AC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AC177" i="5" s="1"/>
  <c r="N177" i="5"/>
  <c r="O177" i="5"/>
  <c r="P177" i="5"/>
  <c r="Q177" i="5"/>
  <c r="R177" i="5"/>
  <c r="S177" i="5"/>
  <c r="T177" i="5"/>
  <c r="U177" i="5"/>
  <c r="V177" i="5"/>
  <c r="W177" i="5"/>
  <c r="X177" i="5"/>
  <c r="AB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AC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AC179" i="5" s="1"/>
  <c r="N179" i="5"/>
  <c r="O179" i="5"/>
  <c r="P179" i="5"/>
  <c r="Q179" i="5"/>
  <c r="R179" i="5"/>
  <c r="S179" i="5"/>
  <c r="T179" i="5"/>
  <c r="U179" i="5"/>
  <c r="V179" i="5"/>
  <c r="W179" i="5"/>
  <c r="X179" i="5"/>
  <c r="AB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AC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AC181" i="5" s="1"/>
  <c r="N181" i="5"/>
  <c r="O181" i="5"/>
  <c r="P181" i="5"/>
  <c r="Q181" i="5"/>
  <c r="R181" i="5"/>
  <c r="S181" i="5"/>
  <c r="T181" i="5"/>
  <c r="U181" i="5"/>
  <c r="V181" i="5"/>
  <c r="W181" i="5"/>
  <c r="X181" i="5"/>
  <c r="AB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AC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AC183" i="5" s="1"/>
  <c r="N183" i="5"/>
  <c r="O183" i="5"/>
  <c r="P183" i="5"/>
  <c r="Q183" i="5"/>
  <c r="R183" i="5"/>
  <c r="S183" i="5"/>
  <c r="T183" i="5"/>
  <c r="U183" i="5"/>
  <c r="V183" i="5"/>
  <c r="W183" i="5"/>
  <c r="X183" i="5"/>
  <c r="AB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AC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AC185" i="5" s="1"/>
  <c r="N185" i="5"/>
  <c r="O185" i="5"/>
  <c r="P185" i="5"/>
  <c r="Q185" i="5"/>
  <c r="R185" i="5"/>
  <c r="S185" i="5"/>
  <c r="T185" i="5"/>
  <c r="U185" i="5"/>
  <c r="V185" i="5"/>
  <c r="W185" i="5"/>
  <c r="X185" i="5"/>
  <c r="AB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AC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AC187" i="5" s="1"/>
  <c r="N187" i="5"/>
  <c r="O187" i="5"/>
  <c r="P187" i="5"/>
  <c r="Q187" i="5"/>
  <c r="R187" i="5"/>
  <c r="S187" i="5"/>
  <c r="T187" i="5"/>
  <c r="U187" i="5"/>
  <c r="V187" i="5"/>
  <c r="W187" i="5"/>
  <c r="X187" i="5"/>
  <c r="AB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AC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AC189" i="5" s="1"/>
  <c r="N189" i="5"/>
  <c r="O189" i="5"/>
  <c r="P189" i="5"/>
  <c r="Q189" i="5"/>
  <c r="R189" i="5"/>
  <c r="S189" i="5"/>
  <c r="T189" i="5"/>
  <c r="U189" i="5"/>
  <c r="V189" i="5"/>
  <c r="W189" i="5"/>
  <c r="X189" i="5"/>
  <c r="AB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AC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AC191" i="5" s="1"/>
  <c r="N191" i="5"/>
  <c r="O191" i="5"/>
  <c r="P191" i="5"/>
  <c r="Q191" i="5"/>
  <c r="R191" i="5"/>
  <c r="S191" i="5"/>
  <c r="T191" i="5"/>
  <c r="U191" i="5"/>
  <c r="V191" i="5"/>
  <c r="W191" i="5"/>
  <c r="X191" i="5"/>
  <c r="AB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AC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AC193" i="5" s="1"/>
  <c r="N193" i="5"/>
  <c r="O193" i="5"/>
  <c r="P193" i="5"/>
  <c r="Q193" i="5"/>
  <c r="R193" i="5"/>
  <c r="S193" i="5"/>
  <c r="T193" i="5"/>
  <c r="U193" i="5"/>
  <c r="V193" i="5"/>
  <c r="W193" i="5"/>
  <c r="X193" i="5"/>
  <c r="AB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AC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AC195" i="5" s="1"/>
  <c r="N195" i="5"/>
  <c r="O195" i="5"/>
  <c r="P195" i="5"/>
  <c r="Q195" i="5"/>
  <c r="R195" i="5"/>
  <c r="S195" i="5"/>
  <c r="T195" i="5"/>
  <c r="U195" i="5"/>
  <c r="V195" i="5"/>
  <c r="W195" i="5"/>
  <c r="X195" i="5"/>
  <c r="AB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AC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AC197" i="5" s="1"/>
  <c r="N197" i="5"/>
  <c r="O197" i="5"/>
  <c r="P197" i="5"/>
  <c r="Q197" i="5"/>
  <c r="R197" i="5"/>
  <c r="S197" i="5"/>
  <c r="T197" i="5"/>
  <c r="U197" i="5"/>
  <c r="V197" i="5"/>
  <c r="W197" i="5"/>
  <c r="X197" i="5"/>
  <c r="AB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AC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AC199" i="5" s="1"/>
  <c r="N199" i="5"/>
  <c r="O199" i="5"/>
  <c r="P199" i="5"/>
  <c r="Q199" i="5"/>
  <c r="R199" i="5"/>
  <c r="S199" i="5"/>
  <c r="T199" i="5"/>
  <c r="U199" i="5"/>
  <c r="V199" i="5"/>
  <c r="W199" i="5"/>
  <c r="X199" i="5"/>
  <c r="AB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AC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AC201" i="5" s="1"/>
  <c r="N201" i="5"/>
  <c r="O201" i="5"/>
  <c r="P201" i="5"/>
  <c r="Q201" i="5"/>
  <c r="R201" i="5"/>
  <c r="S201" i="5"/>
  <c r="T201" i="5"/>
  <c r="U201" i="5"/>
  <c r="V201" i="5"/>
  <c r="W201" i="5"/>
  <c r="X201" i="5"/>
  <c r="AB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AC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AC203" i="5" s="1"/>
  <c r="N203" i="5"/>
  <c r="O203" i="5"/>
  <c r="P203" i="5"/>
  <c r="Q203" i="5"/>
  <c r="R203" i="5"/>
  <c r="S203" i="5"/>
  <c r="T203" i="5"/>
  <c r="U203" i="5"/>
  <c r="V203" i="5"/>
  <c r="W203" i="5"/>
  <c r="X203" i="5"/>
  <c r="AB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AC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AC205" i="5" s="1"/>
  <c r="N205" i="5"/>
  <c r="O205" i="5"/>
  <c r="P205" i="5"/>
  <c r="Q205" i="5"/>
  <c r="R205" i="5"/>
  <c r="S205" i="5"/>
  <c r="T205" i="5"/>
  <c r="U205" i="5"/>
  <c r="V205" i="5"/>
  <c r="W205" i="5"/>
  <c r="X205" i="5"/>
  <c r="AB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AC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AC207" i="5" s="1"/>
  <c r="N207" i="5"/>
  <c r="O207" i="5"/>
  <c r="P207" i="5"/>
  <c r="Q207" i="5"/>
  <c r="R207" i="5"/>
  <c r="S207" i="5"/>
  <c r="T207" i="5"/>
  <c r="U207" i="5"/>
  <c r="V207" i="5"/>
  <c r="W207" i="5"/>
  <c r="X207" i="5"/>
  <c r="AB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AC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AC209" i="5" s="1"/>
  <c r="N209" i="5"/>
  <c r="O209" i="5"/>
  <c r="P209" i="5"/>
  <c r="Q209" i="5"/>
  <c r="R209" i="5"/>
  <c r="S209" i="5"/>
  <c r="T209" i="5"/>
  <c r="U209" i="5"/>
  <c r="V209" i="5"/>
  <c r="W209" i="5"/>
  <c r="X209" i="5"/>
  <c r="AB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AC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AC211" i="5" s="1"/>
  <c r="N211" i="5"/>
  <c r="O211" i="5"/>
  <c r="P211" i="5"/>
  <c r="Q211" i="5"/>
  <c r="R211" i="5"/>
  <c r="S211" i="5"/>
  <c r="T211" i="5"/>
  <c r="U211" i="5"/>
  <c r="V211" i="5"/>
  <c r="W211" i="5"/>
  <c r="X211" i="5"/>
  <c r="AB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AC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AC213" i="5" s="1"/>
  <c r="N213" i="5"/>
  <c r="O213" i="5"/>
  <c r="P213" i="5"/>
  <c r="Q213" i="5"/>
  <c r="R213" i="5"/>
  <c r="S213" i="5"/>
  <c r="T213" i="5"/>
  <c r="U213" i="5"/>
  <c r="V213" i="5"/>
  <c r="W213" i="5"/>
  <c r="X213" i="5"/>
  <c r="AB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AC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AC215" i="5" s="1"/>
  <c r="N215" i="5"/>
  <c r="O215" i="5"/>
  <c r="P215" i="5"/>
  <c r="Q215" i="5"/>
  <c r="R215" i="5"/>
  <c r="S215" i="5"/>
  <c r="T215" i="5"/>
  <c r="U215" i="5"/>
  <c r="V215" i="5"/>
  <c r="W215" i="5"/>
  <c r="X215" i="5"/>
  <c r="AB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AC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AC217" i="5" s="1"/>
  <c r="N217" i="5"/>
  <c r="O217" i="5"/>
  <c r="P217" i="5"/>
  <c r="Q217" i="5"/>
  <c r="R217" i="5"/>
  <c r="S217" i="5"/>
  <c r="T217" i="5"/>
  <c r="U217" i="5"/>
  <c r="V217" i="5"/>
  <c r="W217" i="5"/>
  <c r="X217" i="5"/>
  <c r="AB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AC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AC219" i="5" s="1"/>
  <c r="N219" i="5"/>
  <c r="O219" i="5"/>
  <c r="P219" i="5"/>
  <c r="Q219" i="5"/>
  <c r="R219" i="5"/>
  <c r="S219" i="5"/>
  <c r="T219" i="5"/>
  <c r="U219" i="5"/>
  <c r="V219" i="5"/>
  <c r="W219" i="5"/>
  <c r="X219" i="5"/>
  <c r="AB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AC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AC221" i="5" s="1"/>
  <c r="N221" i="5"/>
  <c r="O221" i="5"/>
  <c r="P221" i="5"/>
  <c r="Q221" i="5"/>
  <c r="R221" i="5"/>
  <c r="S221" i="5"/>
  <c r="T221" i="5"/>
  <c r="U221" i="5"/>
  <c r="V221" i="5"/>
  <c r="W221" i="5"/>
  <c r="X221" i="5"/>
  <c r="AB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AC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AC223" i="5" s="1"/>
  <c r="N223" i="5"/>
  <c r="O223" i="5"/>
  <c r="P223" i="5"/>
  <c r="Q223" i="5"/>
  <c r="R223" i="5"/>
  <c r="S223" i="5"/>
  <c r="T223" i="5"/>
  <c r="U223" i="5"/>
  <c r="V223" i="5"/>
  <c r="W223" i="5"/>
  <c r="X223" i="5"/>
  <c r="AB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AC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AC225" i="5" s="1"/>
  <c r="N225" i="5"/>
  <c r="O225" i="5"/>
  <c r="P225" i="5"/>
  <c r="Q225" i="5"/>
  <c r="R225" i="5"/>
  <c r="S225" i="5"/>
  <c r="T225" i="5"/>
  <c r="U225" i="5"/>
  <c r="V225" i="5"/>
  <c r="W225" i="5"/>
  <c r="X225" i="5"/>
  <c r="AB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AC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AC227" i="5" s="1"/>
  <c r="N227" i="5"/>
  <c r="O227" i="5"/>
  <c r="P227" i="5"/>
  <c r="Q227" i="5"/>
  <c r="R227" i="5"/>
  <c r="S227" i="5"/>
  <c r="T227" i="5"/>
  <c r="U227" i="5"/>
  <c r="V227" i="5"/>
  <c r="W227" i="5"/>
  <c r="X227" i="5"/>
  <c r="AB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AC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AC229" i="5" s="1"/>
  <c r="N229" i="5"/>
  <c r="O229" i="5"/>
  <c r="P229" i="5"/>
  <c r="Q229" i="5"/>
  <c r="R229" i="5"/>
  <c r="S229" i="5"/>
  <c r="T229" i="5"/>
  <c r="U229" i="5"/>
  <c r="V229" i="5"/>
  <c r="W229" i="5"/>
  <c r="X229" i="5"/>
  <c r="AB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AC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AC231" i="5" s="1"/>
  <c r="N231" i="5"/>
  <c r="O231" i="5"/>
  <c r="P231" i="5"/>
  <c r="Q231" i="5"/>
  <c r="R231" i="5"/>
  <c r="S231" i="5"/>
  <c r="T231" i="5"/>
  <c r="U231" i="5"/>
  <c r="V231" i="5"/>
  <c r="W231" i="5"/>
  <c r="X231" i="5"/>
  <c r="AB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AC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AC233" i="5" s="1"/>
  <c r="N233" i="5"/>
  <c r="O233" i="5"/>
  <c r="P233" i="5"/>
  <c r="Q233" i="5"/>
  <c r="R233" i="5"/>
  <c r="S233" i="5"/>
  <c r="T233" i="5"/>
  <c r="U233" i="5"/>
  <c r="V233" i="5"/>
  <c r="W233" i="5"/>
  <c r="X233" i="5"/>
  <c r="AB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AC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AC235" i="5" s="1"/>
  <c r="N235" i="5"/>
  <c r="O235" i="5"/>
  <c r="P235" i="5"/>
  <c r="Q235" i="5"/>
  <c r="R235" i="5"/>
  <c r="S235" i="5"/>
  <c r="T235" i="5"/>
  <c r="U235" i="5"/>
  <c r="V235" i="5"/>
  <c r="W235" i="5"/>
  <c r="X235" i="5"/>
  <c r="AB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AC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AC237" i="5" s="1"/>
  <c r="N237" i="5"/>
  <c r="O237" i="5"/>
  <c r="P237" i="5"/>
  <c r="Q237" i="5"/>
  <c r="R237" i="5"/>
  <c r="S237" i="5"/>
  <c r="T237" i="5"/>
  <c r="U237" i="5"/>
  <c r="V237" i="5"/>
  <c r="W237" i="5"/>
  <c r="X237" i="5"/>
  <c r="AB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AC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AC239" i="5" s="1"/>
  <c r="N239" i="5"/>
  <c r="O239" i="5"/>
  <c r="P239" i="5"/>
  <c r="Q239" i="5"/>
  <c r="R239" i="5"/>
  <c r="S239" i="5"/>
  <c r="T239" i="5"/>
  <c r="U239" i="5"/>
  <c r="V239" i="5"/>
  <c r="W239" i="5"/>
  <c r="X239" i="5"/>
  <c r="AB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AC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AC241" i="5" s="1"/>
  <c r="N241" i="5"/>
  <c r="O241" i="5"/>
  <c r="P241" i="5"/>
  <c r="Q241" i="5"/>
  <c r="R241" i="5"/>
  <c r="S241" i="5"/>
  <c r="T241" i="5"/>
  <c r="U241" i="5"/>
  <c r="V241" i="5"/>
  <c r="W241" i="5"/>
  <c r="X241" i="5"/>
  <c r="AB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AC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AC243" i="5" s="1"/>
  <c r="N243" i="5"/>
  <c r="O243" i="5"/>
  <c r="P243" i="5"/>
  <c r="Q243" i="5"/>
  <c r="R243" i="5"/>
  <c r="S243" i="5"/>
  <c r="T243" i="5"/>
  <c r="U243" i="5"/>
  <c r="V243" i="5"/>
  <c r="W243" i="5"/>
  <c r="X243" i="5"/>
  <c r="AB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AC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AC245" i="5" s="1"/>
  <c r="N245" i="5"/>
  <c r="O245" i="5"/>
  <c r="P245" i="5"/>
  <c r="Q245" i="5"/>
  <c r="R245" i="5"/>
  <c r="S245" i="5"/>
  <c r="T245" i="5"/>
  <c r="U245" i="5"/>
  <c r="V245" i="5"/>
  <c r="W245" i="5"/>
  <c r="X245" i="5"/>
  <c r="AB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AC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AC247" i="5" s="1"/>
  <c r="N247" i="5"/>
  <c r="O247" i="5"/>
  <c r="P247" i="5"/>
  <c r="Q247" i="5"/>
  <c r="R247" i="5"/>
  <c r="S247" i="5"/>
  <c r="T247" i="5"/>
  <c r="U247" i="5"/>
  <c r="V247" i="5"/>
  <c r="W247" i="5"/>
  <c r="X247" i="5"/>
  <c r="AB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AC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AC249" i="5" s="1"/>
  <c r="N249" i="5"/>
  <c r="O249" i="5"/>
  <c r="P249" i="5"/>
  <c r="Q249" i="5"/>
  <c r="R249" i="5"/>
  <c r="S249" i="5"/>
  <c r="T249" i="5"/>
  <c r="U249" i="5"/>
  <c r="V249" i="5"/>
  <c r="W249" i="5"/>
  <c r="X249" i="5"/>
  <c r="AB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AC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AC251" i="5" s="1"/>
  <c r="N251" i="5"/>
  <c r="O251" i="5"/>
  <c r="P251" i="5"/>
  <c r="Q251" i="5"/>
  <c r="R251" i="5"/>
  <c r="S251" i="5"/>
  <c r="T251" i="5"/>
  <c r="U251" i="5"/>
  <c r="V251" i="5"/>
  <c r="W251" i="5"/>
  <c r="X251" i="5"/>
  <c r="AB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AC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AC253" i="5" s="1"/>
  <c r="N253" i="5"/>
  <c r="O253" i="5"/>
  <c r="P253" i="5"/>
  <c r="Q253" i="5"/>
  <c r="R253" i="5"/>
  <c r="S253" i="5"/>
  <c r="T253" i="5"/>
  <c r="U253" i="5"/>
  <c r="V253" i="5"/>
  <c r="W253" i="5"/>
  <c r="X253" i="5"/>
  <c r="AB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AC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AC255" i="5" s="1"/>
  <c r="N255" i="5"/>
  <c r="O255" i="5"/>
  <c r="P255" i="5"/>
  <c r="Q255" i="5"/>
  <c r="R255" i="5"/>
  <c r="S255" i="5"/>
  <c r="T255" i="5"/>
  <c r="U255" i="5"/>
  <c r="V255" i="5"/>
  <c r="W255" i="5"/>
  <c r="X255" i="5"/>
  <c r="AB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AC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AC257" i="5" s="1"/>
  <c r="N257" i="5"/>
  <c r="O257" i="5"/>
  <c r="P257" i="5"/>
  <c r="Q257" i="5"/>
  <c r="R257" i="5"/>
  <c r="S257" i="5"/>
  <c r="T257" i="5"/>
  <c r="U257" i="5"/>
  <c r="V257" i="5"/>
  <c r="W257" i="5"/>
  <c r="X257" i="5"/>
  <c r="AB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AC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AC259" i="5" s="1"/>
  <c r="N259" i="5"/>
  <c r="O259" i="5"/>
  <c r="P259" i="5"/>
  <c r="Q259" i="5"/>
  <c r="R259" i="5"/>
  <c r="S259" i="5"/>
  <c r="T259" i="5"/>
  <c r="U259" i="5"/>
  <c r="V259" i="5"/>
  <c r="W259" i="5"/>
  <c r="X259" i="5"/>
  <c r="AB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AC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AC261" i="5" s="1"/>
  <c r="N261" i="5"/>
  <c r="O261" i="5"/>
  <c r="P261" i="5"/>
  <c r="Q261" i="5"/>
  <c r="R261" i="5"/>
  <c r="S261" i="5"/>
  <c r="T261" i="5"/>
  <c r="U261" i="5"/>
  <c r="V261" i="5"/>
  <c r="W261" i="5"/>
  <c r="X261" i="5"/>
  <c r="AB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AC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AC263" i="5" s="1"/>
  <c r="N263" i="5"/>
  <c r="O263" i="5"/>
  <c r="P263" i="5"/>
  <c r="Q263" i="5"/>
  <c r="R263" i="5"/>
  <c r="S263" i="5"/>
  <c r="T263" i="5"/>
  <c r="U263" i="5"/>
  <c r="V263" i="5"/>
  <c r="W263" i="5"/>
  <c r="X263" i="5"/>
  <c r="AB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AC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AC265" i="5" s="1"/>
  <c r="N265" i="5"/>
  <c r="O265" i="5"/>
  <c r="P265" i="5"/>
  <c r="Q265" i="5"/>
  <c r="R265" i="5"/>
  <c r="S265" i="5"/>
  <c r="T265" i="5"/>
  <c r="U265" i="5"/>
  <c r="V265" i="5"/>
  <c r="W265" i="5"/>
  <c r="X265" i="5"/>
  <c r="AB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AC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AC267" i="5" s="1"/>
  <c r="N267" i="5"/>
  <c r="O267" i="5"/>
  <c r="P267" i="5"/>
  <c r="Q267" i="5"/>
  <c r="R267" i="5"/>
  <c r="S267" i="5"/>
  <c r="T267" i="5"/>
  <c r="U267" i="5"/>
  <c r="V267" i="5"/>
  <c r="W267" i="5"/>
  <c r="X267" i="5"/>
  <c r="AB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AC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AC269" i="5" s="1"/>
  <c r="N269" i="5"/>
  <c r="O269" i="5"/>
  <c r="P269" i="5"/>
  <c r="Q269" i="5"/>
  <c r="R269" i="5"/>
  <c r="S269" i="5"/>
  <c r="T269" i="5"/>
  <c r="U269" i="5"/>
  <c r="V269" i="5"/>
  <c r="W269" i="5"/>
  <c r="X269" i="5"/>
  <c r="AB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AC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AC271" i="5" s="1"/>
  <c r="N271" i="5"/>
  <c r="O271" i="5"/>
  <c r="P271" i="5"/>
  <c r="Q271" i="5"/>
  <c r="R271" i="5"/>
  <c r="S271" i="5"/>
  <c r="T271" i="5"/>
  <c r="U271" i="5"/>
  <c r="V271" i="5"/>
  <c r="W271" i="5"/>
  <c r="X271" i="5"/>
  <c r="AB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AC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AC273" i="5" s="1"/>
  <c r="N273" i="5"/>
  <c r="O273" i="5"/>
  <c r="P273" i="5"/>
  <c r="Q273" i="5"/>
  <c r="R273" i="5"/>
  <c r="S273" i="5"/>
  <c r="T273" i="5"/>
  <c r="U273" i="5"/>
  <c r="V273" i="5"/>
  <c r="W273" i="5"/>
  <c r="X273" i="5"/>
  <c r="AB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AC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AC275" i="5" s="1"/>
  <c r="N275" i="5"/>
  <c r="O275" i="5"/>
  <c r="P275" i="5"/>
  <c r="Q275" i="5"/>
  <c r="R275" i="5"/>
  <c r="S275" i="5"/>
  <c r="T275" i="5"/>
  <c r="U275" i="5"/>
  <c r="V275" i="5"/>
  <c r="W275" i="5"/>
  <c r="X275" i="5"/>
  <c r="AB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AC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AC277" i="5" s="1"/>
  <c r="N277" i="5"/>
  <c r="O277" i="5"/>
  <c r="P277" i="5"/>
  <c r="Q277" i="5"/>
  <c r="R277" i="5"/>
  <c r="S277" i="5"/>
  <c r="T277" i="5"/>
  <c r="U277" i="5"/>
  <c r="V277" i="5"/>
  <c r="W277" i="5"/>
  <c r="X277" i="5"/>
  <c r="AB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AC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AC279" i="5" s="1"/>
  <c r="N279" i="5"/>
  <c r="O279" i="5"/>
  <c r="P279" i="5"/>
  <c r="Q279" i="5"/>
  <c r="R279" i="5"/>
  <c r="S279" i="5"/>
  <c r="T279" i="5"/>
  <c r="U279" i="5"/>
  <c r="V279" i="5"/>
  <c r="W279" i="5"/>
  <c r="X279" i="5"/>
  <c r="AB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AC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AC281" i="5" s="1"/>
  <c r="N281" i="5"/>
  <c r="O281" i="5"/>
  <c r="P281" i="5"/>
  <c r="Q281" i="5"/>
  <c r="R281" i="5"/>
  <c r="S281" i="5"/>
  <c r="T281" i="5"/>
  <c r="U281" i="5"/>
  <c r="V281" i="5"/>
  <c r="W281" i="5"/>
  <c r="X281" i="5"/>
  <c r="AB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AC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AC283" i="5" s="1"/>
  <c r="N283" i="5"/>
  <c r="O283" i="5"/>
  <c r="P283" i="5"/>
  <c r="Q283" i="5"/>
  <c r="R283" i="5"/>
  <c r="S283" i="5"/>
  <c r="T283" i="5"/>
  <c r="U283" i="5"/>
  <c r="V283" i="5"/>
  <c r="W283" i="5"/>
  <c r="X283" i="5"/>
  <c r="AB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AC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AC285" i="5" s="1"/>
  <c r="N285" i="5"/>
  <c r="O285" i="5"/>
  <c r="P285" i="5"/>
  <c r="Q285" i="5"/>
  <c r="R285" i="5"/>
  <c r="S285" i="5"/>
  <c r="T285" i="5"/>
  <c r="U285" i="5"/>
  <c r="V285" i="5"/>
  <c r="W285" i="5"/>
  <c r="X285" i="5"/>
  <c r="AB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AC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AC287" i="5" s="1"/>
  <c r="N287" i="5"/>
  <c r="O287" i="5"/>
  <c r="P287" i="5"/>
  <c r="Q287" i="5"/>
  <c r="R287" i="5"/>
  <c r="S287" i="5"/>
  <c r="T287" i="5"/>
  <c r="U287" i="5"/>
  <c r="V287" i="5"/>
  <c r="W287" i="5"/>
  <c r="X287" i="5"/>
  <c r="AB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AC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AC289" i="5" s="1"/>
  <c r="N289" i="5"/>
  <c r="O289" i="5"/>
  <c r="P289" i="5"/>
  <c r="Q289" i="5"/>
  <c r="R289" i="5"/>
  <c r="S289" i="5"/>
  <c r="T289" i="5"/>
  <c r="U289" i="5"/>
  <c r="V289" i="5"/>
  <c r="W289" i="5"/>
  <c r="X289" i="5"/>
  <c r="AB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AC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AC291" i="5" s="1"/>
  <c r="N291" i="5"/>
  <c r="O291" i="5"/>
  <c r="P291" i="5"/>
  <c r="Q291" i="5"/>
  <c r="R291" i="5"/>
  <c r="S291" i="5"/>
  <c r="T291" i="5"/>
  <c r="U291" i="5"/>
  <c r="V291" i="5"/>
  <c r="W291" i="5"/>
  <c r="X291" i="5"/>
  <c r="AB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AC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AC293" i="5" s="1"/>
  <c r="N293" i="5"/>
  <c r="O293" i="5"/>
  <c r="P293" i="5"/>
  <c r="Q293" i="5"/>
  <c r="R293" i="5"/>
  <c r="S293" i="5"/>
  <c r="T293" i="5"/>
  <c r="U293" i="5"/>
  <c r="V293" i="5"/>
  <c r="W293" i="5"/>
  <c r="X293" i="5"/>
  <c r="AB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AC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AC295" i="5" s="1"/>
  <c r="N295" i="5"/>
  <c r="O295" i="5"/>
  <c r="P295" i="5"/>
  <c r="Q295" i="5"/>
  <c r="R295" i="5"/>
  <c r="S295" i="5"/>
  <c r="T295" i="5"/>
  <c r="U295" i="5"/>
  <c r="V295" i="5"/>
  <c r="W295" i="5"/>
  <c r="X295" i="5"/>
  <c r="AB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AC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AC297" i="5" s="1"/>
  <c r="N297" i="5"/>
  <c r="O297" i="5"/>
  <c r="P297" i="5"/>
  <c r="Q297" i="5"/>
  <c r="R297" i="5"/>
  <c r="S297" i="5"/>
  <c r="T297" i="5"/>
  <c r="U297" i="5"/>
  <c r="V297" i="5"/>
  <c r="W297" i="5"/>
  <c r="X297" i="5"/>
  <c r="AB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AC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AC299" i="5" s="1"/>
  <c r="N299" i="5"/>
  <c r="O299" i="5"/>
  <c r="P299" i="5"/>
  <c r="Q299" i="5"/>
  <c r="R299" i="5"/>
  <c r="S299" i="5"/>
  <c r="T299" i="5"/>
  <c r="U299" i="5"/>
  <c r="V299" i="5"/>
  <c r="W299" i="5"/>
  <c r="X299" i="5"/>
  <c r="AB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AC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AC301" i="5" s="1"/>
  <c r="N301" i="5"/>
  <c r="O301" i="5"/>
  <c r="P301" i="5"/>
  <c r="Q301" i="5"/>
  <c r="R301" i="5"/>
  <c r="S301" i="5"/>
  <c r="T301" i="5"/>
  <c r="U301" i="5"/>
  <c r="V301" i="5"/>
  <c r="W301" i="5"/>
  <c r="X301" i="5"/>
  <c r="AB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AC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AC303" i="5" s="1"/>
  <c r="N303" i="5"/>
  <c r="O303" i="5"/>
  <c r="P303" i="5"/>
  <c r="Q303" i="5"/>
  <c r="R303" i="5"/>
  <c r="S303" i="5"/>
  <c r="T303" i="5"/>
  <c r="U303" i="5"/>
  <c r="V303" i="5"/>
  <c r="W303" i="5"/>
  <c r="X303" i="5"/>
  <c r="AB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AC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AC305" i="5" s="1"/>
  <c r="N305" i="5"/>
  <c r="O305" i="5"/>
  <c r="P305" i="5"/>
  <c r="Q305" i="5"/>
  <c r="R305" i="5"/>
  <c r="S305" i="5"/>
  <c r="T305" i="5"/>
  <c r="U305" i="5"/>
  <c r="V305" i="5"/>
  <c r="W305" i="5"/>
  <c r="X305" i="5"/>
  <c r="AB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AC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AC307" i="5" s="1"/>
  <c r="N307" i="5"/>
  <c r="O307" i="5"/>
  <c r="P307" i="5"/>
  <c r="Q307" i="5"/>
  <c r="R307" i="5"/>
  <c r="S307" i="5"/>
  <c r="T307" i="5"/>
  <c r="U307" i="5"/>
  <c r="V307" i="5"/>
  <c r="W307" i="5"/>
  <c r="X307" i="5"/>
  <c r="AB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AC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AC309" i="5" s="1"/>
  <c r="N309" i="5"/>
  <c r="O309" i="5"/>
  <c r="P309" i="5"/>
  <c r="Q309" i="5"/>
  <c r="R309" i="5"/>
  <c r="S309" i="5"/>
  <c r="T309" i="5"/>
  <c r="U309" i="5"/>
  <c r="V309" i="5"/>
  <c r="W309" i="5"/>
  <c r="X309" i="5"/>
  <c r="AB30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AC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AC311" i="5" s="1"/>
  <c r="N311" i="5"/>
  <c r="O311" i="5"/>
  <c r="P311" i="5"/>
  <c r="Q311" i="5"/>
  <c r="R311" i="5"/>
  <c r="S311" i="5"/>
  <c r="T311" i="5"/>
  <c r="U311" i="5"/>
  <c r="V311" i="5"/>
  <c r="W311" i="5"/>
  <c r="X311" i="5"/>
  <c r="AB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T312" i="5"/>
  <c r="U312" i="5"/>
  <c r="V312" i="5"/>
  <c r="W312" i="5"/>
  <c r="X312" i="5"/>
  <c r="AC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AC313" i="5" s="1"/>
  <c r="N313" i="5"/>
  <c r="O313" i="5"/>
  <c r="P313" i="5"/>
  <c r="Q313" i="5"/>
  <c r="R313" i="5"/>
  <c r="S313" i="5"/>
  <c r="T313" i="5"/>
  <c r="U313" i="5"/>
  <c r="V313" i="5"/>
  <c r="W313" i="5"/>
  <c r="X313" i="5"/>
  <c r="AB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AC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AC315" i="5" s="1"/>
  <c r="N315" i="5"/>
  <c r="O315" i="5"/>
  <c r="P315" i="5"/>
  <c r="Q315" i="5"/>
  <c r="R315" i="5"/>
  <c r="S315" i="5"/>
  <c r="T315" i="5"/>
  <c r="U315" i="5"/>
  <c r="V315" i="5"/>
  <c r="W315" i="5"/>
  <c r="X315" i="5"/>
  <c r="AB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T316" i="5"/>
  <c r="U316" i="5"/>
  <c r="V316" i="5"/>
  <c r="W316" i="5"/>
  <c r="X316" i="5"/>
  <c r="AC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AC317" i="5" s="1"/>
  <c r="N317" i="5"/>
  <c r="O317" i="5"/>
  <c r="P317" i="5"/>
  <c r="Q317" i="5"/>
  <c r="R317" i="5"/>
  <c r="S317" i="5"/>
  <c r="T317" i="5"/>
  <c r="U317" i="5"/>
  <c r="V317" i="5"/>
  <c r="W317" i="5"/>
  <c r="X317" i="5"/>
  <c r="AB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AC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AC319" i="5" s="1"/>
  <c r="N319" i="5"/>
  <c r="O319" i="5"/>
  <c r="P319" i="5"/>
  <c r="Q319" i="5"/>
  <c r="R319" i="5"/>
  <c r="S319" i="5"/>
  <c r="T319" i="5"/>
  <c r="U319" i="5"/>
  <c r="V319" i="5"/>
  <c r="W319" i="5"/>
  <c r="X319" i="5"/>
  <c r="AB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AC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AC321" i="5" s="1"/>
  <c r="N321" i="5"/>
  <c r="O321" i="5"/>
  <c r="P321" i="5"/>
  <c r="Q321" i="5"/>
  <c r="R321" i="5"/>
  <c r="S321" i="5"/>
  <c r="T321" i="5"/>
  <c r="U321" i="5"/>
  <c r="V321" i="5"/>
  <c r="W321" i="5"/>
  <c r="X321" i="5"/>
  <c r="AB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AC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AC323" i="5" s="1"/>
  <c r="N323" i="5"/>
  <c r="O323" i="5"/>
  <c r="P323" i="5"/>
  <c r="Q323" i="5"/>
  <c r="R323" i="5"/>
  <c r="S323" i="5"/>
  <c r="T323" i="5"/>
  <c r="U323" i="5"/>
  <c r="V323" i="5"/>
  <c r="W323" i="5"/>
  <c r="X323" i="5"/>
  <c r="AB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AC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AC325" i="5" s="1"/>
  <c r="N325" i="5"/>
  <c r="O325" i="5"/>
  <c r="P325" i="5"/>
  <c r="Q325" i="5"/>
  <c r="R325" i="5"/>
  <c r="S325" i="5"/>
  <c r="T325" i="5"/>
  <c r="U325" i="5"/>
  <c r="V325" i="5"/>
  <c r="W325" i="5"/>
  <c r="X325" i="5"/>
  <c r="AB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AC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AC327" i="5" s="1"/>
  <c r="N327" i="5"/>
  <c r="O327" i="5"/>
  <c r="P327" i="5"/>
  <c r="Q327" i="5"/>
  <c r="R327" i="5"/>
  <c r="S327" i="5"/>
  <c r="T327" i="5"/>
  <c r="U327" i="5"/>
  <c r="V327" i="5"/>
  <c r="W327" i="5"/>
  <c r="X327" i="5"/>
  <c r="AB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T328" i="5"/>
  <c r="U328" i="5"/>
  <c r="V328" i="5"/>
  <c r="W328" i="5"/>
  <c r="X328" i="5"/>
  <c r="AC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AC329" i="5" s="1"/>
  <c r="N329" i="5"/>
  <c r="O329" i="5"/>
  <c r="P329" i="5"/>
  <c r="Q329" i="5"/>
  <c r="R329" i="5"/>
  <c r="S329" i="5"/>
  <c r="T329" i="5"/>
  <c r="U329" i="5"/>
  <c r="V329" i="5"/>
  <c r="W329" i="5"/>
  <c r="X329" i="5"/>
  <c r="AB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AC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AC331" i="5" s="1"/>
  <c r="N331" i="5"/>
  <c r="O331" i="5"/>
  <c r="P331" i="5"/>
  <c r="Q331" i="5"/>
  <c r="R331" i="5"/>
  <c r="S331" i="5"/>
  <c r="T331" i="5"/>
  <c r="U331" i="5"/>
  <c r="V331" i="5"/>
  <c r="W331" i="5"/>
  <c r="X331" i="5"/>
  <c r="AB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T332" i="5"/>
  <c r="U332" i="5"/>
  <c r="V332" i="5"/>
  <c r="W332" i="5"/>
  <c r="X332" i="5"/>
  <c r="AC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AC333" i="5" s="1"/>
  <c r="N333" i="5"/>
  <c r="O333" i="5"/>
  <c r="P333" i="5"/>
  <c r="Q333" i="5"/>
  <c r="R333" i="5"/>
  <c r="S333" i="5"/>
  <c r="T333" i="5"/>
  <c r="U333" i="5"/>
  <c r="V333" i="5"/>
  <c r="W333" i="5"/>
  <c r="X333" i="5"/>
  <c r="AB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AC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AC335" i="5" s="1"/>
  <c r="N335" i="5"/>
  <c r="O335" i="5"/>
  <c r="P335" i="5"/>
  <c r="Q335" i="5"/>
  <c r="R335" i="5"/>
  <c r="S335" i="5"/>
  <c r="T335" i="5"/>
  <c r="U335" i="5"/>
  <c r="V335" i="5"/>
  <c r="W335" i="5"/>
  <c r="X335" i="5"/>
  <c r="AB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T336" i="5"/>
  <c r="U336" i="5"/>
  <c r="V336" i="5"/>
  <c r="W336" i="5"/>
  <c r="X336" i="5"/>
  <c r="AC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AC337" i="5" s="1"/>
  <c r="N337" i="5"/>
  <c r="O337" i="5"/>
  <c r="P337" i="5"/>
  <c r="Q337" i="5"/>
  <c r="R337" i="5"/>
  <c r="S337" i="5"/>
  <c r="T337" i="5"/>
  <c r="U337" i="5"/>
  <c r="V337" i="5"/>
  <c r="W337" i="5"/>
  <c r="X337" i="5"/>
  <c r="AB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AC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AC339" i="5" s="1"/>
  <c r="N339" i="5"/>
  <c r="O339" i="5"/>
  <c r="P339" i="5"/>
  <c r="Q339" i="5"/>
  <c r="R339" i="5"/>
  <c r="S339" i="5"/>
  <c r="T339" i="5"/>
  <c r="U339" i="5"/>
  <c r="V339" i="5"/>
  <c r="W339" i="5"/>
  <c r="X339" i="5"/>
  <c r="AB339" i="5"/>
  <c r="B340" i="5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T340" i="5"/>
  <c r="U340" i="5"/>
  <c r="V340" i="5"/>
  <c r="W340" i="5"/>
  <c r="X340" i="5"/>
  <c r="AC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AC341" i="5" s="1"/>
  <c r="N341" i="5"/>
  <c r="O341" i="5"/>
  <c r="P341" i="5"/>
  <c r="Q341" i="5"/>
  <c r="R341" i="5"/>
  <c r="S341" i="5"/>
  <c r="T341" i="5"/>
  <c r="U341" i="5"/>
  <c r="V341" i="5"/>
  <c r="W341" i="5"/>
  <c r="X341" i="5"/>
  <c r="AB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T342" i="5"/>
  <c r="U342" i="5"/>
  <c r="V342" i="5"/>
  <c r="W342" i="5"/>
  <c r="X342" i="5"/>
  <c r="AC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AC343" i="5" s="1"/>
  <c r="N343" i="5"/>
  <c r="O343" i="5"/>
  <c r="P343" i="5"/>
  <c r="Q343" i="5"/>
  <c r="R343" i="5"/>
  <c r="S343" i="5"/>
  <c r="T343" i="5"/>
  <c r="U343" i="5"/>
  <c r="V343" i="5"/>
  <c r="W343" i="5"/>
  <c r="X343" i="5"/>
  <c r="AB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T344" i="5"/>
  <c r="U344" i="5"/>
  <c r="V344" i="5"/>
  <c r="W344" i="5"/>
  <c r="X344" i="5"/>
  <c r="AC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AC345" i="5" s="1"/>
  <c r="N345" i="5"/>
  <c r="O345" i="5"/>
  <c r="P345" i="5"/>
  <c r="Q345" i="5"/>
  <c r="R345" i="5"/>
  <c r="S345" i="5"/>
  <c r="T345" i="5"/>
  <c r="U345" i="5"/>
  <c r="V345" i="5"/>
  <c r="W345" i="5"/>
  <c r="X345" i="5"/>
  <c r="AB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AC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AC347" i="5" s="1"/>
  <c r="N347" i="5"/>
  <c r="O347" i="5"/>
  <c r="P347" i="5"/>
  <c r="Q347" i="5"/>
  <c r="R347" i="5"/>
  <c r="S347" i="5"/>
  <c r="T347" i="5"/>
  <c r="U347" i="5"/>
  <c r="V347" i="5"/>
  <c r="W347" i="5"/>
  <c r="X347" i="5"/>
  <c r="AB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T348" i="5"/>
  <c r="U348" i="5"/>
  <c r="V348" i="5"/>
  <c r="W348" i="5"/>
  <c r="X348" i="5"/>
  <c r="AC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AC349" i="5" s="1"/>
  <c r="N349" i="5"/>
  <c r="O349" i="5"/>
  <c r="P349" i="5"/>
  <c r="Q349" i="5"/>
  <c r="R349" i="5"/>
  <c r="S349" i="5"/>
  <c r="T349" i="5"/>
  <c r="U349" i="5"/>
  <c r="V349" i="5"/>
  <c r="W349" i="5"/>
  <c r="X349" i="5"/>
  <c r="AB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AC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AC351" i="5" s="1"/>
  <c r="N351" i="5"/>
  <c r="O351" i="5"/>
  <c r="P351" i="5"/>
  <c r="Q351" i="5"/>
  <c r="R351" i="5"/>
  <c r="S351" i="5"/>
  <c r="T351" i="5"/>
  <c r="U351" i="5"/>
  <c r="V351" i="5"/>
  <c r="W351" i="5"/>
  <c r="X351" i="5"/>
  <c r="AB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T352" i="5"/>
  <c r="U352" i="5"/>
  <c r="V352" i="5"/>
  <c r="W352" i="5"/>
  <c r="X352" i="5"/>
  <c r="AC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AC353" i="5" s="1"/>
  <c r="N353" i="5"/>
  <c r="O353" i="5"/>
  <c r="P353" i="5"/>
  <c r="Q353" i="5"/>
  <c r="R353" i="5"/>
  <c r="S353" i="5"/>
  <c r="T353" i="5"/>
  <c r="U353" i="5"/>
  <c r="V353" i="5"/>
  <c r="W353" i="5"/>
  <c r="X353" i="5"/>
  <c r="AB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AC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AC355" i="5" s="1"/>
  <c r="N355" i="5"/>
  <c r="O355" i="5"/>
  <c r="P355" i="5"/>
  <c r="Q355" i="5"/>
  <c r="R355" i="5"/>
  <c r="S355" i="5"/>
  <c r="T355" i="5"/>
  <c r="U355" i="5"/>
  <c r="V355" i="5"/>
  <c r="W355" i="5"/>
  <c r="X355" i="5"/>
  <c r="AB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T356" i="5"/>
  <c r="U356" i="5"/>
  <c r="V356" i="5"/>
  <c r="W356" i="5"/>
  <c r="X356" i="5"/>
  <c r="AC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AC357" i="5" s="1"/>
  <c r="N357" i="5"/>
  <c r="O357" i="5"/>
  <c r="P357" i="5"/>
  <c r="Q357" i="5"/>
  <c r="R357" i="5"/>
  <c r="S357" i="5"/>
  <c r="T357" i="5"/>
  <c r="U357" i="5"/>
  <c r="V357" i="5"/>
  <c r="W357" i="5"/>
  <c r="X357" i="5"/>
  <c r="AB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AC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AC359" i="5" s="1"/>
  <c r="N359" i="5"/>
  <c r="O359" i="5"/>
  <c r="P359" i="5"/>
  <c r="Q359" i="5"/>
  <c r="R359" i="5"/>
  <c r="S359" i="5"/>
  <c r="T359" i="5"/>
  <c r="U359" i="5"/>
  <c r="V359" i="5"/>
  <c r="W359" i="5"/>
  <c r="X359" i="5"/>
  <c r="AB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AC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AC361" i="5" s="1"/>
  <c r="N361" i="5"/>
  <c r="O361" i="5"/>
  <c r="P361" i="5"/>
  <c r="Q361" i="5"/>
  <c r="R361" i="5"/>
  <c r="S361" i="5"/>
  <c r="T361" i="5"/>
  <c r="U361" i="5"/>
  <c r="V361" i="5"/>
  <c r="W361" i="5"/>
  <c r="X361" i="5"/>
  <c r="AB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T362" i="5"/>
  <c r="U362" i="5"/>
  <c r="V362" i="5"/>
  <c r="W362" i="5"/>
  <c r="X362" i="5"/>
  <c r="AC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AC363" i="5" s="1"/>
  <c r="N363" i="5"/>
  <c r="O363" i="5"/>
  <c r="P363" i="5"/>
  <c r="Q363" i="5"/>
  <c r="R363" i="5"/>
  <c r="S363" i="5"/>
  <c r="T363" i="5"/>
  <c r="U363" i="5"/>
  <c r="V363" i="5"/>
  <c r="W363" i="5"/>
  <c r="X363" i="5"/>
  <c r="AB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T364" i="5"/>
  <c r="U364" i="5"/>
  <c r="V364" i="5"/>
  <c r="W364" i="5"/>
  <c r="X364" i="5"/>
  <c r="AC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AC365" i="5" s="1"/>
  <c r="N365" i="5"/>
  <c r="O365" i="5"/>
  <c r="P365" i="5"/>
  <c r="Q365" i="5"/>
  <c r="R365" i="5"/>
  <c r="S365" i="5"/>
  <c r="T365" i="5"/>
  <c r="U365" i="5"/>
  <c r="V365" i="5"/>
  <c r="W365" i="5"/>
  <c r="X365" i="5"/>
  <c r="AB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T366" i="5"/>
  <c r="U366" i="5"/>
  <c r="V366" i="5"/>
  <c r="W366" i="5"/>
  <c r="X366" i="5"/>
  <c r="AC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AC367" i="5" s="1"/>
  <c r="N367" i="5"/>
  <c r="O367" i="5"/>
  <c r="P367" i="5"/>
  <c r="Q367" i="5"/>
  <c r="R367" i="5"/>
  <c r="S367" i="5"/>
  <c r="T367" i="5"/>
  <c r="U367" i="5"/>
  <c r="V367" i="5"/>
  <c r="W367" i="5"/>
  <c r="X367" i="5"/>
  <c r="AB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T368" i="5"/>
  <c r="U368" i="5"/>
  <c r="V368" i="5"/>
  <c r="W368" i="5"/>
  <c r="X368" i="5"/>
  <c r="AC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AC369" i="5" s="1"/>
  <c r="N369" i="5"/>
  <c r="O369" i="5"/>
  <c r="P369" i="5"/>
  <c r="Q369" i="5"/>
  <c r="R369" i="5"/>
  <c r="S369" i="5"/>
  <c r="T369" i="5"/>
  <c r="U369" i="5"/>
  <c r="V369" i="5"/>
  <c r="W369" i="5"/>
  <c r="X369" i="5"/>
  <c r="AB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T370" i="5"/>
  <c r="U370" i="5"/>
  <c r="V370" i="5"/>
  <c r="W370" i="5"/>
  <c r="X370" i="5"/>
  <c r="AC370" i="5"/>
  <c r="B371" i="5"/>
  <c r="C371" i="5"/>
  <c r="D371" i="5"/>
  <c r="E371" i="5"/>
  <c r="F371" i="5"/>
  <c r="G371" i="5"/>
  <c r="H371" i="5"/>
  <c r="I371" i="5"/>
  <c r="J371" i="5"/>
  <c r="K371" i="5"/>
  <c r="L371" i="5"/>
  <c r="M371" i="5"/>
  <c r="AC371" i="5" s="1"/>
  <c r="N371" i="5"/>
  <c r="O371" i="5"/>
  <c r="P371" i="5"/>
  <c r="Q371" i="5"/>
  <c r="R371" i="5"/>
  <c r="S371" i="5"/>
  <c r="T371" i="5"/>
  <c r="U371" i="5"/>
  <c r="V371" i="5"/>
  <c r="W371" i="5"/>
  <c r="X371" i="5"/>
  <c r="AB371" i="5"/>
  <c r="B372" i="5"/>
  <c r="C372" i="5"/>
  <c r="D372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Q372" i="5"/>
  <c r="R372" i="5"/>
  <c r="S372" i="5"/>
  <c r="T372" i="5"/>
  <c r="U372" i="5"/>
  <c r="V372" i="5"/>
  <c r="W372" i="5"/>
  <c r="X372" i="5"/>
  <c r="AC372" i="5"/>
  <c r="B373" i="5"/>
  <c r="C373" i="5"/>
  <c r="D373" i="5"/>
  <c r="E373" i="5"/>
  <c r="F373" i="5"/>
  <c r="G373" i="5"/>
  <c r="H373" i="5"/>
  <c r="I373" i="5"/>
  <c r="J373" i="5"/>
  <c r="K373" i="5"/>
  <c r="L373" i="5"/>
  <c r="M373" i="5"/>
  <c r="AC373" i="5" s="1"/>
  <c r="N373" i="5"/>
  <c r="O373" i="5"/>
  <c r="P373" i="5"/>
  <c r="Q373" i="5"/>
  <c r="R373" i="5"/>
  <c r="S373" i="5"/>
  <c r="T373" i="5"/>
  <c r="U373" i="5"/>
  <c r="V373" i="5"/>
  <c r="W373" i="5"/>
  <c r="X373" i="5"/>
  <c r="AB373" i="5"/>
  <c r="B374" i="5"/>
  <c r="C374" i="5"/>
  <c r="D374" i="5"/>
  <c r="E374" i="5"/>
  <c r="F374" i="5"/>
  <c r="G374" i="5"/>
  <c r="H374" i="5"/>
  <c r="I374" i="5"/>
  <c r="J374" i="5"/>
  <c r="K374" i="5"/>
  <c r="L374" i="5"/>
  <c r="M374" i="5"/>
  <c r="N374" i="5"/>
  <c r="O374" i="5"/>
  <c r="P374" i="5"/>
  <c r="Q374" i="5"/>
  <c r="R374" i="5"/>
  <c r="S374" i="5"/>
  <c r="T374" i="5"/>
  <c r="U374" i="5"/>
  <c r="V374" i="5"/>
  <c r="W374" i="5"/>
  <c r="X374" i="5"/>
  <c r="AC374" i="5"/>
  <c r="B375" i="5"/>
  <c r="C375" i="5"/>
  <c r="D375" i="5"/>
  <c r="E375" i="5"/>
  <c r="F375" i="5"/>
  <c r="G375" i="5"/>
  <c r="H375" i="5"/>
  <c r="I375" i="5"/>
  <c r="J375" i="5"/>
  <c r="K375" i="5"/>
  <c r="L375" i="5"/>
  <c r="M375" i="5"/>
  <c r="AC375" i="5" s="1"/>
  <c r="N375" i="5"/>
  <c r="O375" i="5"/>
  <c r="P375" i="5"/>
  <c r="Q375" i="5"/>
  <c r="R375" i="5"/>
  <c r="S375" i="5"/>
  <c r="T375" i="5"/>
  <c r="U375" i="5"/>
  <c r="V375" i="5"/>
  <c r="W375" i="5"/>
  <c r="X375" i="5"/>
  <c r="AB375" i="5"/>
  <c r="B376" i="5"/>
  <c r="C376" i="5"/>
  <c r="D376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Q376" i="5"/>
  <c r="R376" i="5"/>
  <c r="S376" i="5"/>
  <c r="T376" i="5"/>
  <c r="U376" i="5"/>
  <c r="V376" i="5"/>
  <c r="W376" i="5"/>
  <c r="X376" i="5"/>
  <c r="AC376" i="5"/>
  <c r="B377" i="5"/>
  <c r="C377" i="5"/>
  <c r="D377" i="5"/>
  <c r="E377" i="5"/>
  <c r="F377" i="5"/>
  <c r="G377" i="5"/>
  <c r="H377" i="5"/>
  <c r="I377" i="5"/>
  <c r="J377" i="5"/>
  <c r="K377" i="5"/>
  <c r="L377" i="5"/>
  <c r="M377" i="5"/>
  <c r="AC377" i="5" s="1"/>
  <c r="N377" i="5"/>
  <c r="O377" i="5"/>
  <c r="P377" i="5"/>
  <c r="Q377" i="5"/>
  <c r="R377" i="5"/>
  <c r="S377" i="5"/>
  <c r="T377" i="5"/>
  <c r="U377" i="5"/>
  <c r="V377" i="5"/>
  <c r="W377" i="5"/>
  <c r="X377" i="5"/>
  <c r="AB377" i="5"/>
  <c r="B378" i="5"/>
  <c r="C378" i="5"/>
  <c r="D378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Q378" i="5"/>
  <c r="R378" i="5"/>
  <c r="S378" i="5"/>
  <c r="T378" i="5"/>
  <c r="U378" i="5"/>
  <c r="V378" i="5"/>
  <c r="W378" i="5"/>
  <c r="X378" i="5"/>
  <c r="AC378" i="5"/>
  <c r="B379" i="5"/>
  <c r="C379" i="5"/>
  <c r="D379" i="5"/>
  <c r="E379" i="5"/>
  <c r="F379" i="5"/>
  <c r="G379" i="5"/>
  <c r="H379" i="5"/>
  <c r="I379" i="5"/>
  <c r="J379" i="5"/>
  <c r="K379" i="5"/>
  <c r="L379" i="5"/>
  <c r="M379" i="5"/>
  <c r="AC379" i="5" s="1"/>
  <c r="N379" i="5"/>
  <c r="O379" i="5"/>
  <c r="P379" i="5"/>
  <c r="Q379" i="5"/>
  <c r="R379" i="5"/>
  <c r="S379" i="5"/>
  <c r="T379" i="5"/>
  <c r="U379" i="5"/>
  <c r="V379" i="5"/>
  <c r="W379" i="5"/>
  <c r="X379" i="5"/>
  <c r="AB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Q380" i="5"/>
  <c r="R380" i="5"/>
  <c r="S380" i="5"/>
  <c r="T380" i="5"/>
  <c r="U380" i="5"/>
  <c r="V380" i="5"/>
  <c r="W380" i="5"/>
  <c r="X380" i="5"/>
  <c r="AC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AC381" i="5" s="1"/>
  <c r="N381" i="5"/>
  <c r="O381" i="5"/>
  <c r="P381" i="5"/>
  <c r="Q381" i="5"/>
  <c r="R381" i="5"/>
  <c r="S381" i="5"/>
  <c r="T381" i="5"/>
  <c r="U381" i="5"/>
  <c r="V381" i="5"/>
  <c r="W381" i="5"/>
  <c r="X381" i="5"/>
  <c r="AB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AC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AC383" i="5" s="1"/>
  <c r="N383" i="5"/>
  <c r="O383" i="5"/>
  <c r="P383" i="5"/>
  <c r="Q383" i="5"/>
  <c r="R383" i="5"/>
  <c r="S383" i="5"/>
  <c r="T383" i="5"/>
  <c r="U383" i="5"/>
  <c r="V383" i="5"/>
  <c r="W383" i="5"/>
  <c r="X383" i="5"/>
  <c r="AB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AC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AC385" i="5" s="1"/>
  <c r="N385" i="5"/>
  <c r="O385" i="5"/>
  <c r="P385" i="5"/>
  <c r="Q385" i="5"/>
  <c r="R385" i="5"/>
  <c r="S385" i="5"/>
  <c r="T385" i="5"/>
  <c r="U385" i="5"/>
  <c r="V385" i="5"/>
  <c r="W385" i="5"/>
  <c r="X385" i="5"/>
  <c r="AB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AC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AC387" i="5" s="1"/>
  <c r="N387" i="5"/>
  <c r="O387" i="5"/>
  <c r="P387" i="5"/>
  <c r="Q387" i="5"/>
  <c r="R387" i="5"/>
  <c r="S387" i="5"/>
  <c r="T387" i="5"/>
  <c r="U387" i="5"/>
  <c r="V387" i="5"/>
  <c r="W387" i="5"/>
  <c r="X387" i="5"/>
  <c r="AB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Q388" i="5"/>
  <c r="R388" i="5"/>
  <c r="S388" i="5"/>
  <c r="T388" i="5"/>
  <c r="U388" i="5"/>
  <c r="V388" i="5"/>
  <c r="W388" i="5"/>
  <c r="X388" i="5"/>
  <c r="AC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AC389" i="5" s="1"/>
  <c r="N389" i="5"/>
  <c r="O389" i="5"/>
  <c r="P389" i="5"/>
  <c r="Q389" i="5"/>
  <c r="R389" i="5"/>
  <c r="S389" i="5"/>
  <c r="T389" i="5"/>
  <c r="U389" i="5"/>
  <c r="V389" i="5"/>
  <c r="W389" i="5"/>
  <c r="X389" i="5"/>
  <c r="AB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AC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AC391" i="5" s="1"/>
  <c r="N391" i="5"/>
  <c r="O391" i="5"/>
  <c r="P391" i="5"/>
  <c r="Q391" i="5"/>
  <c r="R391" i="5"/>
  <c r="S391" i="5"/>
  <c r="T391" i="5"/>
  <c r="U391" i="5"/>
  <c r="V391" i="5"/>
  <c r="W391" i="5"/>
  <c r="X391" i="5"/>
  <c r="AB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AC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AC393" i="5" s="1"/>
  <c r="N393" i="5"/>
  <c r="O393" i="5"/>
  <c r="P393" i="5"/>
  <c r="Q393" i="5"/>
  <c r="R393" i="5"/>
  <c r="S393" i="5"/>
  <c r="T393" i="5"/>
  <c r="U393" i="5"/>
  <c r="V393" i="5"/>
  <c r="W393" i="5"/>
  <c r="X393" i="5"/>
  <c r="AB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AC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AC395" i="5" s="1"/>
  <c r="N395" i="5"/>
  <c r="O395" i="5"/>
  <c r="P395" i="5"/>
  <c r="Q395" i="5"/>
  <c r="R395" i="5"/>
  <c r="S395" i="5"/>
  <c r="T395" i="5"/>
  <c r="U395" i="5"/>
  <c r="V395" i="5"/>
  <c r="W395" i="5"/>
  <c r="X395" i="5"/>
  <c r="AB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AC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AC397" i="5" s="1"/>
  <c r="N397" i="5"/>
  <c r="O397" i="5"/>
  <c r="P397" i="5"/>
  <c r="Q397" i="5"/>
  <c r="R397" i="5"/>
  <c r="S397" i="5"/>
  <c r="T397" i="5"/>
  <c r="U397" i="5"/>
  <c r="V397" i="5"/>
  <c r="W397" i="5"/>
  <c r="X397" i="5"/>
  <c r="AB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AC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AC399" i="5" s="1"/>
  <c r="N399" i="5"/>
  <c r="O399" i="5"/>
  <c r="P399" i="5"/>
  <c r="Q399" i="5"/>
  <c r="R399" i="5"/>
  <c r="S399" i="5"/>
  <c r="T399" i="5"/>
  <c r="U399" i="5"/>
  <c r="V399" i="5"/>
  <c r="W399" i="5"/>
  <c r="X399" i="5"/>
  <c r="AB399" i="5"/>
  <c r="B400" i="5"/>
  <c r="C400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Q400" i="5"/>
  <c r="R400" i="5"/>
  <c r="S400" i="5"/>
  <c r="T400" i="5"/>
  <c r="U400" i="5"/>
  <c r="V400" i="5"/>
  <c r="W400" i="5"/>
  <c r="X400" i="5"/>
  <c r="AC400" i="5"/>
  <c r="B401" i="5"/>
  <c r="C401" i="5"/>
  <c r="D401" i="5"/>
  <c r="E401" i="5"/>
  <c r="F401" i="5"/>
  <c r="G401" i="5"/>
  <c r="H401" i="5"/>
  <c r="I401" i="5"/>
  <c r="J401" i="5"/>
  <c r="K401" i="5"/>
  <c r="L401" i="5"/>
  <c r="M401" i="5"/>
  <c r="AC401" i="5" s="1"/>
  <c r="N401" i="5"/>
  <c r="O401" i="5"/>
  <c r="P401" i="5"/>
  <c r="Q401" i="5"/>
  <c r="R401" i="5"/>
  <c r="S401" i="5"/>
  <c r="T401" i="5"/>
  <c r="U401" i="5"/>
  <c r="V401" i="5"/>
  <c r="W401" i="5"/>
  <c r="X401" i="5"/>
  <c r="AB401" i="5"/>
  <c r="B402" i="5"/>
  <c r="C402" i="5"/>
  <c r="D402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AC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AC403" i="5" s="1"/>
  <c r="N403" i="5"/>
  <c r="O403" i="5"/>
  <c r="P403" i="5"/>
  <c r="Q403" i="5"/>
  <c r="R403" i="5"/>
  <c r="S403" i="5"/>
  <c r="T403" i="5"/>
  <c r="U403" i="5"/>
  <c r="V403" i="5"/>
  <c r="W403" i="5"/>
  <c r="X403" i="5"/>
  <c r="AB403" i="5"/>
  <c r="B404" i="5"/>
  <c r="C404" i="5"/>
  <c r="D404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Q404" i="5"/>
  <c r="R404" i="5"/>
  <c r="S404" i="5"/>
  <c r="T404" i="5"/>
  <c r="U404" i="5"/>
  <c r="V404" i="5"/>
  <c r="W404" i="5"/>
  <c r="X404" i="5"/>
  <c r="AC404" i="5"/>
  <c r="B405" i="5"/>
  <c r="C405" i="5"/>
  <c r="D405" i="5"/>
  <c r="E405" i="5"/>
  <c r="F405" i="5"/>
  <c r="G405" i="5"/>
  <c r="H405" i="5"/>
  <c r="I405" i="5"/>
  <c r="J405" i="5"/>
  <c r="K405" i="5"/>
  <c r="L405" i="5"/>
  <c r="M405" i="5"/>
  <c r="AC405" i="5" s="1"/>
  <c r="N405" i="5"/>
  <c r="O405" i="5"/>
  <c r="P405" i="5"/>
  <c r="Q405" i="5"/>
  <c r="R405" i="5"/>
  <c r="S405" i="5"/>
  <c r="T405" i="5"/>
  <c r="U405" i="5"/>
  <c r="V405" i="5"/>
  <c r="W405" i="5"/>
  <c r="X405" i="5"/>
  <c r="AB405" i="5"/>
  <c r="B406" i="5"/>
  <c r="C406" i="5"/>
  <c r="D406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AC406" i="5"/>
  <c r="B407" i="5"/>
  <c r="C407" i="5"/>
  <c r="D407" i="5"/>
  <c r="E407" i="5"/>
  <c r="F407" i="5"/>
  <c r="G407" i="5"/>
  <c r="H407" i="5"/>
  <c r="I407" i="5"/>
  <c r="J407" i="5"/>
  <c r="K407" i="5"/>
  <c r="L407" i="5"/>
  <c r="M407" i="5"/>
  <c r="AC407" i="5" s="1"/>
  <c r="N407" i="5"/>
  <c r="O407" i="5"/>
  <c r="P407" i="5"/>
  <c r="Q407" i="5"/>
  <c r="R407" i="5"/>
  <c r="S407" i="5"/>
  <c r="T407" i="5"/>
  <c r="U407" i="5"/>
  <c r="V407" i="5"/>
  <c r="W407" i="5"/>
  <c r="X407" i="5"/>
  <c r="AB407" i="5"/>
  <c r="B408" i="5"/>
  <c r="C408" i="5"/>
  <c r="D408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Q408" i="5"/>
  <c r="R408" i="5"/>
  <c r="S408" i="5"/>
  <c r="T408" i="5"/>
  <c r="U408" i="5"/>
  <c r="V408" i="5"/>
  <c r="W408" i="5"/>
  <c r="X408" i="5"/>
  <c r="AC408" i="5"/>
  <c r="B409" i="5"/>
  <c r="C409" i="5"/>
  <c r="D409" i="5"/>
  <c r="E409" i="5"/>
  <c r="F409" i="5"/>
  <c r="G409" i="5"/>
  <c r="H409" i="5"/>
  <c r="I409" i="5"/>
  <c r="J409" i="5"/>
  <c r="K409" i="5"/>
  <c r="L409" i="5"/>
  <c r="M409" i="5"/>
  <c r="AC409" i="5" s="1"/>
  <c r="N409" i="5"/>
  <c r="O409" i="5"/>
  <c r="P409" i="5"/>
  <c r="Q409" i="5"/>
  <c r="R409" i="5"/>
  <c r="S409" i="5"/>
  <c r="T409" i="5"/>
  <c r="U409" i="5"/>
  <c r="V409" i="5"/>
  <c r="W409" i="5"/>
  <c r="X409" i="5"/>
  <c r="AB409" i="5"/>
  <c r="B410" i="5"/>
  <c r="C410" i="5"/>
  <c r="D410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AC410" i="5"/>
  <c r="B411" i="5"/>
  <c r="C411" i="5"/>
  <c r="D411" i="5"/>
  <c r="E411" i="5"/>
  <c r="F411" i="5"/>
  <c r="G411" i="5"/>
  <c r="H411" i="5"/>
  <c r="I411" i="5"/>
  <c r="J411" i="5"/>
  <c r="K411" i="5"/>
  <c r="L411" i="5"/>
  <c r="M411" i="5"/>
  <c r="AC411" i="5" s="1"/>
  <c r="N411" i="5"/>
  <c r="O411" i="5"/>
  <c r="P411" i="5"/>
  <c r="Q411" i="5"/>
  <c r="R411" i="5"/>
  <c r="S411" i="5"/>
  <c r="T411" i="5"/>
  <c r="U411" i="5"/>
  <c r="V411" i="5"/>
  <c r="W411" i="5"/>
  <c r="X411" i="5"/>
  <c r="AB411" i="5"/>
  <c r="B412" i="5"/>
  <c r="C412" i="5"/>
  <c r="D412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Q412" i="5"/>
  <c r="R412" i="5"/>
  <c r="S412" i="5"/>
  <c r="T412" i="5"/>
  <c r="U412" i="5"/>
  <c r="V412" i="5"/>
  <c r="W412" i="5"/>
  <c r="X412" i="5"/>
  <c r="AC412" i="5"/>
  <c r="B413" i="5"/>
  <c r="C413" i="5"/>
  <c r="D413" i="5"/>
  <c r="E413" i="5"/>
  <c r="F413" i="5"/>
  <c r="G413" i="5"/>
  <c r="H413" i="5"/>
  <c r="I413" i="5"/>
  <c r="J413" i="5"/>
  <c r="K413" i="5"/>
  <c r="L413" i="5"/>
  <c r="M413" i="5"/>
  <c r="AC413" i="5" s="1"/>
  <c r="N413" i="5"/>
  <c r="O413" i="5"/>
  <c r="P413" i="5"/>
  <c r="Q413" i="5"/>
  <c r="R413" i="5"/>
  <c r="S413" i="5"/>
  <c r="T413" i="5"/>
  <c r="U413" i="5"/>
  <c r="V413" i="5"/>
  <c r="W413" i="5"/>
  <c r="X413" i="5"/>
  <c r="AB413" i="5"/>
  <c r="B414" i="5"/>
  <c r="C414" i="5"/>
  <c r="D414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AC414" i="5"/>
  <c r="B415" i="5"/>
  <c r="C415" i="5"/>
  <c r="D415" i="5"/>
  <c r="E415" i="5"/>
  <c r="F415" i="5"/>
  <c r="G415" i="5"/>
  <c r="H415" i="5"/>
  <c r="I415" i="5"/>
  <c r="J415" i="5"/>
  <c r="K415" i="5"/>
  <c r="L415" i="5"/>
  <c r="M415" i="5"/>
  <c r="AC415" i="5" s="1"/>
  <c r="N415" i="5"/>
  <c r="O415" i="5"/>
  <c r="P415" i="5"/>
  <c r="Q415" i="5"/>
  <c r="R415" i="5"/>
  <c r="S415" i="5"/>
  <c r="T415" i="5"/>
  <c r="U415" i="5"/>
  <c r="V415" i="5"/>
  <c r="W415" i="5"/>
  <c r="X415" i="5"/>
  <c r="AB415" i="5"/>
  <c r="B416" i="5"/>
  <c r="C416" i="5"/>
  <c r="D416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Q416" i="5"/>
  <c r="R416" i="5"/>
  <c r="S416" i="5"/>
  <c r="T416" i="5"/>
  <c r="U416" i="5"/>
  <c r="V416" i="5"/>
  <c r="W416" i="5"/>
  <c r="X416" i="5"/>
  <c r="AC416" i="5"/>
  <c r="B417" i="5"/>
  <c r="C417" i="5"/>
  <c r="D417" i="5"/>
  <c r="E417" i="5"/>
  <c r="F417" i="5"/>
  <c r="G417" i="5"/>
  <c r="H417" i="5"/>
  <c r="I417" i="5"/>
  <c r="J417" i="5"/>
  <c r="K417" i="5"/>
  <c r="L417" i="5"/>
  <c r="M417" i="5"/>
  <c r="AC417" i="5" s="1"/>
  <c r="N417" i="5"/>
  <c r="O417" i="5"/>
  <c r="P417" i="5"/>
  <c r="Q417" i="5"/>
  <c r="R417" i="5"/>
  <c r="S417" i="5"/>
  <c r="T417" i="5"/>
  <c r="U417" i="5"/>
  <c r="V417" i="5"/>
  <c r="W417" i="5"/>
  <c r="X417" i="5"/>
  <c r="AB417" i="5"/>
  <c r="B418" i="5"/>
  <c r="C418" i="5"/>
  <c r="D418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AC418" i="5"/>
  <c r="B419" i="5"/>
  <c r="C419" i="5"/>
  <c r="D419" i="5"/>
  <c r="E419" i="5"/>
  <c r="F419" i="5"/>
  <c r="G419" i="5"/>
  <c r="H419" i="5"/>
  <c r="I419" i="5"/>
  <c r="J419" i="5"/>
  <c r="K419" i="5"/>
  <c r="L419" i="5"/>
  <c r="M419" i="5"/>
  <c r="AC419" i="5" s="1"/>
  <c r="N419" i="5"/>
  <c r="O419" i="5"/>
  <c r="P419" i="5"/>
  <c r="Q419" i="5"/>
  <c r="R419" i="5"/>
  <c r="S419" i="5"/>
  <c r="T419" i="5"/>
  <c r="U419" i="5"/>
  <c r="V419" i="5"/>
  <c r="W419" i="5"/>
  <c r="X419" i="5"/>
  <c r="AB419" i="5"/>
  <c r="B420" i="5"/>
  <c r="C420" i="5"/>
  <c r="D420" i="5"/>
  <c r="E420" i="5"/>
  <c r="F420" i="5"/>
  <c r="G420" i="5"/>
  <c r="H420" i="5"/>
  <c r="I420" i="5"/>
  <c r="J420" i="5"/>
  <c r="K420" i="5"/>
  <c r="L420" i="5"/>
  <c r="M420" i="5"/>
  <c r="N420" i="5"/>
  <c r="O420" i="5"/>
  <c r="P420" i="5"/>
  <c r="Q420" i="5"/>
  <c r="R420" i="5"/>
  <c r="S420" i="5"/>
  <c r="T420" i="5"/>
  <c r="U420" i="5"/>
  <c r="V420" i="5"/>
  <c r="W420" i="5"/>
  <c r="X420" i="5"/>
  <c r="AC420" i="5"/>
  <c r="B421" i="5"/>
  <c r="C421" i="5"/>
  <c r="D421" i="5"/>
  <c r="E421" i="5"/>
  <c r="F421" i="5"/>
  <c r="G421" i="5"/>
  <c r="H421" i="5"/>
  <c r="I421" i="5"/>
  <c r="J421" i="5"/>
  <c r="K421" i="5"/>
  <c r="L421" i="5"/>
  <c r="M421" i="5"/>
  <c r="AC421" i="5" s="1"/>
  <c r="N421" i="5"/>
  <c r="O421" i="5"/>
  <c r="P421" i="5"/>
  <c r="Q421" i="5"/>
  <c r="R421" i="5"/>
  <c r="S421" i="5"/>
  <c r="T421" i="5"/>
  <c r="U421" i="5"/>
  <c r="V421" i="5"/>
  <c r="W421" i="5"/>
  <c r="X421" i="5"/>
  <c r="AB421" i="5"/>
  <c r="B422" i="5"/>
  <c r="C422" i="5"/>
  <c r="D422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AC422" i="5"/>
  <c r="B423" i="5"/>
  <c r="C423" i="5"/>
  <c r="D423" i="5"/>
  <c r="E423" i="5"/>
  <c r="F423" i="5"/>
  <c r="G423" i="5"/>
  <c r="H423" i="5"/>
  <c r="I423" i="5"/>
  <c r="J423" i="5"/>
  <c r="K423" i="5"/>
  <c r="L423" i="5"/>
  <c r="M423" i="5"/>
  <c r="AC423" i="5" s="1"/>
  <c r="N423" i="5"/>
  <c r="O423" i="5"/>
  <c r="P423" i="5"/>
  <c r="Q423" i="5"/>
  <c r="R423" i="5"/>
  <c r="S423" i="5"/>
  <c r="T423" i="5"/>
  <c r="U423" i="5"/>
  <c r="V423" i="5"/>
  <c r="W423" i="5"/>
  <c r="X423" i="5"/>
  <c r="AB423" i="5"/>
  <c r="B424" i="5"/>
  <c r="C424" i="5"/>
  <c r="D424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Q424" i="5"/>
  <c r="R424" i="5"/>
  <c r="S424" i="5"/>
  <c r="T424" i="5"/>
  <c r="U424" i="5"/>
  <c r="V424" i="5"/>
  <c r="W424" i="5"/>
  <c r="X424" i="5"/>
  <c r="AC424" i="5"/>
  <c r="B425" i="5"/>
  <c r="C425" i="5"/>
  <c r="D425" i="5"/>
  <c r="E425" i="5"/>
  <c r="F425" i="5"/>
  <c r="G425" i="5"/>
  <c r="H425" i="5"/>
  <c r="I425" i="5"/>
  <c r="J425" i="5"/>
  <c r="K425" i="5"/>
  <c r="L425" i="5"/>
  <c r="M425" i="5"/>
  <c r="AC425" i="5" s="1"/>
  <c r="N425" i="5"/>
  <c r="O425" i="5"/>
  <c r="P425" i="5"/>
  <c r="Q425" i="5"/>
  <c r="R425" i="5"/>
  <c r="S425" i="5"/>
  <c r="T425" i="5"/>
  <c r="U425" i="5"/>
  <c r="V425" i="5"/>
  <c r="W425" i="5"/>
  <c r="X425" i="5"/>
  <c r="AB425" i="5"/>
  <c r="B426" i="5"/>
  <c r="C426" i="5"/>
  <c r="D426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AC426" i="5"/>
  <c r="B427" i="5"/>
  <c r="C427" i="5"/>
  <c r="D427" i="5"/>
  <c r="E427" i="5"/>
  <c r="F427" i="5"/>
  <c r="G427" i="5"/>
  <c r="H427" i="5"/>
  <c r="I427" i="5"/>
  <c r="J427" i="5"/>
  <c r="K427" i="5"/>
  <c r="L427" i="5"/>
  <c r="M427" i="5"/>
  <c r="AC427" i="5" s="1"/>
  <c r="N427" i="5"/>
  <c r="O427" i="5"/>
  <c r="P427" i="5"/>
  <c r="Q427" i="5"/>
  <c r="R427" i="5"/>
  <c r="S427" i="5"/>
  <c r="T427" i="5"/>
  <c r="U427" i="5"/>
  <c r="V427" i="5"/>
  <c r="W427" i="5"/>
  <c r="X427" i="5"/>
  <c r="AB427" i="5"/>
  <c r="B428" i="5"/>
  <c r="C428" i="5"/>
  <c r="D428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Q428" i="5"/>
  <c r="R428" i="5"/>
  <c r="S428" i="5"/>
  <c r="T428" i="5"/>
  <c r="U428" i="5"/>
  <c r="V428" i="5"/>
  <c r="W428" i="5"/>
  <c r="X428" i="5"/>
  <c r="AC428" i="5"/>
  <c r="B429" i="5"/>
  <c r="C429" i="5"/>
  <c r="D429" i="5"/>
  <c r="E429" i="5"/>
  <c r="F429" i="5"/>
  <c r="G429" i="5"/>
  <c r="H429" i="5"/>
  <c r="I429" i="5"/>
  <c r="J429" i="5"/>
  <c r="K429" i="5"/>
  <c r="L429" i="5"/>
  <c r="M429" i="5"/>
  <c r="AC429" i="5" s="1"/>
  <c r="N429" i="5"/>
  <c r="O429" i="5"/>
  <c r="P429" i="5"/>
  <c r="Q429" i="5"/>
  <c r="R429" i="5"/>
  <c r="S429" i="5"/>
  <c r="T429" i="5"/>
  <c r="U429" i="5"/>
  <c r="V429" i="5"/>
  <c r="W429" i="5"/>
  <c r="X429" i="5"/>
  <c r="AB429" i="5"/>
  <c r="B430" i="5"/>
  <c r="C430" i="5"/>
  <c r="D430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AC430" i="5"/>
  <c r="B431" i="5"/>
  <c r="C431" i="5"/>
  <c r="D431" i="5"/>
  <c r="E431" i="5"/>
  <c r="F431" i="5"/>
  <c r="G431" i="5"/>
  <c r="H431" i="5"/>
  <c r="I431" i="5"/>
  <c r="J431" i="5"/>
  <c r="K431" i="5"/>
  <c r="L431" i="5"/>
  <c r="M431" i="5"/>
  <c r="AC431" i="5" s="1"/>
  <c r="N431" i="5"/>
  <c r="O431" i="5"/>
  <c r="P431" i="5"/>
  <c r="Q431" i="5"/>
  <c r="R431" i="5"/>
  <c r="S431" i="5"/>
  <c r="T431" i="5"/>
  <c r="U431" i="5"/>
  <c r="V431" i="5"/>
  <c r="W431" i="5"/>
  <c r="X431" i="5"/>
  <c r="AB431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AC432" i="5"/>
  <c r="B433" i="5"/>
  <c r="C433" i="5"/>
  <c r="D433" i="5"/>
  <c r="E433" i="5"/>
  <c r="F433" i="5"/>
  <c r="G433" i="5"/>
  <c r="H433" i="5"/>
  <c r="I433" i="5"/>
  <c r="J433" i="5"/>
  <c r="K433" i="5"/>
  <c r="L433" i="5"/>
  <c r="M433" i="5"/>
  <c r="AC433" i="5" s="1"/>
  <c r="N433" i="5"/>
  <c r="O433" i="5"/>
  <c r="P433" i="5"/>
  <c r="Q433" i="5"/>
  <c r="R433" i="5"/>
  <c r="S433" i="5"/>
  <c r="T433" i="5"/>
  <c r="U433" i="5"/>
  <c r="V433" i="5"/>
  <c r="W433" i="5"/>
  <c r="X433" i="5"/>
  <c r="AB433" i="5"/>
  <c r="B434" i="5"/>
  <c r="C434" i="5"/>
  <c r="D434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AC434" i="5"/>
  <c r="B435" i="5"/>
  <c r="C435" i="5"/>
  <c r="D435" i="5"/>
  <c r="E435" i="5"/>
  <c r="F435" i="5"/>
  <c r="G435" i="5"/>
  <c r="H435" i="5"/>
  <c r="I435" i="5"/>
  <c r="J435" i="5"/>
  <c r="K435" i="5"/>
  <c r="L435" i="5"/>
  <c r="M435" i="5"/>
  <c r="AC435" i="5" s="1"/>
  <c r="N435" i="5"/>
  <c r="O435" i="5"/>
  <c r="P435" i="5"/>
  <c r="Q435" i="5"/>
  <c r="R435" i="5"/>
  <c r="S435" i="5"/>
  <c r="T435" i="5"/>
  <c r="U435" i="5"/>
  <c r="V435" i="5"/>
  <c r="W435" i="5"/>
  <c r="X435" i="5"/>
  <c r="AB435" i="5"/>
  <c r="B436" i="5"/>
  <c r="C436" i="5"/>
  <c r="D436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AC436" i="5"/>
  <c r="B437" i="5"/>
  <c r="C437" i="5"/>
  <c r="D437" i="5"/>
  <c r="E437" i="5"/>
  <c r="F437" i="5"/>
  <c r="G437" i="5"/>
  <c r="H437" i="5"/>
  <c r="I437" i="5"/>
  <c r="J437" i="5"/>
  <c r="K437" i="5"/>
  <c r="L437" i="5"/>
  <c r="M437" i="5"/>
  <c r="AC437" i="5" s="1"/>
  <c r="N437" i="5"/>
  <c r="O437" i="5"/>
  <c r="P437" i="5"/>
  <c r="Q437" i="5"/>
  <c r="R437" i="5"/>
  <c r="S437" i="5"/>
  <c r="T437" i="5"/>
  <c r="U437" i="5"/>
  <c r="V437" i="5"/>
  <c r="W437" i="5"/>
  <c r="X437" i="5"/>
  <c r="AB437" i="5"/>
  <c r="B438" i="5"/>
  <c r="C438" i="5"/>
  <c r="D438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AC438" i="5"/>
  <c r="B439" i="5"/>
  <c r="C439" i="5"/>
  <c r="D439" i="5"/>
  <c r="E439" i="5"/>
  <c r="F439" i="5"/>
  <c r="G439" i="5"/>
  <c r="H439" i="5"/>
  <c r="I439" i="5"/>
  <c r="J439" i="5"/>
  <c r="K439" i="5"/>
  <c r="L439" i="5"/>
  <c r="M439" i="5"/>
  <c r="AC439" i="5" s="1"/>
  <c r="N439" i="5"/>
  <c r="O439" i="5"/>
  <c r="P439" i="5"/>
  <c r="Q439" i="5"/>
  <c r="R439" i="5"/>
  <c r="S439" i="5"/>
  <c r="T439" i="5"/>
  <c r="U439" i="5"/>
  <c r="V439" i="5"/>
  <c r="W439" i="5"/>
  <c r="X439" i="5"/>
  <c r="AB439" i="5"/>
  <c r="B440" i="5"/>
  <c r="C440" i="5"/>
  <c r="D440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AC440" i="5"/>
  <c r="B441" i="5"/>
  <c r="C441" i="5"/>
  <c r="D441" i="5"/>
  <c r="E441" i="5"/>
  <c r="F441" i="5"/>
  <c r="G441" i="5"/>
  <c r="H441" i="5"/>
  <c r="I441" i="5"/>
  <c r="J441" i="5"/>
  <c r="K441" i="5"/>
  <c r="L441" i="5"/>
  <c r="M441" i="5"/>
  <c r="AC441" i="5" s="1"/>
  <c r="N441" i="5"/>
  <c r="O441" i="5"/>
  <c r="P441" i="5"/>
  <c r="Q441" i="5"/>
  <c r="R441" i="5"/>
  <c r="S441" i="5"/>
  <c r="T441" i="5"/>
  <c r="U441" i="5"/>
  <c r="V441" i="5"/>
  <c r="W441" i="5"/>
  <c r="X441" i="5"/>
  <c r="AB441" i="5"/>
  <c r="B442" i="5"/>
  <c r="C442" i="5"/>
  <c r="D442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AC442" i="5"/>
  <c r="B443" i="5"/>
  <c r="C443" i="5"/>
  <c r="D443" i="5"/>
  <c r="E443" i="5"/>
  <c r="F443" i="5"/>
  <c r="G443" i="5"/>
  <c r="H443" i="5"/>
  <c r="I443" i="5"/>
  <c r="J443" i="5"/>
  <c r="K443" i="5"/>
  <c r="L443" i="5"/>
  <c r="M443" i="5"/>
  <c r="AC443" i="5" s="1"/>
  <c r="N443" i="5"/>
  <c r="O443" i="5"/>
  <c r="P443" i="5"/>
  <c r="Q443" i="5"/>
  <c r="R443" i="5"/>
  <c r="S443" i="5"/>
  <c r="T443" i="5"/>
  <c r="U443" i="5"/>
  <c r="V443" i="5"/>
  <c r="W443" i="5"/>
  <c r="X443" i="5"/>
  <c r="AB443" i="5"/>
  <c r="B444" i="5"/>
  <c r="C444" i="5"/>
  <c r="D444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AC444" i="5"/>
  <c r="B445" i="5"/>
  <c r="C445" i="5"/>
  <c r="D445" i="5"/>
  <c r="E445" i="5"/>
  <c r="F445" i="5"/>
  <c r="G445" i="5"/>
  <c r="H445" i="5"/>
  <c r="I445" i="5"/>
  <c r="J445" i="5"/>
  <c r="K445" i="5"/>
  <c r="L445" i="5"/>
  <c r="M445" i="5"/>
  <c r="AC445" i="5" s="1"/>
  <c r="N445" i="5"/>
  <c r="O445" i="5"/>
  <c r="P445" i="5"/>
  <c r="Q445" i="5"/>
  <c r="R445" i="5"/>
  <c r="S445" i="5"/>
  <c r="T445" i="5"/>
  <c r="U445" i="5"/>
  <c r="V445" i="5"/>
  <c r="W445" i="5"/>
  <c r="X445" i="5"/>
  <c r="AB445" i="5"/>
  <c r="B446" i="5"/>
  <c r="C446" i="5"/>
  <c r="D446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AC446" i="5"/>
  <c r="B447" i="5"/>
  <c r="C447" i="5"/>
  <c r="D447" i="5"/>
  <c r="E447" i="5"/>
  <c r="F447" i="5"/>
  <c r="G447" i="5"/>
  <c r="H447" i="5"/>
  <c r="I447" i="5"/>
  <c r="J447" i="5"/>
  <c r="K447" i="5"/>
  <c r="L447" i="5"/>
  <c r="M447" i="5"/>
  <c r="AC447" i="5" s="1"/>
  <c r="N447" i="5"/>
  <c r="O447" i="5"/>
  <c r="P447" i="5"/>
  <c r="Q447" i="5"/>
  <c r="R447" i="5"/>
  <c r="S447" i="5"/>
  <c r="T447" i="5"/>
  <c r="U447" i="5"/>
  <c r="V447" i="5"/>
  <c r="W447" i="5"/>
  <c r="X447" i="5"/>
  <c r="AB447" i="5"/>
  <c r="B448" i="5"/>
  <c r="C448" i="5"/>
  <c r="D448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AC448" i="5"/>
  <c r="B449" i="5"/>
  <c r="C449" i="5"/>
  <c r="D449" i="5"/>
  <c r="E449" i="5"/>
  <c r="F449" i="5"/>
  <c r="G449" i="5"/>
  <c r="H449" i="5"/>
  <c r="I449" i="5"/>
  <c r="J449" i="5"/>
  <c r="K449" i="5"/>
  <c r="L449" i="5"/>
  <c r="M449" i="5"/>
  <c r="AC449" i="5" s="1"/>
  <c r="N449" i="5"/>
  <c r="O449" i="5"/>
  <c r="P449" i="5"/>
  <c r="Q449" i="5"/>
  <c r="R449" i="5"/>
  <c r="S449" i="5"/>
  <c r="T449" i="5"/>
  <c r="U449" i="5"/>
  <c r="V449" i="5"/>
  <c r="W449" i="5"/>
  <c r="X449" i="5"/>
  <c r="AB449" i="5"/>
  <c r="B450" i="5"/>
  <c r="C450" i="5"/>
  <c r="D450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AC450" i="5"/>
  <c r="B451" i="5"/>
  <c r="C451" i="5"/>
  <c r="D451" i="5"/>
  <c r="E451" i="5"/>
  <c r="F451" i="5"/>
  <c r="G451" i="5"/>
  <c r="H451" i="5"/>
  <c r="I451" i="5"/>
  <c r="J451" i="5"/>
  <c r="K451" i="5"/>
  <c r="L451" i="5"/>
  <c r="M451" i="5"/>
  <c r="AC451" i="5" s="1"/>
  <c r="N451" i="5"/>
  <c r="O451" i="5"/>
  <c r="P451" i="5"/>
  <c r="Q451" i="5"/>
  <c r="R451" i="5"/>
  <c r="S451" i="5"/>
  <c r="T451" i="5"/>
  <c r="U451" i="5"/>
  <c r="V451" i="5"/>
  <c r="W451" i="5"/>
  <c r="X451" i="5"/>
  <c r="AB451" i="5"/>
  <c r="B452" i="5"/>
  <c r="C452" i="5"/>
  <c r="D452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AC452" i="5"/>
  <c r="B453" i="5"/>
  <c r="C453" i="5"/>
  <c r="D453" i="5"/>
  <c r="E453" i="5"/>
  <c r="F453" i="5"/>
  <c r="G453" i="5"/>
  <c r="H453" i="5"/>
  <c r="I453" i="5"/>
  <c r="J453" i="5"/>
  <c r="K453" i="5"/>
  <c r="L453" i="5"/>
  <c r="M453" i="5"/>
  <c r="AC453" i="5" s="1"/>
  <c r="N453" i="5"/>
  <c r="O453" i="5"/>
  <c r="P453" i="5"/>
  <c r="Q453" i="5"/>
  <c r="R453" i="5"/>
  <c r="S453" i="5"/>
  <c r="T453" i="5"/>
  <c r="U453" i="5"/>
  <c r="V453" i="5"/>
  <c r="W453" i="5"/>
  <c r="X453" i="5"/>
  <c r="AB453" i="5"/>
  <c r="B454" i="5"/>
  <c r="C454" i="5"/>
  <c r="D454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AC454" i="5"/>
  <c r="B455" i="5"/>
  <c r="C455" i="5"/>
  <c r="D455" i="5"/>
  <c r="E455" i="5"/>
  <c r="F455" i="5"/>
  <c r="G455" i="5"/>
  <c r="H455" i="5"/>
  <c r="I455" i="5"/>
  <c r="J455" i="5"/>
  <c r="K455" i="5"/>
  <c r="L455" i="5"/>
  <c r="M455" i="5"/>
  <c r="AC455" i="5" s="1"/>
  <c r="N455" i="5"/>
  <c r="O455" i="5"/>
  <c r="P455" i="5"/>
  <c r="Q455" i="5"/>
  <c r="R455" i="5"/>
  <c r="S455" i="5"/>
  <c r="T455" i="5"/>
  <c r="U455" i="5"/>
  <c r="V455" i="5"/>
  <c r="W455" i="5"/>
  <c r="X455" i="5"/>
  <c r="AB455" i="5"/>
  <c r="B456" i="5"/>
  <c r="C456" i="5"/>
  <c r="D456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AC456" i="5"/>
  <c r="B457" i="5"/>
  <c r="C457" i="5"/>
  <c r="D457" i="5"/>
  <c r="E457" i="5"/>
  <c r="F457" i="5"/>
  <c r="G457" i="5"/>
  <c r="H457" i="5"/>
  <c r="I457" i="5"/>
  <c r="J457" i="5"/>
  <c r="K457" i="5"/>
  <c r="L457" i="5"/>
  <c r="M457" i="5"/>
  <c r="AC457" i="5" s="1"/>
  <c r="N457" i="5"/>
  <c r="O457" i="5"/>
  <c r="P457" i="5"/>
  <c r="Q457" i="5"/>
  <c r="R457" i="5"/>
  <c r="S457" i="5"/>
  <c r="T457" i="5"/>
  <c r="U457" i="5"/>
  <c r="V457" i="5"/>
  <c r="W457" i="5"/>
  <c r="X457" i="5"/>
  <c r="AB457" i="5"/>
  <c r="B458" i="5"/>
  <c r="C458" i="5"/>
  <c r="D458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AC458" i="5"/>
  <c r="B459" i="5"/>
  <c r="C459" i="5"/>
  <c r="D459" i="5"/>
  <c r="E459" i="5"/>
  <c r="F459" i="5"/>
  <c r="G459" i="5"/>
  <c r="H459" i="5"/>
  <c r="I459" i="5"/>
  <c r="J459" i="5"/>
  <c r="K459" i="5"/>
  <c r="L459" i="5"/>
  <c r="M459" i="5"/>
  <c r="AC459" i="5" s="1"/>
  <c r="N459" i="5"/>
  <c r="O459" i="5"/>
  <c r="P459" i="5"/>
  <c r="Q459" i="5"/>
  <c r="R459" i="5"/>
  <c r="S459" i="5"/>
  <c r="T459" i="5"/>
  <c r="U459" i="5"/>
  <c r="V459" i="5"/>
  <c r="W459" i="5"/>
  <c r="X459" i="5"/>
  <c r="AB459" i="5"/>
  <c r="B460" i="5"/>
  <c r="C460" i="5"/>
  <c r="D460" i="5"/>
  <c r="E460" i="5"/>
  <c r="F460" i="5"/>
  <c r="G460" i="5"/>
  <c r="H460" i="5"/>
  <c r="I460" i="5"/>
  <c r="J460" i="5"/>
  <c r="K460" i="5"/>
  <c r="L460" i="5"/>
  <c r="M460" i="5"/>
  <c r="N460" i="5"/>
  <c r="O460" i="5"/>
  <c r="P460" i="5"/>
  <c r="Q460" i="5"/>
  <c r="R460" i="5"/>
  <c r="S460" i="5"/>
  <c r="T460" i="5"/>
  <c r="U460" i="5"/>
  <c r="V460" i="5"/>
  <c r="W460" i="5"/>
  <c r="X460" i="5"/>
  <c r="AC460" i="5"/>
  <c r="B461" i="5"/>
  <c r="C461" i="5"/>
  <c r="D461" i="5"/>
  <c r="E461" i="5"/>
  <c r="F461" i="5"/>
  <c r="G461" i="5"/>
  <c r="H461" i="5"/>
  <c r="I461" i="5"/>
  <c r="J461" i="5"/>
  <c r="K461" i="5"/>
  <c r="L461" i="5"/>
  <c r="M461" i="5"/>
  <c r="AC461" i="5" s="1"/>
  <c r="N461" i="5"/>
  <c r="O461" i="5"/>
  <c r="P461" i="5"/>
  <c r="Q461" i="5"/>
  <c r="R461" i="5"/>
  <c r="S461" i="5"/>
  <c r="T461" i="5"/>
  <c r="U461" i="5"/>
  <c r="V461" i="5"/>
  <c r="W461" i="5"/>
  <c r="X461" i="5"/>
  <c r="AB461" i="5"/>
  <c r="B462" i="5"/>
  <c r="C462" i="5"/>
  <c r="D462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AC462" i="5"/>
  <c r="B463" i="5"/>
  <c r="C463" i="5"/>
  <c r="D463" i="5"/>
  <c r="E463" i="5"/>
  <c r="F463" i="5"/>
  <c r="G463" i="5"/>
  <c r="H463" i="5"/>
  <c r="I463" i="5"/>
  <c r="J463" i="5"/>
  <c r="K463" i="5"/>
  <c r="L463" i="5"/>
  <c r="M463" i="5"/>
  <c r="AC463" i="5" s="1"/>
  <c r="N463" i="5"/>
  <c r="O463" i="5"/>
  <c r="P463" i="5"/>
  <c r="Q463" i="5"/>
  <c r="R463" i="5"/>
  <c r="S463" i="5"/>
  <c r="T463" i="5"/>
  <c r="U463" i="5"/>
  <c r="V463" i="5"/>
  <c r="W463" i="5"/>
  <c r="X463" i="5"/>
  <c r="AB463" i="5"/>
  <c r="B464" i="5"/>
  <c r="C464" i="5"/>
  <c r="D464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AC464" i="5"/>
  <c r="B465" i="5"/>
  <c r="C465" i="5"/>
  <c r="D465" i="5"/>
  <c r="E465" i="5"/>
  <c r="F465" i="5"/>
  <c r="G465" i="5"/>
  <c r="H465" i="5"/>
  <c r="I465" i="5"/>
  <c r="J465" i="5"/>
  <c r="K465" i="5"/>
  <c r="L465" i="5"/>
  <c r="M465" i="5"/>
  <c r="AC465" i="5" s="1"/>
  <c r="N465" i="5"/>
  <c r="O465" i="5"/>
  <c r="P465" i="5"/>
  <c r="Q465" i="5"/>
  <c r="R465" i="5"/>
  <c r="S465" i="5"/>
  <c r="T465" i="5"/>
  <c r="U465" i="5"/>
  <c r="V465" i="5"/>
  <c r="W465" i="5"/>
  <c r="X465" i="5"/>
  <c r="AB465" i="5"/>
  <c r="B466" i="5"/>
  <c r="C466" i="5"/>
  <c r="D466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AC466" i="5"/>
  <c r="B467" i="5"/>
  <c r="C467" i="5"/>
  <c r="D467" i="5"/>
  <c r="E467" i="5"/>
  <c r="F467" i="5"/>
  <c r="G467" i="5"/>
  <c r="H467" i="5"/>
  <c r="I467" i="5"/>
  <c r="J467" i="5"/>
  <c r="K467" i="5"/>
  <c r="L467" i="5"/>
  <c r="M467" i="5"/>
  <c r="AC467" i="5" s="1"/>
  <c r="N467" i="5"/>
  <c r="O467" i="5"/>
  <c r="P467" i="5"/>
  <c r="Q467" i="5"/>
  <c r="R467" i="5"/>
  <c r="S467" i="5"/>
  <c r="T467" i="5"/>
  <c r="U467" i="5"/>
  <c r="V467" i="5"/>
  <c r="W467" i="5"/>
  <c r="X467" i="5"/>
  <c r="AB467" i="5"/>
  <c r="B468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AC468" i="5"/>
  <c r="B469" i="5"/>
  <c r="C469" i="5"/>
  <c r="D469" i="5"/>
  <c r="E469" i="5"/>
  <c r="F469" i="5"/>
  <c r="G469" i="5"/>
  <c r="H469" i="5"/>
  <c r="I469" i="5"/>
  <c r="J469" i="5"/>
  <c r="K469" i="5"/>
  <c r="L469" i="5"/>
  <c r="M469" i="5"/>
  <c r="AC469" i="5" s="1"/>
  <c r="N469" i="5"/>
  <c r="O469" i="5"/>
  <c r="P469" i="5"/>
  <c r="Q469" i="5"/>
  <c r="R469" i="5"/>
  <c r="S469" i="5"/>
  <c r="T469" i="5"/>
  <c r="U469" i="5"/>
  <c r="V469" i="5"/>
  <c r="W469" i="5"/>
  <c r="X469" i="5"/>
  <c r="AB469" i="5"/>
  <c r="B470" i="5"/>
  <c r="C470" i="5"/>
  <c r="D470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AC470" i="5"/>
  <c r="B471" i="5"/>
  <c r="C471" i="5"/>
  <c r="D471" i="5"/>
  <c r="E471" i="5"/>
  <c r="F471" i="5"/>
  <c r="G471" i="5"/>
  <c r="H471" i="5"/>
  <c r="I471" i="5"/>
  <c r="J471" i="5"/>
  <c r="K471" i="5"/>
  <c r="L471" i="5"/>
  <c r="M471" i="5"/>
  <c r="AC471" i="5" s="1"/>
  <c r="N471" i="5"/>
  <c r="O471" i="5"/>
  <c r="P471" i="5"/>
  <c r="Q471" i="5"/>
  <c r="R471" i="5"/>
  <c r="S471" i="5"/>
  <c r="T471" i="5"/>
  <c r="U471" i="5"/>
  <c r="V471" i="5"/>
  <c r="W471" i="5"/>
  <c r="X471" i="5"/>
  <c r="AB471" i="5"/>
  <c r="B472" i="5"/>
  <c r="C472" i="5"/>
  <c r="D472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AC472" i="5"/>
  <c r="B473" i="5"/>
  <c r="C473" i="5"/>
  <c r="D473" i="5"/>
  <c r="E473" i="5"/>
  <c r="F473" i="5"/>
  <c r="G473" i="5"/>
  <c r="H473" i="5"/>
  <c r="I473" i="5"/>
  <c r="J473" i="5"/>
  <c r="K473" i="5"/>
  <c r="L473" i="5"/>
  <c r="M473" i="5"/>
  <c r="AC473" i="5" s="1"/>
  <c r="N473" i="5"/>
  <c r="O473" i="5"/>
  <c r="P473" i="5"/>
  <c r="Q473" i="5"/>
  <c r="R473" i="5"/>
  <c r="S473" i="5"/>
  <c r="T473" i="5"/>
  <c r="U473" i="5"/>
  <c r="V473" i="5"/>
  <c r="W473" i="5"/>
  <c r="X473" i="5"/>
  <c r="AB473" i="5"/>
  <c r="B474" i="5"/>
  <c r="C474" i="5"/>
  <c r="D474" i="5"/>
  <c r="E474" i="5"/>
  <c r="F474" i="5"/>
  <c r="G474" i="5"/>
  <c r="H474" i="5"/>
  <c r="I474" i="5"/>
  <c r="J474" i="5"/>
  <c r="K474" i="5"/>
  <c r="L474" i="5"/>
  <c r="M474" i="5"/>
  <c r="N474" i="5"/>
  <c r="O474" i="5"/>
  <c r="P474" i="5"/>
  <c r="Q474" i="5"/>
  <c r="R474" i="5"/>
  <c r="S474" i="5"/>
  <c r="T474" i="5"/>
  <c r="U474" i="5"/>
  <c r="V474" i="5"/>
  <c r="W474" i="5"/>
  <c r="X474" i="5"/>
  <c r="AC474" i="5"/>
  <c r="B475" i="5"/>
  <c r="C475" i="5"/>
  <c r="D475" i="5"/>
  <c r="E475" i="5"/>
  <c r="F475" i="5"/>
  <c r="G475" i="5"/>
  <c r="H475" i="5"/>
  <c r="I475" i="5"/>
  <c r="J475" i="5"/>
  <c r="K475" i="5"/>
  <c r="L475" i="5"/>
  <c r="M475" i="5"/>
  <c r="AC475" i="5" s="1"/>
  <c r="N475" i="5"/>
  <c r="O475" i="5"/>
  <c r="P475" i="5"/>
  <c r="Q475" i="5"/>
  <c r="R475" i="5"/>
  <c r="S475" i="5"/>
  <c r="T475" i="5"/>
  <c r="U475" i="5"/>
  <c r="V475" i="5"/>
  <c r="W475" i="5"/>
  <c r="X475" i="5"/>
  <c r="AB475" i="5"/>
  <c r="B476" i="5"/>
  <c r="C476" i="5"/>
  <c r="D476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AC476" i="5"/>
  <c r="B477" i="5"/>
  <c r="C477" i="5"/>
  <c r="D477" i="5"/>
  <c r="E477" i="5"/>
  <c r="F477" i="5"/>
  <c r="G477" i="5"/>
  <c r="H477" i="5"/>
  <c r="I477" i="5"/>
  <c r="J477" i="5"/>
  <c r="K477" i="5"/>
  <c r="L477" i="5"/>
  <c r="M477" i="5"/>
  <c r="AC477" i="5" s="1"/>
  <c r="N477" i="5"/>
  <c r="O477" i="5"/>
  <c r="P477" i="5"/>
  <c r="Q477" i="5"/>
  <c r="R477" i="5"/>
  <c r="S477" i="5"/>
  <c r="T477" i="5"/>
  <c r="U477" i="5"/>
  <c r="V477" i="5"/>
  <c r="W477" i="5"/>
  <c r="X477" i="5"/>
  <c r="AB477" i="5"/>
  <c r="B478" i="5"/>
  <c r="C478" i="5"/>
  <c r="D478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AC478" i="5"/>
  <c r="B479" i="5"/>
  <c r="C479" i="5"/>
  <c r="D479" i="5"/>
  <c r="E479" i="5"/>
  <c r="F479" i="5"/>
  <c r="G479" i="5"/>
  <c r="H479" i="5"/>
  <c r="I479" i="5"/>
  <c r="J479" i="5"/>
  <c r="K479" i="5"/>
  <c r="L479" i="5"/>
  <c r="M479" i="5"/>
  <c r="AC479" i="5" s="1"/>
  <c r="N479" i="5"/>
  <c r="O479" i="5"/>
  <c r="P479" i="5"/>
  <c r="Q479" i="5"/>
  <c r="R479" i="5"/>
  <c r="S479" i="5"/>
  <c r="T479" i="5"/>
  <c r="U479" i="5"/>
  <c r="V479" i="5"/>
  <c r="W479" i="5"/>
  <c r="X479" i="5"/>
  <c r="AB479" i="5"/>
  <c r="B480" i="5"/>
  <c r="C480" i="5"/>
  <c r="D480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AC480" i="5"/>
  <c r="B481" i="5"/>
  <c r="C481" i="5"/>
  <c r="D481" i="5"/>
  <c r="E481" i="5"/>
  <c r="F481" i="5"/>
  <c r="G481" i="5"/>
  <c r="H481" i="5"/>
  <c r="I481" i="5"/>
  <c r="J481" i="5"/>
  <c r="K481" i="5"/>
  <c r="L481" i="5"/>
  <c r="M481" i="5"/>
  <c r="AC481" i="5" s="1"/>
  <c r="N481" i="5"/>
  <c r="O481" i="5"/>
  <c r="P481" i="5"/>
  <c r="Q481" i="5"/>
  <c r="R481" i="5"/>
  <c r="S481" i="5"/>
  <c r="T481" i="5"/>
  <c r="U481" i="5"/>
  <c r="V481" i="5"/>
  <c r="W481" i="5"/>
  <c r="X481" i="5"/>
  <c r="AB481" i="5"/>
  <c r="B482" i="5"/>
  <c r="C482" i="5"/>
  <c r="D482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AC482" i="5"/>
  <c r="B483" i="5"/>
  <c r="C483" i="5"/>
  <c r="D483" i="5"/>
  <c r="E483" i="5"/>
  <c r="F483" i="5"/>
  <c r="G483" i="5"/>
  <c r="H483" i="5"/>
  <c r="I483" i="5"/>
  <c r="J483" i="5"/>
  <c r="K483" i="5"/>
  <c r="L483" i="5"/>
  <c r="M483" i="5"/>
  <c r="AC483" i="5" s="1"/>
  <c r="N483" i="5"/>
  <c r="O483" i="5"/>
  <c r="P483" i="5"/>
  <c r="Q483" i="5"/>
  <c r="R483" i="5"/>
  <c r="S483" i="5"/>
  <c r="T483" i="5"/>
  <c r="U483" i="5"/>
  <c r="V483" i="5"/>
  <c r="W483" i="5"/>
  <c r="X483" i="5"/>
  <c r="AB483" i="5"/>
  <c r="B484" i="5"/>
  <c r="C484" i="5"/>
  <c r="D484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AC484" i="5"/>
  <c r="B485" i="5"/>
  <c r="C485" i="5"/>
  <c r="D485" i="5"/>
  <c r="E485" i="5"/>
  <c r="F485" i="5"/>
  <c r="G485" i="5"/>
  <c r="H485" i="5"/>
  <c r="I485" i="5"/>
  <c r="J485" i="5"/>
  <c r="K485" i="5"/>
  <c r="L485" i="5"/>
  <c r="M485" i="5"/>
  <c r="AC485" i="5" s="1"/>
  <c r="N485" i="5"/>
  <c r="O485" i="5"/>
  <c r="P485" i="5"/>
  <c r="Q485" i="5"/>
  <c r="R485" i="5"/>
  <c r="S485" i="5"/>
  <c r="T485" i="5"/>
  <c r="U485" i="5"/>
  <c r="V485" i="5"/>
  <c r="W485" i="5"/>
  <c r="X485" i="5"/>
  <c r="AB485" i="5"/>
  <c r="B486" i="5"/>
  <c r="C486" i="5"/>
  <c r="D486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AC486" i="5"/>
  <c r="B487" i="5"/>
  <c r="C487" i="5"/>
  <c r="D487" i="5"/>
  <c r="E487" i="5"/>
  <c r="F487" i="5"/>
  <c r="G487" i="5"/>
  <c r="H487" i="5"/>
  <c r="I487" i="5"/>
  <c r="J487" i="5"/>
  <c r="K487" i="5"/>
  <c r="L487" i="5"/>
  <c r="M487" i="5"/>
  <c r="AC487" i="5" s="1"/>
  <c r="N487" i="5"/>
  <c r="O487" i="5"/>
  <c r="P487" i="5"/>
  <c r="Q487" i="5"/>
  <c r="R487" i="5"/>
  <c r="S487" i="5"/>
  <c r="T487" i="5"/>
  <c r="U487" i="5"/>
  <c r="V487" i="5"/>
  <c r="W487" i="5"/>
  <c r="X487" i="5"/>
  <c r="AB487" i="5"/>
  <c r="B488" i="5"/>
  <c r="C488" i="5"/>
  <c r="D488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AC488" i="5"/>
  <c r="B489" i="5"/>
  <c r="C489" i="5"/>
  <c r="D489" i="5"/>
  <c r="E489" i="5"/>
  <c r="F489" i="5"/>
  <c r="G489" i="5"/>
  <c r="H489" i="5"/>
  <c r="I489" i="5"/>
  <c r="J489" i="5"/>
  <c r="K489" i="5"/>
  <c r="L489" i="5"/>
  <c r="M489" i="5"/>
  <c r="AC489" i="5" s="1"/>
  <c r="N489" i="5"/>
  <c r="O489" i="5"/>
  <c r="P489" i="5"/>
  <c r="Q489" i="5"/>
  <c r="R489" i="5"/>
  <c r="S489" i="5"/>
  <c r="T489" i="5"/>
  <c r="U489" i="5"/>
  <c r="V489" i="5"/>
  <c r="W489" i="5"/>
  <c r="X489" i="5"/>
  <c r="AB489" i="5"/>
  <c r="B490" i="5"/>
  <c r="C490" i="5"/>
  <c r="D490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AC490" i="5"/>
  <c r="B491" i="5"/>
  <c r="C491" i="5"/>
  <c r="D491" i="5"/>
  <c r="E491" i="5"/>
  <c r="F491" i="5"/>
  <c r="G491" i="5"/>
  <c r="H491" i="5"/>
  <c r="I491" i="5"/>
  <c r="J491" i="5"/>
  <c r="K491" i="5"/>
  <c r="L491" i="5"/>
  <c r="M491" i="5"/>
  <c r="AC491" i="5" s="1"/>
  <c r="N491" i="5"/>
  <c r="O491" i="5"/>
  <c r="P491" i="5"/>
  <c r="Q491" i="5"/>
  <c r="R491" i="5"/>
  <c r="S491" i="5"/>
  <c r="T491" i="5"/>
  <c r="U491" i="5"/>
  <c r="V491" i="5"/>
  <c r="W491" i="5"/>
  <c r="X491" i="5"/>
  <c r="AB491" i="5"/>
  <c r="B492" i="5"/>
  <c r="C492" i="5"/>
  <c r="D492" i="5"/>
  <c r="E492" i="5"/>
  <c r="F492" i="5"/>
  <c r="G492" i="5"/>
  <c r="H492" i="5"/>
  <c r="I492" i="5"/>
  <c r="J492" i="5"/>
  <c r="K492" i="5"/>
  <c r="L492" i="5"/>
  <c r="M492" i="5"/>
  <c r="N492" i="5"/>
  <c r="O492" i="5"/>
  <c r="P492" i="5"/>
  <c r="Q492" i="5"/>
  <c r="R492" i="5"/>
  <c r="S492" i="5"/>
  <c r="T492" i="5"/>
  <c r="U492" i="5"/>
  <c r="V492" i="5"/>
  <c r="W492" i="5"/>
  <c r="X492" i="5"/>
  <c r="AC492" i="5"/>
  <c r="B493" i="5"/>
  <c r="C493" i="5"/>
  <c r="D493" i="5"/>
  <c r="E493" i="5"/>
  <c r="F493" i="5"/>
  <c r="G493" i="5"/>
  <c r="H493" i="5"/>
  <c r="I493" i="5"/>
  <c r="J493" i="5"/>
  <c r="K493" i="5"/>
  <c r="L493" i="5"/>
  <c r="M493" i="5"/>
  <c r="AC493" i="5" s="1"/>
  <c r="N493" i="5"/>
  <c r="O493" i="5"/>
  <c r="P493" i="5"/>
  <c r="Q493" i="5"/>
  <c r="R493" i="5"/>
  <c r="S493" i="5"/>
  <c r="T493" i="5"/>
  <c r="U493" i="5"/>
  <c r="V493" i="5"/>
  <c r="W493" i="5"/>
  <c r="X493" i="5"/>
  <c r="AB493" i="5"/>
  <c r="B494" i="5"/>
  <c r="C494" i="5"/>
  <c r="D494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AC494" i="5"/>
  <c r="B495" i="5"/>
  <c r="C495" i="5"/>
  <c r="D495" i="5"/>
  <c r="E495" i="5"/>
  <c r="F495" i="5"/>
  <c r="G495" i="5"/>
  <c r="H495" i="5"/>
  <c r="I495" i="5"/>
  <c r="J495" i="5"/>
  <c r="K495" i="5"/>
  <c r="L495" i="5"/>
  <c r="M495" i="5"/>
  <c r="AC495" i="5" s="1"/>
  <c r="N495" i="5"/>
  <c r="O495" i="5"/>
  <c r="P495" i="5"/>
  <c r="Q495" i="5"/>
  <c r="R495" i="5"/>
  <c r="S495" i="5"/>
  <c r="T495" i="5"/>
  <c r="U495" i="5"/>
  <c r="V495" i="5"/>
  <c r="W495" i="5"/>
  <c r="X495" i="5"/>
  <c r="AB495" i="5"/>
  <c r="B496" i="5"/>
  <c r="C496" i="5"/>
  <c r="D496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AC496" i="5"/>
  <c r="B497" i="5"/>
  <c r="C497" i="5"/>
  <c r="D497" i="5"/>
  <c r="E497" i="5"/>
  <c r="F497" i="5"/>
  <c r="G497" i="5"/>
  <c r="H497" i="5"/>
  <c r="I497" i="5"/>
  <c r="J497" i="5"/>
  <c r="K497" i="5"/>
  <c r="L497" i="5"/>
  <c r="M497" i="5"/>
  <c r="AC497" i="5" s="1"/>
  <c r="N497" i="5"/>
  <c r="O497" i="5"/>
  <c r="P497" i="5"/>
  <c r="Q497" i="5"/>
  <c r="R497" i="5"/>
  <c r="S497" i="5"/>
  <c r="T497" i="5"/>
  <c r="U497" i="5"/>
  <c r="V497" i="5"/>
  <c r="W497" i="5"/>
  <c r="X497" i="5"/>
  <c r="AB497" i="5"/>
  <c r="B498" i="5"/>
  <c r="C498" i="5"/>
  <c r="D498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AC498" i="5"/>
  <c r="B499" i="5"/>
  <c r="C499" i="5"/>
  <c r="D499" i="5"/>
  <c r="E499" i="5"/>
  <c r="F499" i="5"/>
  <c r="G499" i="5"/>
  <c r="H499" i="5"/>
  <c r="I499" i="5"/>
  <c r="J499" i="5"/>
  <c r="K499" i="5"/>
  <c r="L499" i="5"/>
  <c r="M499" i="5"/>
  <c r="AC499" i="5" s="1"/>
  <c r="N499" i="5"/>
  <c r="O499" i="5"/>
  <c r="P499" i="5"/>
  <c r="Q499" i="5"/>
  <c r="R499" i="5"/>
  <c r="S499" i="5"/>
  <c r="T499" i="5"/>
  <c r="U499" i="5"/>
  <c r="V499" i="5"/>
  <c r="W499" i="5"/>
  <c r="X499" i="5"/>
  <c r="AB499" i="5"/>
  <c r="B500" i="5"/>
  <c r="C500" i="5"/>
  <c r="D500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AC500" i="5"/>
  <c r="B501" i="5"/>
  <c r="C501" i="5"/>
  <c r="D501" i="5"/>
  <c r="E501" i="5"/>
  <c r="F501" i="5"/>
  <c r="G501" i="5"/>
  <c r="H501" i="5"/>
  <c r="I501" i="5"/>
  <c r="J501" i="5"/>
  <c r="K501" i="5"/>
  <c r="L501" i="5"/>
  <c r="M501" i="5"/>
  <c r="AC501" i="5" s="1"/>
  <c r="N501" i="5"/>
  <c r="O501" i="5"/>
  <c r="P501" i="5"/>
  <c r="Q501" i="5"/>
  <c r="R501" i="5"/>
  <c r="S501" i="5"/>
  <c r="T501" i="5"/>
  <c r="U501" i="5"/>
  <c r="V501" i="5"/>
  <c r="W501" i="5"/>
  <c r="X501" i="5"/>
  <c r="AB501" i="5"/>
  <c r="B502" i="5"/>
  <c r="C502" i="5"/>
  <c r="D502" i="5"/>
  <c r="E502" i="5"/>
  <c r="F502" i="5"/>
  <c r="G502" i="5"/>
  <c r="H502" i="5"/>
  <c r="I502" i="5"/>
  <c r="J502" i="5"/>
  <c r="K502" i="5"/>
  <c r="L502" i="5"/>
  <c r="M502" i="5"/>
  <c r="N502" i="5"/>
  <c r="O502" i="5"/>
  <c r="P502" i="5"/>
  <c r="Q502" i="5"/>
  <c r="R502" i="5"/>
  <c r="S502" i="5"/>
  <c r="T502" i="5"/>
  <c r="U502" i="5"/>
  <c r="V502" i="5"/>
  <c r="W502" i="5"/>
  <c r="X502" i="5"/>
  <c r="AC502" i="5"/>
  <c r="B503" i="5"/>
  <c r="C503" i="5"/>
  <c r="D503" i="5"/>
  <c r="E503" i="5"/>
  <c r="F503" i="5"/>
  <c r="G503" i="5"/>
  <c r="H503" i="5"/>
  <c r="I503" i="5"/>
  <c r="J503" i="5"/>
  <c r="K503" i="5"/>
  <c r="L503" i="5"/>
  <c r="M503" i="5"/>
  <c r="AC503" i="5" s="1"/>
  <c r="N503" i="5"/>
  <c r="O503" i="5"/>
  <c r="P503" i="5"/>
  <c r="Q503" i="5"/>
  <c r="R503" i="5"/>
  <c r="S503" i="5"/>
  <c r="T503" i="5"/>
  <c r="U503" i="5"/>
  <c r="V503" i="5"/>
  <c r="W503" i="5"/>
  <c r="X503" i="5"/>
  <c r="AB503" i="5"/>
  <c r="B504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AC504" i="5"/>
  <c r="B505" i="5"/>
  <c r="C505" i="5"/>
  <c r="D505" i="5"/>
  <c r="E505" i="5"/>
  <c r="F505" i="5"/>
  <c r="G505" i="5"/>
  <c r="H505" i="5"/>
  <c r="I505" i="5"/>
  <c r="J505" i="5"/>
  <c r="K505" i="5"/>
  <c r="L505" i="5"/>
  <c r="M505" i="5"/>
  <c r="AC505" i="5" s="1"/>
  <c r="N505" i="5"/>
  <c r="O505" i="5"/>
  <c r="P505" i="5"/>
  <c r="Q505" i="5"/>
  <c r="R505" i="5"/>
  <c r="S505" i="5"/>
  <c r="T505" i="5"/>
  <c r="U505" i="5"/>
  <c r="V505" i="5"/>
  <c r="W505" i="5"/>
  <c r="X505" i="5"/>
  <c r="AB505" i="5"/>
  <c r="B506" i="5"/>
  <c r="C506" i="5"/>
  <c r="D506" i="5"/>
  <c r="E506" i="5"/>
  <c r="F506" i="5"/>
  <c r="G506" i="5"/>
  <c r="H506" i="5"/>
  <c r="I506" i="5"/>
  <c r="J506" i="5"/>
  <c r="K506" i="5"/>
  <c r="L506" i="5"/>
  <c r="M506" i="5"/>
  <c r="N506" i="5"/>
  <c r="O506" i="5"/>
  <c r="P506" i="5"/>
  <c r="Q506" i="5"/>
  <c r="R506" i="5"/>
  <c r="S506" i="5"/>
  <c r="T506" i="5"/>
  <c r="U506" i="5"/>
  <c r="V506" i="5"/>
  <c r="W506" i="5"/>
  <c r="X506" i="5"/>
  <c r="AC506" i="5"/>
  <c r="B507" i="5"/>
  <c r="C507" i="5"/>
  <c r="D507" i="5"/>
  <c r="E507" i="5"/>
  <c r="F507" i="5"/>
  <c r="G507" i="5"/>
  <c r="H507" i="5"/>
  <c r="I507" i="5"/>
  <c r="J507" i="5"/>
  <c r="K507" i="5"/>
  <c r="L507" i="5"/>
  <c r="M507" i="5"/>
  <c r="AC507" i="5" s="1"/>
  <c r="N507" i="5"/>
  <c r="O507" i="5"/>
  <c r="P507" i="5"/>
  <c r="Q507" i="5"/>
  <c r="R507" i="5"/>
  <c r="S507" i="5"/>
  <c r="T507" i="5"/>
  <c r="U507" i="5"/>
  <c r="V507" i="5"/>
  <c r="W507" i="5"/>
  <c r="X507" i="5"/>
  <c r="AB507" i="5"/>
  <c r="B508" i="5"/>
  <c r="C508" i="5"/>
  <c r="D508" i="5"/>
  <c r="E508" i="5"/>
  <c r="E643" i="5" s="1"/>
  <c r="F508" i="5"/>
  <c r="G508" i="5"/>
  <c r="H508" i="5"/>
  <c r="I508" i="5"/>
  <c r="I643" i="5" s="1"/>
  <c r="J508" i="5"/>
  <c r="K508" i="5"/>
  <c r="L508" i="5"/>
  <c r="M508" i="5"/>
  <c r="M643" i="5" s="1"/>
  <c r="N508" i="5"/>
  <c r="O508" i="5"/>
  <c r="P508" i="5"/>
  <c r="Q508" i="5"/>
  <c r="Q643" i="5" s="1"/>
  <c r="R508" i="5"/>
  <c r="S508" i="5"/>
  <c r="T508" i="5"/>
  <c r="U508" i="5"/>
  <c r="U643" i="5" s="1"/>
  <c r="V508" i="5"/>
  <c r="W508" i="5"/>
  <c r="X508" i="5"/>
  <c r="AC508" i="5"/>
  <c r="B509" i="5"/>
  <c r="C509" i="5"/>
  <c r="D509" i="5"/>
  <c r="E509" i="5"/>
  <c r="F509" i="5"/>
  <c r="G509" i="5"/>
  <c r="H509" i="5"/>
  <c r="I509" i="5"/>
  <c r="J509" i="5"/>
  <c r="K509" i="5"/>
  <c r="L509" i="5"/>
  <c r="M509" i="5"/>
  <c r="AC509" i="5" s="1"/>
  <c r="N509" i="5"/>
  <c r="O509" i="5"/>
  <c r="P509" i="5"/>
  <c r="Q509" i="5"/>
  <c r="R509" i="5"/>
  <c r="S509" i="5"/>
  <c r="T509" i="5"/>
  <c r="U509" i="5"/>
  <c r="V509" i="5"/>
  <c r="W509" i="5"/>
  <c r="X509" i="5"/>
  <c r="AB509" i="5"/>
  <c r="B510" i="5"/>
  <c r="C510" i="5"/>
  <c r="D510" i="5"/>
  <c r="E510" i="5"/>
  <c r="F510" i="5"/>
  <c r="G510" i="5"/>
  <c r="H510" i="5"/>
  <c r="I510" i="5"/>
  <c r="J510" i="5"/>
  <c r="K510" i="5"/>
  <c r="L510" i="5"/>
  <c r="M510" i="5"/>
  <c r="N510" i="5"/>
  <c r="O510" i="5"/>
  <c r="P510" i="5"/>
  <c r="Q510" i="5"/>
  <c r="R510" i="5"/>
  <c r="S510" i="5"/>
  <c r="T510" i="5"/>
  <c r="U510" i="5"/>
  <c r="V510" i="5"/>
  <c r="W510" i="5"/>
  <c r="X510" i="5"/>
  <c r="AC510" i="5"/>
  <c r="B511" i="5"/>
  <c r="C511" i="5"/>
  <c r="D511" i="5"/>
  <c r="E511" i="5"/>
  <c r="F511" i="5"/>
  <c r="G511" i="5"/>
  <c r="H511" i="5"/>
  <c r="I511" i="5"/>
  <c r="J511" i="5"/>
  <c r="K511" i="5"/>
  <c r="L511" i="5"/>
  <c r="M511" i="5"/>
  <c r="AC511" i="5" s="1"/>
  <c r="N511" i="5"/>
  <c r="O511" i="5"/>
  <c r="P511" i="5"/>
  <c r="Q511" i="5"/>
  <c r="R511" i="5"/>
  <c r="S511" i="5"/>
  <c r="T511" i="5"/>
  <c r="U511" i="5"/>
  <c r="V511" i="5"/>
  <c r="W511" i="5"/>
  <c r="X511" i="5"/>
  <c r="AB511" i="5"/>
  <c r="B512" i="5"/>
  <c r="C512" i="5"/>
  <c r="D512" i="5"/>
  <c r="E512" i="5"/>
  <c r="F512" i="5"/>
  <c r="G512" i="5"/>
  <c r="H512" i="5"/>
  <c r="I512" i="5"/>
  <c r="J512" i="5"/>
  <c r="K512" i="5"/>
  <c r="L512" i="5"/>
  <c r="M512" i="5"/>
  <c r="N512" i="5"/>
  <c r="O512" i="5"/>
  <c r="P512" i="5"/>
  <c r="Q512" i="5"/>
  <c r="R512" i="5"/>
  <c r="S512" i="5"/>
  <c r="T512" i="5"/>
  <c r="U512" i="5"/>
  <c r="V512" i="5"/>
  <c r="W512" i="5"/>
  <c r="X512" i="5"/>
  <c r="AC512" i="5"/>
  <c r="B513" i="5"/>
  <c r="C513" i="5"/>
  <c r="D513" i="5"/>
  <c r="E513" i="5"/>
  <c r="F513" i="5"/>
  <c r="G513" i="5"/>
  <c r="H513" i="5"/>
  <c r="I513" i="5"/>
  <c r="J513" i="5"/>
  <c r="K513" i="5"/>
  <c r="L513" i="5"/>
  <c r="M513" i="5"/>
  <c r="AC513" i="5" s="1"/>
  <c r="N513" i="5"/>
  <c r="O513" i="5"/>
  <c r="P513" i="5"/>
  <c r="Q513" i="5"/>
  <c r="R513" i="5"/>
  <c r="S513" i="5"/>
  <c r="T513" i="5"/>
  <c r="U513" i="5"/>
  <c r="V513" i="5"/>
  <c r="W513" i="5"/>
  <c r="X513" i="5"/>
  <c r="AB513" i="5"/>
  <c r="B514" i="5"/>
  <c r="C514" i="5"/>
  <c r="D514" i="5"/>
  <c r="E514" i="5"/>
  <c r="F514" i="5"/>
  <c r="G514" i="5"/>
  <c r="H514" i="5"/>
  <c r="I514" i="5"/>
  <c r="J514" i="5"/>
  <c r="K514" i="5"/>
  <c r="L514" i="5"/>
  <c r="M514" i="5"/>
  <c r="N514" i="5"/>
  <c r="O514" i="5"/>
  <c r="P514" i="5"/>
  <c r="Q514" i="5"/>
  <c r="R514" i="5"/>
  <c r="S514" i="5"/>
  <c r="T514" i="5"/>
  <c r="U514" i="5"/>
  <c r="V514" i="5"/>
  <c r="W514" i="5"/>
  <c r="X514" i="5"/>
  <c r="AC514" i="5"/>
  <c r="B515" i="5"/>
  <c r="C515" i="5"/>
  <c r="D515" i="5"/>
  <c r="E515" i="5"/>
  <c r="F515" i="5"/>
  <c r="G515" i="5"/>
  <c r="H515" i="5"/>
  <c r="I515" i="5"/>
  <c r="J515" i="5"/>
  <c r="K515" i="5"/>
  <c r="L515" i="5"/>
  <c r="M515" i="5"/>
  <c r="AC515" i="5" s="1"/>
  <c r="N515" i="5"/>
  <c r="O515" i="5"/>
  <c r="P515" i="5"/>
  <c r="Q515" i="5"/>
  <c r="R515" i="5"/>
  <c r="S515" i="5"/>
  <c r="T515" i="5"/>
  <c r="U515" i="5"/>
  <c r="V515" i="5"/>
  <c r="W515" i="5"/>
  <c r="X515" i="5"/>
  <c r="AB515" i="5"/>
  <c r="B516" i="5"/>
  <c r="C516" i="5"/>
  <c r="D516" i="5"/>
  <c r="E516" i="5"/>
  <c r="F516" i="5"/>
  <c r="G516" i="5"/>
  <c r="H516" i="5"/>
  <c r="I516" i="5"/>
  <c r="J516" i="5"/>
  <c r="K516" i="5"/>
  <c r="L516" i="5"/>
  <c r="M516" i="5"/>
  <c r="N516" i="5"/>
  <c r="O516" i="5"/>
  <c r="P516" i="5"/>
  <c r="Q516" i="5"/>
  <c r="R516" i="5"/>
  <c r="S516" i="5"/>
  <c r="T516" i="5"/>
  <c r="U516" i="5"/>
  <c r="V516" i="5"/>
  <c r="W516" i="5"/>
  <c r="X516" i="5"/>
  <c r="AC516" i="5"/>
  <c r="B517" i="5"/>
  <c r="C517" i="5"/>
  <c r="D517" i="5"/>
  <c r="E517" i="5"/>
  <c r="E644" i="5" s="1"/>
  <c r="F517" i="5"/>
  <c r="G517" i="5"/>
  <c r="H517" i="5"/>
  <c r="I517" i="5"/>
  <c r="I644" i="5" s="1"/>
  <c r="J517" i="5"/>
  <c r="K517" i="5"/>
  <c r="L517" i="5"/>
  <c r="M517" i="5"/>
  <c r="AC517" i="5" s="1"/>
  <c r="N517" i="5"/>
  <c r="O517" i="5"/>
  <c r="P517" i="5"/>
  <c r="Q517" i="5"/>
  <c r="Q644" i="5" s="1"/>
  <c r="R517" i="5"/>
  <c r="S517" i="5"/>
  <c r="T517" i="5"/>
  <c r="U517" i="5"/>
  <c r="U644" i="5" s="1"/>
  <c r="V517" i="5"/>
  <c r="W517" i="5"/>
  <c r="X517" i="5"/>
  <c r="AB517" i="5"/>
  <c r="B518" i="5"/>
  <c r="C518" i="5"/>
  <c r="D518" i="5"/>
  <c r="E518" i="5"/>
  <c r="F518" i="5"/>
  <c r="G518" i="5"/>
  <c r="H518" i="5"/>
  <c r="I518" i="5"/>
  <c r="J518" i="5"/>
  <c r="K518" i="5"/>
  <c r="L518" i="5"/>
  <c r="M518" i="5"/>
  <c r="N518" i="5"/>
  <c r="O518" i="5"/>
  <c r="P518" i="5"/>
  <c r="Q518" i="5"/>
  <c r="R518" i="5"/>
  <c r="S518" i="5"/>
  <c r="T518" i="5"/>
  <c r="U518" i="5"/>
  <c r="V518" i="5"/>
  <c r="W518" i="5"/>
  <c r="X518" i="5"/>
  <c r="AC518" i="5"/>
  <c r="B519" i="5"/>
  <c r="C519" i="5"/>
  <c r="D519" i="5"/>
  <c r="E519" i="5"/>
  <c r="F519" i="5"/>
  <c r="G519" i="5"/>
  <c r="H519" i="5"/>
  <c r="I519" i="5"/>
  <c r="J519" i="5"/>
  <c r="K519" i="5"/>
  <c r="L519" i="5"/>
  <c r="M519" i="5"/>
  <c r="AC519" i="5" s="1"/>
  <c r="N519" i="5"/>
  <c r="O519" i="5"/>
  <c r="P519" i="5"/>
  <c r="Q519" i="5"/>
  <c r="R519" i="5"/>
  <c r="S519" i="5"/>
  <c r="T519" i="5"/>
  <c r="U519" i="5"/>
  <c r="V519" i="5"/>
  <c r="W519" i="5"/>
  <c r="X519" i="5"/>
  <c r="AB519" i="5"/>
  <c r="B520" i="5"/>
  <c r="C520" i="5"/>
  <c r="D520" i="5"/>
  <c r="E520" i="5"/>
  <c r="F520" i="5"/>
  <c r="G520" i="5"/>
  <c r="H520" i="5"/>
  <c r="I520" i="5"/>
  <c r="J520" i="5"/>
  <c r="K520" i="5"/>
  <c r="L520" i="5"/>
  <c r="M520" i="5"/>
  <c r="N520" i="5"/>
  <c r="O520" i="5"/>
  <c r="P520" i="5"/>
  <c r="Q520" i="5"/>
  <c r="R520" i="5"/>
  <c r="S520" i="5"/>
  <c r="T520" i="5"/>
  <c r="U520" i="5"/>
  <c r="V520" i="5"/>
  <c r="W520" i="5"/>
  <c r="X520" i="5"/>
  <c r="AC520" i="5"/>
  <c r="B521" i="5"/>
  <c r="C521" i="5"/>
  <c r="D521" i="5"/>
  <c r="E521" i="5"/>
  <c r="F521" i="5"/>
  <c r="G521" i="5"/>
  <c r="H521" i="5"/>
  <c r="I521" i="5"/>
  <c r="J521" i="5"/>
  <c r="K521" i="5"/>
  <c r="L521" i="5"/>
  <c r="M521" i="5"/>
  <c r="AC521" i="5" s="1"/>
  <c r="N521" i="5"/>
  <c r="O521" i="5"/>
  <c r="P521" i="5"/>
  <c r="Q521" i="5"/>
  <c r="R521" i="5"/>
  <c r="S521" i="5"/>
  <c r="T521" i="5"/>
  <c r="U521" i="5"/>
  <c r="V521" i="5"/>
  <c r="W521" i="5"/>
  <c r="X521" i="5"/>
  <c r="AB521" i="5"/>
  <c r="B522" i="5"/>
  <c r="C522" i="5"/>
  <c r="D522" i="5"/>
  <c r="E522" i="5"/>
  <c r="F522" i="5"/>
  <c r="G522" i="5"/>
  <c r="H522" i="5"/>
  <c r="I522" i="5"/>
  <c r="J522" i="5"/>
  <c r="K522" i="5"/>
  <c r="L522" i="5"/>
  <c r="M522" i="5"/>
  <c r="N522" i="5"/>
  <c r="O522" i="5"/>
  <c r="P522" i="5"/>
  <c r="Q522" i="5"/>
  <c r="R522" i="5"/>
  <c r="S522" i="5"/>
  <c r="T522" i="5"/>
  <c r="U522" i="5"/>
  <c r="V522" i="5"/>
  <c r="W522" i="5"/>
  <c r="X522" i="5"/>
  <c r="AC522" i="5"/>
  <c r="B523" i="5"/>
  <c r="C523" i="5"/>
  <c r="D523" i="5"/>
  <c r="E523" i="5"/>
  <c r="F523" i="5"/>
  <c r="G523" i="5"/>
  <c r="H523" i="5"/>
  <c r="I523" i="5"/>
  <c r="J523" i="5"/>
  <c r="K523" i="5"/>
  <c r="L523" i="5"/>
  <c r="M523" i="5"/>
  <c r="AC523" i="5" s="1"/>
  <c r="N523" i="5"/>
  <c r="O523" i="5"/>
  <c r="P523" i="5"/>
  <c r="Q523" i="5"/>
  <c r="R523" i="5"/>
  <c r="S523" i="5"/>
  <c r="T523" i="5"/>
  <c r="U523" i="5"/>
  <c r="V523" i="5"/>
  <c r="W523" i="5"/>
  <c r="X523" i="5"/>
  <c r="AB523" i="5"/>
  <c r="B524" i="5"/>
  <c r="C524" i="5"/>
  <c r="D524" i="5"/>
  <c r="E524" i="5"/>
  <c r="F524" i="5"/>
  <c r="G524" i="5"/>
  <c r="H524" i="5"/>
  <c r="I524" i="5"/>
  <c r="J524" i="5"/>
  <c r="K524" i="5"/>
  <c r="L524" i="5"/>
  <c r="M524" i="5"/>
  <c r="N524" i="5"/>
  <c r="O524" i="5"/>
  <c r="P524" i="5"/>
  <c r="Q524" i="5"/>
  <c r="R524" i="5"/>
  <c r="S524" i="5"/>
  <c r="T524" i="5"/>
  <c r="U524" i="5"/>
  <c r="V524" i="5"/>
  <c r="W524" i="5"/>
  <c r="X524" i="5"/>
  <c r="AC524" i="5"/>
  <c r="B525" i="5"/>
  <c r="C525" i="5"/>
  <c r="D525" i="5"/>
  <c r="E525" i="5"/>
  <c r="F525" i="5"/>
  <c r="G525" i="5"/>
  <c r="H525" i="5"/>
  <c r="I525" i="5"/>
  <c r="J525" i="5"/>
  <c r="K525" i="5"/>
  <c r="L525" i="5"/>
  <c r="M525" i="5"/>
  <c r="AC525" i="5" s="1"/>
  <c r="N525" i="5"/>
  <c r="O525" i="5"/>
  <c r="P525" i="5"/>
  <c r="Q525" i="5"/>
  <c r="R525" i="5"/>
  <c r="S525" i="5"/>
  <c r="T525" i="5"/>
  <c r="U525" i="5"/>
  <c r="V525" i="5"/>
  <c r="W525" i="5"/>
  <c r="X525" i="5"/>
  <c r="AB525" i="5"/>
  <c r="B526" i="5"/>
  <c r="C526" i="5"/>
  <c r="D526" i="5"/>
  <c r="E526" i="5"/>
  <c r="F526" i="5"/>
  <c r="G526" i="5"/>
  <c r="H526" i="5"/>
  <c r="I526" i="5"/>
  <c r="J526" i="5"/>
  <c r="K526" i="5"/>
  <c r="L526" i="5"/>
  <c r="M526" i="5"/>
  <c r="N526" i="5"/>
  <c r="O526" i="5"/>
  <c r="P526" i="5"/>
  <c r="Q526" i="5"/>
  <c r="R526" i="5"/>
  <c r="S526" i="5"/>
  <c r="T526" i="5"/>
  <c r="U526" i="5"/>
  <c r="V526" i="5"/>
  <c r="W526" i="5"/>
  <c r="X526" i="5"/>
  <c r="AC526" i="5"/>
  <c r="B527" i="5"/>
  <c r="C527" i="5"/>
  <c r="D527" i="5"/>
  <c r="E527" i="5"/>
  <c r="F527" i="5"/>
  <c r="G527" i="5"/>
  <c r="H527" i="5"/>
  <c r="I527" i="5"/>
  <c r="J527" i="5"/>
  <c r="K527" i="5"/>
  <c r="L527" i="5"/>
  <c r="M527" i="5"/>
  <c r="AC527" i="5" s="1"/>
  <c r="N527" i="5"/>
  <c r="O527" i="5"/>
  <c r="P527" i="5"/>
  <c r="Q527" i="5"/>
  <c r="R527" i="5"/>
  <c r="S527" i="5"/>
  <c r="T527" i="5"/>
  <c r="U527" i="5"/>
  <c r="V527" i="5"/>
  <c r="W527" i="5"/>
  <c r="X527" i="5"/>
  <c r="AB527" i="5"/>
  <c r="B528" i="5"/>
  <c r="C528" i="5"/>
  <c r="D528" i="5"/>
  <c r="E528" i="5"/>
  <c r="F528" i="5"/>
  <c r="G528" i="5"/>
  <c r="H528" i="5"/>
  <c r="I528" i="5"/>
  <c r="J528" i="5"/>
  <c r="K528" i="5"/>
  <c r="L528" i="5"/>
  <c r="M528" i="5"/>
  <c r="N528" i="5"/>
  <c r="O528" i="5"/>
  <c r="P528" i="5"/>
  <c r="Q528" i="5"/>
  <c r="R528" i="5"/>
  <c r="S528" i="5"/>
  <c r="T528" i="5"/>
  <c r="U528" i="5"/>
  <c r="V528" i="5"/>
  <c r="W528" i="5"/>
  <c r="X528" i="5"/>
  <c r="AC528" i="5"/>
  <c r="B529" i="5"/>
  <c r="C529" i="5"/>
  <c r="D529" i="5"/>
  <c r="E529" i="5"/>
  <c r="E645" i="5" s="1"/>
  <c r="F529" i="5"/>
  <c r="G529" i="5"/>
  <c r="H529" i="5"/>
  <c r="I529" i="5"/>
  <c r="I645" i="5" s="1"/>
  <c r="J529" i="5"/>
  <c r="K529" i="5"/>
  <c r="L529" i="5"/>
  <c r="M529" i="5"/>
  <c r="AC529" i="5" s="1"/>
  <c r="N529" i="5"/>
  <c r="O529" i="5"/>
  <c r="P529" i="5"/>
  <c r="Q529" i="5"/>
  <c r="Q645" i="5" s="1"/>
  <c r="R529" i="5"/>
  <c r="S529" i="5"/>
  <c r="T529" i="5"/>
  <c r="U529" i="5"/>
  <c r="U645" i="5" s="1"/>
  <c r="V529" i="5"/>
  <c r="W529" i="5"/>
  <c r="X529" i="5"/>
  <c r="AB529" i="5"/>
  <c r="B530" i="5"/>
  <c r="C530" i="5"/>
  <c r="D530" i="5"/>
  <c r="E530" i="5"/>
  <c r="F530" i="5"/>
  <c r="G530" i="5"/>
  <c r="H530" i="5"/>
  <c r="I530" i="5"/>
  <c r="J530" i="5"/>
  <c r="K530" i="5"/>
  <c r="L530" i="5"/>
  <c r="M530" i="5"/>
  <c r="N530" i="5"/>
  <c r="O530" i="5"/>
  <c r="P530" i="5"/>
  <c r="Q530" i="5"/>
  <c r="R530" i="5"/>
  <c r="S530" i="5"/>
  <c r="T530" i="5"/>
  <c r="U530" i="5"/>
  <c r="V530" i="5"/>
  <c r="W530" i="5"/>
  <c r="X530" i="5"/>
  <c r="AC530" i="5"/>
  <c r="B531" i="5"/>
  <c r="C531" i="5"/>
  <c r="D531" i="5"/>
  <c r="E531" i="5"/>
  <c r="F531" i="5"/>
  <c r="G531" i="5"/>
  <c r="H531" i="5"/>
  <c r="I531" i="5"/>
  <c r="J531" i="5"/>
  <c r="K531" i="5"/>
  <c r="L531" i="5"/>
  <c r="M531" i="5"/>
  <c r="AC531" i="5" s="1"/>
  <c r="N531" i="5"/>
  <c r="O531" i="5"/>
  <c r="P531" i="5"/>
  <c r="Q531" i="5"/>
  <c r="R531" i="5"/>
  <c r="S531" i="5"/>
  <c r="T531" i="5"/>
  <c r="U531" i="5"/>
  <c r="V531" i="5"/>
  <c r="W531" i="5"/>
  <c r="X531" i="5"/>
  <c r="AB531" i="5"/>
  <c r="B532" i="5"/>
  <c r="C532" i="5"/>
  <c r="D532" i="5"/>
  <c r="E532" i="5"/>
  <c r="F532" i="5"/>
  <c r="G532" i="5"/>
  <c r="H532" i="5"/>
  <c r="I532" i="5"/>
  <c r="J532" i="5"/>
  <c r="K532" i="5"/>
  <c r="L532" i="5"/>
  <c r="M532" i="5"/>
  <c r="N532" i="5"/>
  <c r="O532" i="5"/>
  <c r="P532" i="5"/>
  <c r="Q532" i="5"/>
  <c r="R532" i="5"/>
  <c r="S532" i="5"/>
  <c r="T532" i="5"/>
  <c r="U532" i="5"/>
  <c r="V532" i="5"/>
  <c r="W532" i="5"/>
  <c r="X532" i="5"/>
  <c r="AC532" i="5"/>
  <c r="B533" i="5"/>
  <c r="C533" i="5"/>
  <c r="D533" i="5"/>
  <c r="E533" i="5"/>
  <c r="F533" i="5"/>
  <c r="G533" i="5"/>
  <c r="H533" i="5"/>
  <c r="I533" i="5"/>
  <c r="J533" i="5"/>
  <c r="K533" i="5"/>
  <c r="L533" i="5"/>
  <c r="M533" i="5"/>
  <c r="AC533" i="5" s="1"/>
  <c r="N533" i="5"/>
  <c r="O533" i="5"/>
  <c r="P533" i="5"/>
  <c r="Q533" i="5"/>
  <c r="R533" i="5"/>
  <c r="S533" i="5"/>
  <c r="T533" i="5"/>
  <c r="U533" i="5"/>
  <c r="V533" i="5"/>
  <c r="W533" i="5"/>
  <c r="X533" i="5"/>
  <c r="AB533" i="5"/>
  <c r="B534" i="5"/>
  <c r="C534" i="5"/>
  <c r="D534" i="5"/>
  <c r="E534" i="5"/>
  <c r="F534" i="5"/>
  <c r="G534" i="5"/>
  <c r="H534" i="5"/>
  <c r="I534" i="5"/>
  <c r="J534" i="5"/>
  <c r="K534" i="5"/>
  <c r="L534" i="5"/>
  <c r="M534" i="5"/>
  <c r="N534" i="5"/>
  <c r="O534" i="5"/>
  <c r="P534" i="5"/>
  <c r="Q534" i="5"/>
  <c r="R534" i="5"/>
  <c r="S534" i="5"/>
  <c r="T534" i="5"/>
  <c r="U534" i="5"/>
  <c r="V534" i="5"/>
  <c r="W534" i="5"/>
  <c r="X534" i="5"/>
  <c r="AC534" i="5"/>
  <c r="B535" i="5"/>
  <c r="C535" i="5"/>
  <c r="D535" i="5"/>
  <c r="E535" i="5"/>
  <c r="F535" i="5"/>
  <c r="G535" i="5"/>
  <c r="H535" i="5"/>
  <c r="I535" i="5"/>
  <c r="J535" i="5"/>
  <c r="K535" i="5"/>
  <c r="L535" i="5"/>
  <c r="M535" i="5"/>
  <c r="AC535" i="5" s="1"/>
  <c r="N535" i="5"/>
  <c r="O535" i="5"/>
  <c r="P535" i="5"/>
  <c r="Q535" i="5"/>
  <c r="R535" i="5"/>
  <c r="S535" i="5"/>
  <c r="T535" i="5"/>
  <c r="U535" i="5"/>
  <c r="V535" i="5"/>
  <c r="W535" i="5"/>
  <c r="X535" i="5"/>
  <c r="AB535" i="5"/>
  <c r="B536" i="5"/>
  <c r="C536" i="5"/>
  <c r="D536" i="5"/>
  <c r="E536" i="5"/>
  <c r="F536" i="5"/>
  <c r="G536" i="5"/>
  <c r="H536" i="5"/>
  <c r="I536" i="5"/>
  <c r="J536" i="5"/>
  <c r="K536" i="5"/>
  <c r="L536" i="5"/>
  <c r="M536" i="5"/>
  <c r="N536" i="5"/>
  <c r="O536" i="5"/>
  <c r="P536" i="5"/>
  <c r="Q536" i="5"/>
  <c r="R536" i="5"/>
  <c r="S536" i="5"/>
  <c r="T536" i="5"/>
  <c r="U536" i="5"/>
  <c r="V536" i="5"/>
  <c r="W536" i="5"/>
  <c r="X536" i="5"/>
  <c r="AC536" i="5"/>
  <c r="B537" i="5"/>
  <c r="C537" i="5"/>
  <c r="D537" i="5"/>
  <c r="E537" i="5"/>
  <c r="F537" i="5"/>
  <c r="G537" i="5"/>
  <c r="H537" i="5"/>
  <c r="I537" i="5"/>
  <c r="J537" i="5"/>
  <c r="K537" i="5"/>
  <c r="L537" i="5"/>
  <c r="M537" i="5"/>
  <c r="AC537" i="5" s="1"/>
  <c r="N537" i="5"/>
  <c r="O537" i="5"/>
  <c r="P537" i="5"/>
  <c r="Q537" i="5"/>
  <c r="R537" i="5"/>
  <c r="S537" i="5"/>
  <c r="T537" i="5"/>
  <c r="U537" i="5"/>
  <c r="V537" i="5"/>
  <c r="W537" i="5"/>
  <c r="X537" i="5"/>
  <c r="AB537" i="5"/>
  <c r="B538" i="5"/>
  <c r="C538" i="5"/>
  <c r="D538" i="5"/>
  <c r="E538" i="5"/>
  <c r="F538" i="5"/>
  <c r="G538" i="5"/>
  <c r="H538" i="5"/>
  <c r="I538" i="5"/>
  <c r="J538" i="5"/>
  <c r="K538" i="5"/>
  <c r="L538" i="5"/>
  <c r="M538" i="5"/>
  <c r="N538" i="5"/>
  <c r="O538" i="5"/>
  <c r="P538" i="5"/>
  <c r="Q538" i="5"/>
  <c r="R538" i="5"/>
  <c r="S538" i="5"/>
  <c r="T538" i="5"/>
  <c r="U538" i="5"/>
  <c r="V538" i="5"/>
  <c r="W538" i="5"/>
  <c r="X538" i="5"/>
  <c r="AC538" i="5"/>
  <c r="B539" i="5"/>
  <c r="C539" i="5"/>
  <c r="D539" i="5"/>
  <c r="E539" i="5"/>
  <c r="F539" i="5"/>
  <c r="G539" i="5"/>
  <c r="H539" i="5"/>
  <c r="I539" i="5"/>
  <c r="J539" i="5"/>
  <c r="K539" i="5"/>
  <c r="L539" i="5"/>
  <c r="M539" i="5"/>
  <c r="AC539" i="5" s="1"/>
  <c r="N539" i="5"/>
  <c r="O539" i="5"/>
  <c r="P539" i="5"/>
  <c r="Q539" i="5"/>
  <c r="R539" i="5"/>
  <c r="S539" i="5"/>
  <c r="T539" i="5"/>
  <c r="U539" i="5"/>
  <c r="V539" i="5"/>
  <c r="W539" i="5"/>
  <c r="X539" i="5"/>
  <c r="AB539" i="5"/>
  <c r="B540" i="5"/>
  <c r="C540" i="5"/>
  <c r="D540" i="5"/>
  <c r="E540" i="5"/>
  <c r="F540" i="5"/>
  <c r="G540" i="5"/>
  <c r="H540" i="5"/>
  <c r="I540" i="5"/>
  <c r="J540" i="5"/>
  <c r="K540" i="5"/>
  <c r="L540" i="5"/>
  <c r="M540" i="5"/>
  <c r="N540" i="5"/>
  <c r="O540" i="5"/>
  <c r="P540" i="5"/>
  <c r="Q540" i="5"/>
  <c r="R540" i="5"/>
  <c r="S540" i="5"/>
  <c r="T540" i="5"/>
  <c r="U540" i="5"/>
  <c r="V540" i="5"/>
  <c r="W540" i="5"/>
  <c r="X540" i="5"/>
  <c r="AC540" i="5"/>
  <c r="B541" i="5"/>
  <c r="C541" i="5"/>
  <c r="D541" i="5"/>
  <c r="E541" i="5"/>
  <c r="E646" i="5" s="1"/>
  <c r="F541" i="5"/>
  <c r="G541" i="5"/>
  <c r="H541" i="5"/>
  <c r="I541" i="5"/>
  <c r="I646" i="5" s="1"/>
  <c r="J541" i="5"/>
  <c r="K541" i="5"/>
  <c r="L541" i="5"/>
  <c r="M541" i="5"/>
  <c r="AC541" i="5" s="1"/>
  <c r="N541" i="5"/>
  <c r="O541" i="5"/>
  <c r="P541" i="5"/>
  <c r="Q541" i="5"/>
  <c r="Q646" i="5" s="1"/>
  <c r="R541" i="5"/>
  <c r="S541" i="5"/>
  <c r="T541" i="5"/>
  <c r="U541" i="5"/>
  <c r="U646" i="5" s="1"/>
  <c r="V541" i="5"/>
  <c r="W541" i="5"/>
  <c r="X541" i="5"/>
  <c r="AB541" i="5"/>
  <c r="B542" i="5"/>
  <c r="C542" i="5"/>
  <c r="D542" i="5"/>
  <c r="E542" i="5"/>
  <c r="F542" i="5"/>
  <c r="G542" i="5"/>
  <c r="H542" i="5"/>
  <c r="I542" i="5"/>
  <c r="J542" i="5"/>
  <c r="K542" i="5"/>
  <c r="L542" i="5"/>
  <c r="M542" i="5"/>
  <c r="N542" i="5"/>
  <c r="O542" i="5"/>
  <c r="P542" i="5"/>
  <c r="Q542" i="5"/>
  <c r="R542" i="5"/>
  <c r="S542" i="5"/>
  <c r="T542" i="5"/>
  <c r="U542" i="5"/>
  <c r="V542" i="5"/>
  <c r="W542" i="5"/>
  <c r="X542" i="5"/>
  <c r="AC542" i="5"/>
  <c r="B543" i="5"/>
  <c r="C543" i="5"/>
  <c r="D543" i="5"/>
  <c r="E543" i="5"/>
  <c r="F543" i="5"/>
  <c r="G543" i="5"/>
  <c r="H543" i="5"/>
  <c r="I543" i="5"/>
  <c r="J543" i="5"/>
  <c r="K543" i="5"/>
  <c r="L543" i="5"/>
  <c r="M543" i="5"/>
  <c r="AC543" i="5" s="1"/>
  <c r="N543" i="5"/>
  <c r="O543" i="5"/>
  <c r="P543" i="5"/>
  <c r="Q543" i="5"/>
  <c r="R543" i="5"/>
  <c r="S543" i="5"/>
  <c r="T543" i="5"/>
  <c r="U543" i="5"/>
  <c r="V543" i="5"/>
  <c r="W543" i="5"/>
  <c r="X543" i="5"/>
  <c r="AB543" i="5"/>
  <c r="B544" i="5"/>
  <c r="C544" i="5"/>
  <c r="D544" i="5"/>
  <c r="E544" i="5"/>
  <c r="F544" i="5"/>
  <c r="G544" i="5"/>
  <c r="H544" i="5"/>
  <c r="I544" i="5"/>
  <c r="J544" i="5"/>
  <c r="K544" i="5"/>
  <c r="L544" i="5"/>
  <c r="M544" i="5"/>
  <c r="N544" i="5"/>
  <c r="O544" i="5"/>
  <c r="P544" i="5"/>
  <c r="Q544" i="5"/>
  <c r="R544" i="5"/>
  <c r="S544" i="5"/>
  <c r="T544" i="5"/>
  <c r="U544" i="5"/>
  <c r="V544" i="5"/>
  <c r="W544" i="5"/>
  <c r="X544" i="5"/>
  <c r="AC544" i="5"/>
  <c r="B545" i="5"/>
  <c r="C545" i="5"/>
  <c r="D545" i="5"/>
  <c r="E545" i="5"/>
  <c r="F545" i="5"/>
  <c r="G545" i="5"/>
  <c r="H545" i="5"/>
  <c r="I545" i="5"/>
  <c r="J545" i="5"/>
  <c r="K545" i="5"/>
  <c r="L545" i="5"/>
  <c r="M545" i="5"/>
  <c r="AC545" i="5" s="1"/>
  <c r="N545" i="5"/>
  <c r="O545" i="5"/>
  <c r="P545" i="5"/>
  <c r="Q545" i="5"/>
  <c r="R545" i="5"/>
  <c r="S545" i="5"/>
  <c r="T545" i="5"/>
  <c r="U545" i="5"/>
  <c r="V545" i="5"/>
  <c r="W545" i="5"/>
  <c r="X545" i="5"/>
  <c r="AB545" i="5"/>
  <c r="B546" i="5"/>
  <c r="C546" i="5"/>
  <c r="D546" i="5"/>
  <c r="E546" i="5"/>
  <c r="F546" i="5"/>
  <c r="G546" i="5"/>
  <c r="H546" i="5"/>
  <c r="I546" i="5"/>
  <c r="J546" i="5"/>
  <c r="K546" i="5"/>
  <c r="L546" i="5"/>
  <c r="M546" i="5"/>
  <c r="N546" i="5"/>
  <c r="O546" i="5"/>
  <c r="P546" i="5"/>
  <c r="Q546" i="5"/>
  <c r="R546" i="5"/>
  <c r="S546" i="5"/>
  <c r="T546" i="5"/>
  <c r="U546" i="5"/>
  <c r="V546" i="5"/>
  <c r="W546" i="5"/>
  <c r="X546" i="5"/>
  <c r="AC546" i="5"/>
  <c r="B547" i="5"/>
  <c r="C547" i="5"/>
  <c r="D547" i="5"/>
  <c r="E547" i="5"/>
  <c r="F547" i="5"/>
  <c r="G547" i="5"/>
  <c r="H547" i="5"/>
  <c r="I547" i="5"/>
  <c r="J547" i="5"/>
  <c r="K547" i="5"/>
  <c r="L547" i="5"/>
  <c r="M547" i="5"/>
  <c r="AC547" i="5" s="1"/>
  <c r="N547" i="5"/>
  <c r="O547" i="5"/>
  <c r="P547" i="5"/>
  <c r="Q547" i="5"/>
  <c r="R547" i="5"/>
  <c r="S547" i="5"/>
  <c r="T547" i="5"/>
  <c r="U547" i="5"/>
  <c r="V547" i="5"/>
  <c r="W547" i="5"/>
  <c r="X547" i="5"/>
  <c r="AB547" i="5"/>
  <c r="B548" i="5"/>
  <c r="C548" i="5"/>
  <c r="D548" i="5"/>
  <c r="E548" i="5"/>
  <c r="F548" i="5"/>
  <c r="G548" i="5"/>
  <c r="H548" i="5"/>
  <c r="I548" i="5"/>
  <c r="J548" i="5"/>
  <c r="K548" i="5"/>
  <c r="L548" i="5"/>
  <c r="M548" i="5"/>
  <c r="N548" i="5"/>
  <c r="O548" i="5"/>
  <c r="P548" i="5"/>
  <c r="Q548" i="5"/>
  <c r="R548" i="5"/>
  <c r="S548" i="5"/>
  <c r="T548" i="5"/>
  <c r="U548" i="5"/>
  <c r="V548" i="5"/>
  <c r="W548" i="5"/>
  <c r="X548" i="5"/>
  <c r="AC548" i="5"/>
  <c r="B549" i="5"/>
  <c r="C549" i="5"/>
  <c r="D549" i="5"/>
  <c r="E549" i="5"/>
  <c r="F549" i="5"/>
  <c r="G549" i="5"/>
  <c r="H549" i="5"/>
  <c r="I549" i="5"/>
  <c r="J549" i="5"/>
  <c r="K549" i="5"/>
  <c r="L549" i="5"/>
  <c r="M549" i="5"/>
  <c r="AC549" i="5" s="1"/>
  <c r="N549" i="5"/>
  <c r="O549" i="5"/>
  <c r="P549" i="5"/>
  <c r="Q549" i="5"/>
  <c r="R549" i="5"/>
  <c r="S549" i="5"/>
  <c r="T549" i="5"/>
  <c r="U549" i="5"/>
  <c r="V549" i="5"/>
  <c r="W549" i="5"/>
  <c r="X549" i="5"/>
  <c r="AB549" i="5"/>
  <c r="B550" i="5"/>
  <c r="C550" i="5"/>
  <c r="D550" i="5"/>
  <c r="E550" i="5"/>
  <c r="F550" i="5"/>
  <c r="G550" i="5"/>
  <c r="H550" i="5"/>
  <c r="I550" i="5"/>
  <c r="J550" i="5"/>
  <c r="K550" i="5"/>
  <c r="L550" i="5"/>
  <c r="M550" i="5"/>
  <c r="N550" i="5"/>
  <c r="O550" i="5"/>
  <c r="P550" i="5"/>
  <c r="Q550" i="5"/>
  <c r="R550" i="5"/>
  <c r="S550" i="5"/>
  <c r="T550" i="5"/>
  <c r="U550" i="5"/>
  <c r="V550" i="5"/>
  <c r="W550" i="5"/>
  <c r="X550" i="5"/>
  <c r="AC550" i="5"/>
  <c r="B551" i="5"/>
  <c r="C551" i="5"/>
  <c r="D551" i="5"/>
  <c r="E551" i="5"/>
  <c r="F551" i="5"/>
  <c r="G551" i="5"/>
  <c r="H551" i="5"/>
  <c r="I551" i="5"/>
  <c r="J551" i="5"/>
  <c r="K551" i="5"/>
  <c r="L551" i="5"/>
  <c r="M551" i="5"/>
  <c r="AC551" i="5" s="1"/>
  <c r="N551" i="5"/>
  <c r="O551" i="5"/>
  <c r="P551" i="5"/>
  <c r="Q551" i="5"/>
  <c r="R551" i="5"/>
  <c r="S551" i="5"/>
  <c r="T551" i="5"/>
  <c r="U551" i="5"/>
  <c r="V551" i="5"/>
  <c r="W551" i="5"/>
  <c r="X551" i="5"/>
  <c r="AB551" i="5"/>
  <c r="B552" i="5"/>
  <c r="C552" i="5"/>
  <c r="D552" i="5"/>
  <c r="E552" i="5"/>
  <c r="F552" i="5"/>
  <c r="G552" i="5"/>
  <c r="H552" i="5"/>
  <c r="I552" i="5"/>
  <c r="J552" i="5"/>
  <c r="K552" i="5"/>
  <c r="L552" i="5"/>
  <c r="M552" i="5"/>
  <c r="N552" i="5"/>
  <c r="O552" i="5"/>
  <c r="P552" i="5"/>
  <c r="Q552" i="5"/>
  <c r="R552" i="5"/>
  <c r="S552" i="5"/>
  <c r="T552" i="5"/>
  <c r="U552" i="5"/>
  <c r="V552" i="5"/>
  <c r="W552" i="5"/>
  <c r="X552" i="5"/>
  <c r="AC552" i="5"/>
  <c r="B553" i="5"/>
  <c r="C553" i="5"/>
  <c r="D553" i="5"/>
  <c r="E553" i="5"/>
  <c r="E647" i="5" s="1"/>
  <c r="F553" i="5"/>
  <c r="G553" i="5"/>
  <c r="H553" i="5"/>
  <c r="I553" i="5"/>
  <c r="I647" i="5" s="1"/>
  <c r="J553" i="5"/>
  <c r="K553" i="5"/>
  <c r="L553" i="5"/>
  <c r="M553" i="5"/>
  <c r="AC553" i="5" s="1"/>
  <c r="N553" i="5"/>
  <c r="O553" i="5"/>
  <c r="P553" i="5"/>
  <c r="Q553" i="5"/>
  <c r="Q647" i="5" s="1"/>
  <c r="R553" i="5"/>
  <c r="S553" i="5"/>
  <c r="T553" i="5"/>
  <c r="U553" i="5"/>
  <c r="U647" i="5" s="1"/>
  <c r="V553" i="5"/>
  <c r="W553" i="5"/>
  <c r="X553" i="5"/>
  <c r="AB553" i="5"/>
  <c r="B554" i="5"/>
  <c r="C554" i="5"/>
  <c r="D554" i="5"/>
  <c r="E554" i="5"/>
  <c r="F554" i="5"/>
  <c r="G554" i="5"/>
  <c r="H554" i="5"/>
  <c r="I554" i="5"/>
  <c r="J554" i="5"/>
  <c r="K554" i="5"/>
  <c r="L554" i="5"/>
  <c r="M554" i="5"/>
  <c r="N554" i="5"/>
  <c r="O554" i="5"/>
  <c r="P554" i="5"/>
  <c r="Q554" i="5"/>
  <c r="R554" i="5"/>
  <c r="S554" i="5"/>
  <c r="T554" i="5"/>
  <c r="U554" i="5"/>
  <c r="V554" i="5"/>
  <c r="W554" i="5"/>
  <c r="X554" i="5"/>
  <c r="AC554" i="5"/>
  <c r="B555" i="5"/>
  <c r="C555" i="5"/>
  <c r="D555" i="5"/>
  <c r="E555" i="5"/>
  <c r="F555" i="5"/>
  <c r="G555" i="5"/>
  <c r="H555" i="5"/>
  <c r="I555" i="5"/>
  <c r="J555" i="5"/>
  <c r="K555" i="5"/>
  <c r="L555" i="5"/>
  <c r="M555" i="5"/>
  <c r="AC555" i="5" s="1"/>
  <c r="N555" i="5"/>
  <c r="O555" i="5"/>
  <c r="P555" i="5"/>
  <c r="Q555" i="5"/>
  <c r="R555" i="5"/>
  <c r="S555" i="5"/>
  <c r="T555" i="5"/>
  <c r="U555" i="5"/>
  <c r="V555" i="5"/>
  <c r="W555" i="5"/>
  <c r="X555" i="5"/>
  <c r="AB555" i="5"/>
  <c r="B556" i="5"/>
  <c r="C556" i="5"/>
  <c r="D556" i="5"/>
  <c r="E556" i="5"/>
  <c r="F556" i="5"/>
  <c r="G556" i="5"/>
  <c r="H556" i="5"/>
  <c r="I556" i="5"/>
  <c r="J556" i="5"/>
  <c r="K556" i="5"/>
  <c r="L556" i="5"/>
  <c r="M556" i="5"/>
  <c r="N556" i="5"/>
  <c r="O556" i="5"/>
  <c r="P556" i="5"/>
  <c r="Q556" i="5"/>
  <c r="R556" i="5"/>
  <c r="S556" i="5"/>
  <c r="T556" i="5"/>
  <c r="U556" i="5"/>
  <c r="V556" i="5"/>
  <c r="W556" i="5"/>
  <c r="X556" i="5"/>
  <c r="AC556" i="5"/>
  <c r="B557" i="5"/>
  <c r="C557" i="5"/>
  <c r="D557" i="5"/>
  <c r="E557" i="5"/>
  <c r="F557" i="5"/>
  <c r="G557" i="5"/>
  <c r="H557" i="5"/>
  <c r="I557" i="5"/>
  <c r="J557" i="5"/>
  <c r="K557" i="5"/>
  <c r="L557" i="5"/>
  <c r="M557" i="5"/>
  <c r="AC557" i="5" s="1"/>
  <c r="N557" i="5"/>
  <c r="O557" i="5"/>
  <c r="P557" i="5"/>
  <c r="Q557" i="5"/>
  <c r="R557" i="5"/>
  <c r="S557" i="5"/>
  <c r="T557" i="5"/>
  <c r="U557" i="5"/>
  <c r="V557" i="5"/>
  <c r="W557" i="5"/>
  <c r="X557" i="5"/>
  <c r="AB557" i="5"/>
  <c r="B558" i="5"/>
  <c r="C558" i="5"/>
  <c r="D558" i="5"/>
  <c r="E558" i="5"/>
  <c r="F558" i="5"/>
  <c r="G558" i="5"/>
  <c r="H558" i="5"/>
  <c r="I558" i="5"/>
  <c r="J558" i="5"/>
  <c r="K558" i="5"/>
  <c r="L558" i="5"/>
  <c r="M558" i="5"/>
  <c r="N558" i="5"/>
  <c r="O558" i="5"/>
  <c r="P558" i="5"/>
  <c r="Q558" i="5"/>
  <c r="R558" i="5"/>
  <c r="S558" i="5"/>
  <c r="T558" i="5"/>
  <c r="U558" i="5"/>
  <c r="V558" i="5"/>
  <c r="W558" i="5"/>
  <c r="X558" i="5"/>
  <c r="AC558" i="5"/>
  <c r="B559" i="5"/>
  <c r="C559" i="5"/>
  <c r="D559" i="5"/>
  <c r="E559" i="5"/>
  <c r="F559" i="5"/>
  <c r="G559" i="5"/>
  <c r="H559" i="5"/>
  <c r="I559" i="5"/>
  <c r="J559" i="5"/>
  <c r="K559" i="5"/>
  <c r="L559" i="5"/>
  <c r="M559" i="5"/>
  <c r="AC559" i="5" s="1"/>
  <c r="N559" i="5"/>
  <c r="O559" i="5"/>
  <c r="P559" i="5"/>
  <c r="Q559" i="5"/>
  <c r="R559" i="5"/>
  <c r="S559" i="5"/>
  <c r="T559" i="5"/>
  <c r="U559" i="5"/>
  <c r="V559" i="5"/>
  <c r="W559" i="5"/>
  <c r="X559" i="5"/>
  <c r="AB559" i="5"/>
  <c r="B560" i="5"/>
  <c r="C560" i="5"/>
  <c r="D560" i="5"/>
  <c r="E560" i="5"/>
  <c r="F560" i="5"/>
  <c r="G560" i="5"/>
  <c r="H560" i="5"/>
  <c r="I560" i="5"/>
  <c r="J560" i="5"/>
  <c r="K560" i="5"/>
  <c r="L560" i="5"/>
  <c r="M560" i="5"/>
  <c r="N560" i="5"/>
  <c r="O560" i="5"/>
  <c r="P560" i="5"/>
  <c r="Q560" i="5"/>
  <c r="R560" i="5"/>
  <c r="S560" i="5"/>
  <c r="T560" i="5"/>
  <c r="U560" i="5"/>
  <c r="V560" i="5"/>
  <c r="W560" i="5"/>
  <c r="X560" i="5"/>
  <c r="AC560" i="5"/>
  <c r="B561" i="5"/>
  <c r="C561" i="5"/>
  <c r="D561" i="5"/>
  <c r="E561" i="5"/>
  <c r="F561" i="5"/>
  <c r="G561" i="5"/>
  <c r="H561" i="5"/>
  <c r="I561" i="5"/>
  <c r="J561" i="5"/>
  <c r="K561" i="5"/>
  <c r="L561" i="5"/>
  <c r="M561" i="5"/>
  <c r="AC561" i="5" s="1"/>
  <c r="N561" i="5"/>
  <c r="O561" i="5"/>
  <c r="P561" i="5"/>
  <c r="Q561" i="5"/>
  <c r="R561" i="5"/>
  <c r="S561" i="5"/>
  <c r="T561" i="5"/>
  <c r="U561" i="5"/>
  <c r="V561" i="5"/>
  <c r="W561" i="5"/>
  <c r="X561" i="5"/>
  <c r="AB561" i="5"/>
  <c r="B562" i="5"/>
  <c r="C562" i="5"/>
  <c r="D562" i="5"/>
  <c r="E562" i="5"/>
  <c r="F562" i="5"/>
  <c r="G562" i="5"/>
  <c r="H562" i="5"/>
  <c r="I562" i="5"/>
  <c r="J562" i="5"/>
  <c r="K562" i="5"/>
  <c r="L562" i="5"/>
  <c r="M562" i="5"/>
  <c r="N562" i="5"/>
  <c r="O562" i="5"/>
  <c r="P562" i="5"/>
  <c r="Q562" i="5"/>
  <c r="R562" i="5"/>
  <c r="S562" i="5"/>
  <c r="T562" i="5"/>
  <c r="U562" i="5"/>
  <c r="V562" i="5"/>
  <c r="W562" i="5"/>
  <c r="X562" i="5"/>
  <c r="AC562" i="5"/>
  <c r="B563" i="5"/>
  <c r="C563" i="5"/>
  <c r="D563" i="5"/>
  <c r="E563" i="5"/>
  <c r="F563" i="5"/>
  <c r="G563" i="5"/>
  <c r="H563" i="5"/>
  <c r="I563" i="5"/>
  <c r="J563" i="5"/>
  <c r="K563" i="5"/>
  <c r="L563" i="5"/>
  <c r="M563" i="5"/>
  <c r="AC563" i="5" s="1"/>
  <c r="N563" i="5"/>
  <c r="O563" i="5"/>
  <c r="P563" i="5"/>
  <c r="Q563" i="5"/>
  <c r="R563" i="5"/>
  <c r="S563" i="5"/>
  <c r="T563" i="5"/>
  <c r="U563" i="5"/>
  <c r="V563" i="5"/>
  <c r="W563" i="5"/>
  <c r="X563" i="5"/>
  <c r="AB563" i="5"/>
  <c r="B564" i="5"/>
  <c r="C564" i="5"/>
  <c r="D564" i="5"/>
  <c r="E564" i="5"/>
  <c r="F564" i="5"/>
  <c r="G564" i="5"/>
  <c r="H564" i="5"/>
  <c r="I564" i="5"/>
  <c r="J564" i="5"/>
  <c r="K564" i="5"/>
  <c r="L564" i="5"/>
  <c r="M564" i="5"/>
  <c r="N564" i="5"/>
  <c r="O564" i="5"/>
  <c r="P564" i="5"/>
  <c r="Q564" i="5"/>
  <c r="R564" i="5"/>
  <c r="S564" i="5"/>
  <c r="T564" i="5"/>
  <c r="U564" i="5"/>
  <c r="V564" i="5"/>
  <c r="W564" i="5"/>
  <c r="X564" i="5"/>
  <c r="AC564" i="5"/>
  <c r="B565" i="5"/>
  <c r="C565" i="5"/>
  <c r="D565" i="5"/>
  <c r="E565" i="5"/>
  <c r="E648" i="5" s="1"/>
  <c r="F565" i="5"/>
  <c r="G565" i="5"/>
  <c r="H565" i="5"/>
  <c r="I565" i="5"/>
  <c r="I648" i="5" s="1"/>
  <c r="J565" i="5"/>
  <c r="K565" i="5"/>
  <c r="L565" i="5"/>
  <c r="M565" i="5"/>
  <c r="AC565" i="5" s="1"/>
  <c r="N565" i="5"/>
  <c r="O565" i="5"/>
  <c r="P565" i="5"/>
  <c r="Q565" i="5"/>
  <c r="Q648" i="5" s="1"/>
  <c r="R565" i="5"/>
  <c r="S565" i="5"/>
  <c r="T565" i="5"/>
  <c r="U565" i="5"/>
  <c r="U648" i="5" s="1"/>
  <c r="V565" i="5"/>
  <c r="W565" i="5"/>
  <c r="X565" i="5"/>
  <c r="AB565" i="5"/>
  <c r="B566" i="5"/>
  <c r="C566" i="5"/>
  <c r="D566" i="5"/>
  <c r="E566" i="5"/>
  <c r="F566" i="5"/>
  <c r="G566" i="5"/>
  <c r="H566" i="5"/>
  <c r="I566" i="5"/>
  <c r="J566" i="5"/>
  <c r="K566" i="5"/>
  <c r="L566" i="5"/>
  <c r="M566" i="5"/>
  <c r="N566" i="5"/>
  <c r="O566" i="5"/>
  <c r="P566" i="5"/>
  <c r="Q566" i="5"/>
  <c r="R566" i="5"/>
  <c r="S566" i="5"/>
  <c r="T566" i="5"/>
  <c r="U566" i="5"/>
  <c r="V566" i="5"/>
  <c r="W566" i="5"/>
  <c r="X566" i="5"/>
  <c r="AC566" i="5"/>
  <c r="B567" i="5"/>
  <c r="C567" i="5"/>
  <c r="D567" i="5"/>
  <c r="E567" i="5"/>
  <c r="F567" i="5"/>
  <c r="G567" i="5"/>
  <c r="H567" i="5"/>
  <c r="I567" i="5"/>
  <c r="J567" i="5"/>
  <c r="K567" i="5"/>
  <c r="L567" i="5"/>
  <c r="M567" i="5"/>
  <c r="AC567" i="5" s="1"/>
  <c r="N567" i="5"/>
  <c r="O567" i="5"/>
  <c r="P567" i="5"/>
  <c r="Q567" i="5"/>
  <c r="R567" i="5"/>
  <c r="S567" i="5"/>
  <c r="T567" i="5"/>
  <c r="U567" i="5"/>
  <c r="V567" i="5"/>
  <c r="W567" i="5"/>
  <c r="X567" i="5"/>
  <c r="AB567" i="5"/>
  <c r="B568" i="5"/>
  <c r="C568" i="5"/>
  <c r="D568" i="5"/>
  <c r="E568" i="5"/>
  <c r="F568" i="5"/>
  <c r="G568" i="5"/>
  <c r="H568" i="5"/>
  <c r="I568" i="5"/>
  <c r="J568" i="5"/>
  <c r="K568" i="5"/>
  <c r="L568" i="5"/>
  <c r="M568" i="5"/>
  <c r="N568" i="5"/>
  <c r="O568" i="5"/>
  <c r="P568" i="5"/>
  <c r="Q568" i="5"/>
  <c r="R568" i="5"/>
  <c r="S568" i="5"/>
  <c r="T568" i="5"/>
  <c r="U568" i="5"/>
  <c r="V568" i="5"/>
  <c r="W568" i="5"/>
  <c r="X568" i="5"/>
  <c r="AC568" i="5"/>
  <c r="B569" i="5"/>
  <c r="C569" i="5"/>
  <c r="D569" i="5"/>
  <c r="E569" i="5"/>
  <c r="F569" i="5"/>
  <c r="G569" i="5"/>
  <c r="H569" i="5"/>
  <c r="I569" i="5"/>
  <c r="J569" i="5"/>
  <c r="K569" i="5"/>
  <c r="L569" i="5"/>
  <c r="M569" i="5"/>
  <c r="AC569" i="5" s="1"/>
  <c r="N569" i="5"/>
  <c r="O569" i="5"/>
  <c r="P569" i="5"/>
  <c r="Q569" i="5"/>
  <c r="R569" i="5"/>
  <c r="S569" i="5"/>
  <c r="T569" i="5"/>
  <c r="U569" i="5"/>
  <c r="V569" i="5"/>
  <c r="W569" i="5"/>
  <c r="X569" i="5"/>
  <c r="AB569" i="5"/>
  <c r="B570" i="5"/>
  <c r="C570" i="5"/>
  <c r="D570" i="5"/>
  <c r="E570" i="5"/>
  <c r="F570" i="5"/>
  <c r="G570" i="5"/>
  <c r="H570" i="5"/>
  <c r="I570" i="5"/>
  <c r="J570" i="5"/>
  <c r="K570" i="5"/>
  <c r="L570" i="5"/>
  <c r="M570" i="5"/>
  <c r="N570" i="5"/>
  <c r="O570" i="5"/>
  <c r="P570" i="5"/>
  <c r="Q570" i="5"/>
  <c r="R570" i="5"/>
  <c r="S570" i="5"/>
  <c r="T570" i="5"/>
  <c r="U570" i="5"/>
  <c r="V570" i="5"/>
  <c r="W570" i="5"/>
  <c r="X570" i="5"/>
  <c r="AC570" i="5"/>
  <c r="B571" i="5"/>
  <c r="C571" i="5"/>
  <c r="D571" i="5"/>
  <c r="E571" i="5"/>
  <c r="F571" i="5"/>
  <c r="G571" i="5"/>
  <c r="H571" i="5"/>
  <c r="I571" i="5"/>
  <c r="J571" i="5"/>
  <c r="K571" i="5"/>
  <c r="L571" i="5"/>
  <c r="M571" i="5"/>
  <c r="AC571" i="5" s="1"/>
  <c r="N571" i="5"/>
  <c r="O571" i="5"/>
  <c r="P571" i="5"/>
  <c r="Q571" i="5"/>
  <c r="R571" i="5"/>
  <c r="S571" i="5"/>
  <c r="T571" i="5"/>
  <c r="U571" i="5"/>
  <c r="V571" i="5"/>
  <c r="W571" i="5"/>
  <c r="X571" i="5"/>
  <c r="AB571" i="5"/>
  <c r="B572" i="5"/>
  <c r="C572" i="5"/>
  <c r="D572" i="5"/>
  <c r="E572" i="5"/>
  <c r="F572" i="5"/>
  <c r="G572" i="5"/>
  <c r="H572" i="5"/>
  <c r="I572" i="5"/>
  <c r="J572" i="5"/>
  <c r="K572" i="5"/>
  <c r="L572" i="5"/>
  <c r="M572" i="5"/>
  <c r="N572" i="5"/>
  <c r="O572" i="5"/>
  <c r="P572" i="5"/>
  <c r="Q572" i="5"/>
  <c r="R572" i="5"/>
  <c r="S572" i="5"/>
  <c r="T572" i="5"/>
  <c r="U572" i="5"/>
  <c r="V572" i="5"/>
  <c r="W572" i="5"/>
  <c r="X572" i="5"/>
  <c r="AC572" i="5"/>
  <c r="B573" i="5"/>
  <c r="C573" i="5"/>
  <c r="D573" i="5"/>
  <c r="E573" i="5"/>
  <c r="F573" i="5"/>
  <c r="G573" i="5"/>
  <c r="H573" i="5"/>
  <c r="I573" i="5"/>
  <c r="J573" i="5"/>
  <c r="K573" i="5"/>
  <c r="L573" i="5"/>
  <c r="M573" i="5"/>
  <c r="AC573" i="5" s="1"/>
  <c r="N573" i="5"/>
  <c r="O573" i="5"/>
  <c r="P573" i="5"/>
  <c r="Q573" i="5"/>
  <c r="R573" i="5"/>
  <c r="S573" i="5"/>
  <c r="T573" i="5"/>
  <c r="U573" i="5"/>
  <c r="V573" i="5"/>
  <c r="W573" i="5"/>
  <c r="X573" i="5"/>
  <c r="AB573" i="5"/>
  <c r="B574" i="5"/>
  <c r="C574" i="5"/>
  <c r="D574" i="5"/>
  <c r="E574" i="5"/>
  <c r="F574" i="5"/>
  <c r="G574" i="5"/>
  <c r="H574" i="5"/>
  <c r="I574" i="5"/>
  <c r="J574" i="5"/>
  <c r="K574" i="5"/>
  <c r="L574" i="5"/>
  <c r="M574" i="5"/>
  <c r="N574" i="5"/>
  <c r="O574" i="5"/>
  <c r="P574" i="5"/>
  <c r="Q574" i="5"/>
  <c r="R574" i="5"/>
  <c r="S574" i="5"/>
  <c r="T574" i="5"/>
  <c r="U574" i="5"/>
  <c r="V574" i="5"/>
  <c r="W574" i="5"/>
  <c r="X574" i="5"/>
  <c r="AC574" i="5"/>
  <c r="B575" i="5"/>
  <c r="C575" i="5"/>
  <c r="D575" i="5"/>
  <c r="E575" i="5"/>
  <c r="F575" i="5"/>
  <c r="G575" i="5"/>
  <c r="H575" i="5"/>
  <c r="I575" i="5"/>
  <c r="J575" i="5"/>
  <c r="K575" i="5"/>
  <c r="L575" i="5"/>
  <c r="M575" i="5"/>
  <c r="AC575" i="5" s="1"/>
  <c r="N575" i="5"/>
  <c r="O575" i="5"/>
  <c r="P575" i="5"/>
  <c r="Q575" i="5"/>
  <c r="R575" i="5"/>
  <c r="S575" i="5"/>
  <c r="T575" i="5"/>
  <c r="U575" i="5"/>
  <c r="V575" i="5"/>
  <c r="W575" i="5"/>
  <c r="X575" i="5"/>
  <c r="AB575" i="5"/>
  <c r="B576" i="5"/>
  <c r="C576" i="5"/>
  <c r="D576" i="5"/>
  <c r="E576" i="5"/>
  <c r="F576" i="5"/>
  <c r="G576" i="5"/>
  <c r="H576" i="5"/>
  <c r="I576" i="5"/>
  <c r="J576" i="5"/>
  <c r="K576" i="5"/>
  <c r="L576" i="5"/>
  <c r="M576" i="5"/>
  <c r="N576" i="5"/>
  <c r="O576" i="5"/>
  <c r="P576" i="5"/>
  <c r="Q576" i="5"/>
  <c r="R576" i="5"/>
  <c r="S576" i="5"/>
  <c r="T576" i="5"/>
  <c r="U576" i="5"/>
  <c r="V576" i="5"/>
  <c r="W576" i="5"/>
  <c r="X576" i="5"/>
  <c r="AC576" i="5"/>
  <c r="B577" i="5"/>
  <c r="C577" i="5"/>
  <c r="D577" i="5"/>
  <c r="E577" i="5"/>
  <c r="E649" i="5" s="1"/>
  <c r="F577" i="5"/>
  <c r="G577" i="5"/>
  <c r="H577" i="5"/>
  <c r="I577" i="5"/>
  <c r="I649" i="5" s="1"/>
  <c r="J577" i="5"/>
  <c r="K577" i="5"/>
  <c r="L577" i="5"/>
  <c r="M577" i="5"/>
  <c r="AC577" i="5" s="1"/>
  <c r="N577" i="5"/>
  <c r="O577" i="5"/>
  <c r="P577" i="5"/>
  <c r="Q577" i="5"/>
  <c r="Q649" i="5" s="1"/>
  <c r="R577" i="5"/>
  <c r="S577" i="5"/>
  <c r="T577" i="5"/>
  <c r="U577" i="5"/>
  <c r="U649" i="5" s="1"/>
  <c r="V577" i="5"/>
  <c r="W577" i="5"/>
  <c r="X577" i="5"/>
  <c r="AB577" i="5"/>
  <c r="B578" i="5"/>
  <c r="C578" i="5"/>
  <c r="D578" i="5"/>
  <c r="E578" i="5"/>
  <c r="F578" i="5"/>
  <c r="G578" i="5"/>
  <c r="H578" i="5"/>
  <c r="I578" i="5"/>
  <c r="J578" i="5"/>
  <c r="K578" i="5"/>
  <c r="L578" i="5"/>
  <c r="M578" i="5"/>
  <c r="N578" i="5"/>
  <c r="O578" i="5"/>
  <c r="P578" i="5"/>
  <c r="Q578" i="5"/>
  <c r="R578" i="5"/>
  <c r="S578" i="5"/>
  <c r="T578" i="5"/>
  <c r="U578" i="5"/>
  <c r="V578" i="5"/>
  <c r="W578" i="5"/>
  <c r="X578" i="5"/>
  <c r="AC578" i="5"/>
  <c r="B579" i="5"/>
  <c r="C579" i="5"/>
  <c r="D579" i="5"/>
  <c r="E579" i="5"/>
  <c r="F579" i="5"/>
  <c r="G579" i="5"/>
  <c r="H579" i="5"/>
  <c r="I579" i="5"/>
  <c r="J579" i="5"/>
  <c r="K579" i="5"/>
  <c r="L579" i="5"/>
  <c r="M579" i="5"/>
  <c r="AC579" i="5" s="1"/>
  <c r="N579" i="5"/>
  <c r="O579" i="5"/>
  <c r="P579" i="5"/>
  <c r="Q579" i="5"/>
  <c r="R579" i="5"/>
  <c r="S579" i="5"/>
  <c r="T579" i="5"/>
  <c r="U579" i="5"/>
  <c r="V579" i="5"/>
  <c r="W579" i="5"/>
  <c r="X579" i="5"/>
  <c r="AB579" i="5"/>
  <c r="B580" i="5"/>
  <c r="C580" i="5"/>
  <c r="D580" i="5"/>
  <c r="E580" i="5"/>
  <c r="F580" i="5"/>
  <c r="G580" i="5"/>
  <c r="H580" i="5"/>
  <c r="I580" i="5"/>
  <c r="J580" i="5"/>
  <c r="K580" i="5"/>
  <c r="L580" i="5"/>
  <c r="M580" i="5"/>
  <c r="N580" i="5"/>
  <c r="O580" i="5"/>
  <c r="P580" i="5"/>
  <c r="Q580" i="5"/>
  <c r="R580" i="5"/>
  <c r="S580" i="5"/>
  <c r="T580" i="5"/>
  <c r="U580" i="5"/>
  <c r="V580" i="5"/>
  <c r="W580" i="5"/>
  <c r="X580" i="5"/>
  <c r="AC580" i="5"/>
  <c r="B581" i="5"/>
  <c r="C581" i="5"/>
  <c r="D581" i="5"/>
  <c r="E581" i="5"/>
  <c r="F581" i="5"/>
  <c r="G581" i="5"/>
  <c r="H581" i="5"/>
  <c r="I581" i="5"/>
  <c r="J581" i="5"/>
  <c r="K581" i="5"/>
  <c r="L581" i="5"/>
  <c r="M581" i="5"/>
  <c r="AC581" i="5" s="1"/>
  <c r="N581" i="5"/>
  <c r="O581" i="5"/>
  <c r="P581" i="5"/>
  <c r="Q581" i="5"/>
  <c r="R581" i="5"/>
  <c r="S581" i="5"/>
  <c r="T581" i="5"/>
  <c r="U581" i="5"/>
  <c r="V581" i="5"/>
  <c r="W581" i="5"/>
  <c r="X581" i="5"/>
  <c r="AB581" i="5"/>
  <c r="B582" i="5"/>
  <c r="C582" i="5"/>
  <c r="D582" i="5"/>
  <c r="E582" i="5"/>
  <c r="F582" i="5"/>
  <c r="G582" i="5"/>
  <c r="H582" i="5"/>
  <c r="I582" i="5"/>
  <c r="J582" i="5"/>
  <c r="K582" i="5"/>
  <c r="L582" i="5"/>
  <c r="M582" i="5"/>
  <c r="N582" i="5"/>
  <c r="O582" i="5"/>
  <c r="P582" i="5"/>
  <c r="Q582" i="5"/>
  <c r="R582" i="5"/>
  <c r="S582" i="5"/>
  <c r="T582" i="5"/>
  <c r="U582" i="5"/>
  <c r="V582" i="5"/>
  <c r="W582" i="5"/>
  <c r="X582" i="5"/>
  <c r="AC582" i="5"/>
  <c r="B583" i="5"/>
  <c r="C583" i="5"/>
  <c r="D583" i="5"/>
  <c r="E583" i="5"/>
  <c r="F583" i="5"/>
  <c r="G583" i="5"/>
  <c r="H583" i="5"/>
  <c r="I583" i="5"/>
  <c r="J583" i="5"/>
  <c r="K583" i="5"/>
  <c r="L583" i="5"/>
  <c r="M583" i="5"/>
  <c r="AC583" i="5" s="1"/>
  <c r="N583" i="5"/>
  <c r="O583" i="5"/>
  <c r="P583" i="5"/>
  <c r="Q583" i="5"/>
  <c r="R583" i="5"/>
  <c r="S583" i="5"/>
  <c r="T583" i="5"/>
  <c r="U583" i="5"/>
  <c r="V583" i="5"/>
  <c r="W583" i="5"/>
  <c r="X583" i="5"/>
  <c r="AB583" i="5"/>
  <c r="B584" i="5"/>
  <c r="C584" i="5"/>
  <c r="D584" i="5"/>
  <c r="E584" i="5"/>
  <c r="F584" i="5"/>
  <c r="G584" i="5"/>
  <c r="H584" i="5"/>
  <c r="I584" i="5"/>
  <c r="J584" i="5"/>
  <c r="K584" i="5"/>
  <c r="L584" i="5"/>
  <c r="M584" i="5"/>
  <c r="N584" i="5"/>
  <c r="O584" i="5"/>
  <c r="P584" i="5"/>
  <c r="Q584" i="5"/>
  <c r="R584" i="5"/>
  <c r="S584" i="5"/>
  <c r="T584" i="5"/>
  <c r="U584" i="5"/>
  <c r="V584" i="5"/>
  <c r="W584" i="5"/>
  <c r="X584" i="5"/>
  <c r="AC584" i="5"/>
  <c r="B585" i="5"/>
  <c r="C585" i="5"/>
  <c r="D585" i="5"/>
  <c r="E585" i="5"/>
  <c r="F585" i="5"/>
  <c r="G585" i="5"/>
  <c r="H585" i="5"/>
  <c r="I585" i="5"/>
  <c r="J585" i="5"/>
  <c r="K585" i="5"/>
  <c r="L585" i="5"/>
  <c r="M585" i="5"/>
  <c r="AC585" i="5" s="1"/>
  <c r="N585" i="5"/>
  <c r="O585" i="5"/>
  <c r="P585" i="5"/>
  <c r="Q585" i="5"/>
  <c r="R585" i="5"/>
  <c r="S585" i="5"/>
  <c r="T585" i="5"/>
  <c r="U585" i="5"/>
  <c r="V585" i="5"/>
  <c r="W585" i="5"/>
  <c r="X585" i="5"/>
  <c r="AB585" i="5"/>
  <c r="B586" i="5"/>
  <c r="C586" i="5"/>
  <c r="D586" i="5"/>
  <c r="E586" i="5"/>
  <c r="F586" i="5"/>
  <c r="G586" i="5"/>
  <c r="H586" i="5"/>
  <c r="I586" i="5"/>
  <c r="J586" i="5"/>
  <c r="K586" i="5"/>
  <c r="L586" i="5"/>
  <c r="M586" i="5"/>
  <c r="N586" i="5"/>
  <c r="O586" i="5"/>
  <c r="P586" i="5"/>
  <c r="Q586" i="5"/>
  <c r="R586" i="5"/>
  <c r="S586" i="5"/>
  <c r="T586" i="5"/>
  <c r="U586" i="5"/>
  <c r="V586" i="5"/>
  <c r="W586" i="5"/>
  <c r="X586" i="5"/>
  <c r="AC586" i="5"/>
  <c r="B587" i="5"/>
  <c r="C587" i="5"/>
  <c r="D587" i="5"/>
  <c r="E587" i="5"/>
  <c r="F587" i="5"/>
  <c r="G587" i="5"/>
  <c r="H587" i="5"/>
  <c r="I587" i="5"/>
  <c r="J587" i="5"/>
  <c r="K587" i="5"/>
  <c r="L587" i="5"/>
  <c r="M587" i="5"/>
  <c r="AC587" i="5" s="1"/>
  <c r="N587" i="5"/>
  <c r="O587" i="5"/>
  <c r="P587" i="5"/>
  <c r="Q587" i="5"/>
  <c r="R587" i="5"/>
  <c r="S587" i="5"/>
  <c r="T587" i="5"/>
  <c r="U587" i="5"/>
  <c r="V587" i="5"/>
  <c r="W587" i="5"/>
  <c r="X587" i="5"/>
  <c r="AB587" i="5"/>
  <c r="B588" i="5"/>
  <c r="C588" i="5"/>
  <c r="D588" i="5"/>
  <c r="E588" i="5"/>
  <c r="F588" i="5"/>
  <c r="G588" i="5"/>
  <c r="H588" i="5"/>
  <c r="I588" i="5"/>
  <c r="J588" i="5"/>
  <c r="K588" i="5"/>
  <c r="L588" i="5"/>
  <c r="M588" i="5"/>
  <c r="N588" i="5"/>
  <c r="O588" i="5"/>
  <c r="P588" i="5"/>
  <c r="Q588" i="5"/>
  <c r="R588" i="5"/>
  <c r="S588" i="5"/>
  <c r="T588" i="5"/>
  <c r="U588" i="5"/>
  <c r="V588" i="5"/>
  <c r="W588" i="5"/>
  <c r="X588" i="5"/>
  <c r="AC588" i="5"/>
  <c r="B589" i="5"/>
  <c r="C589" i="5"/>
  <c r="D589" i="5"/>
  <c r="E589" i="5"/>
  <c r="E650" i="5" s="1"/>
  <c r="F589" i="5"/>
  <c r="G589" i="5"/>
  <c r="H589" i="5"/>
  <c r="I589" i="5"/>
  <c r="I650" i="5" s="1"/>
  <c r="J589" i="5"/>
  <c r="K589" i="5"/>
  <c r="L589" i="5"/>
  <c r="M589" i="5"/>
  <c r="AC589" i="5" s="1"/>
  <c r="N589" i="5"/>
  <c r="O589" i="5"/>
  <c r="P589" i="5"/>
  <c r="Q589" i="5"/>
  <c r="Q650" i="5" s="1"/>
  <c r="R589" i="5"/>
  <c r="S589" i="5"/>
  <c r="T589" i="5"/>
  <c r="U589" i="5"/>
  <c r="U650" i="5" s="1"/>
  <c r="V589" i="5"/>
  <c r="W589" i="5"/>
  <c r="X589" i="5"/>
  <c r="AB589" i="5"/>
  <c r="B590" i="5"/>
  <c r="C590" i="5"/>
  <c r="D590" i="5"/>
  <c r="E590" i="5"/>
  <c r="F590" i="5"/>
  <c r="G590" i="5"/>
  <c r="H590" i="5"/>
  <c r="I590" i="5"/>
  <c r="J590" i="5"/>
  <c r="K590" i="5"/>
  <c r="L590" i="5"/>
  <c r="M590" i="5"/>
  <c r="N590" i="5"/>
  <c r="O590" i="5"/>
  <c r="P590" i="5"/>
  <c r="Q590" i="5"/>
  <c r="R590" i="5"/>
  <c r="S590" i="5"/>
  <c r="T590" i="5"/>
  <c r="U590" i="5"/>
  <c r="V590" i="5"/>
  <c r="W590" i="5"/>
  <c r="X590" i="5"/>
  <c r="AC590" i="5"/>
  <c r="B591" i="5"/>
  <c r="C591" i="5"/>
  <c r="D591" i="5"/>
  <c r="E591" i="5"/>
  <c r="F591" i="5"/>
  <c r="G591" i="5"/>
  <c r="H591" i="5"/>
  <c r="I591" i="5"/>
  <c r="J591" i="5"/>
  <c r="K591" i="5"/>
  <c r="L591" i="5"/>
  <c r="M591" i="5"/>
  <c r="AC591" i="5" s="1"/>
  <c r="N591" i="5"/>
  <c r="O591" i="5"/>
  <c r="P591" i="5"/>
  <c r="Q591" i="5"/>
  <c r="R591" i="5"/>
  <c r="S591" i="5"/>
  <c r="T591" i="5"/>
  <c r="U591" i="5"/>
  <c r="V591" i="5"/>
  <c r="W591" i="5"/>
  <c r="X591" i="5"/>
  <c r="AB591" i="5"/>
  <c r="B592" i="5"/>
  <c r="C592" i="5"/>
  <c r="D592" i="5"/>
  <c r="E592" i="5"/>
  <c r="F592" i="5"/>
  <c r="G592" i="5"/>
  <c r="H592" i="5"/>
  <c r="I592" i="5"/>
  <c r="J592" i="5"/>
  <c r="K592" i="5"/>
  <c r="L592" i="5"/>
  <c r="M592" i="5"/>
  <c r="N592" i="5"/>
  <c r="O592" i="5"/>
  <c r="P592" i="5"/>
  <c r="Q592" i="5"/>
  <c r="R592" i="5"/>
  <c r="S592" i="5"/>
  <c r="T592" i="5"/>
  <c r="U592" i="5"/>
  <c r="V592" i="5"/>
  <c r="W592" i="5"/>
  <c r="X592" i="5"/>
  <c r="B593" i="5"/>
  <c r="AB593" i="5" s="1"/>
  <c r="C593" i="5"/>
  <c r="D593" i="5"/>
  <c r="E593" i="5"/>
  <c r="F593" i="5"/>
  <c r="F650" i="5" s="1"/>
  <c r="G593" i="5"/>
  <c r="H593" i="5"/>
  <c r="I593" i="5"/>
  <c r="J593" i="5"/>
  <c r="J650" i="5" s="1"/>
  <c r="K593" i="5"/>
  <c r="L593" i="5"/>
  <c r="M593" i="5"/>
  <c r="N593" i="5"/>
  <c r="N650" i="5" s="1"/>
  <c r="O593" i="5"/>
  <c r="P593" i="5"/>
  <c r="Q593" i="5"/>
  <c r="R593" i="5"/>
  <c r="R650" i="5" s="1"/>
  <c r="S593" i="5"/>
  <c r="T593" i="5"/>
  <c r="U593" i="5"/>
  <c r="V593" i="5"/>
  <c r="V650" i="5" s="1"/>
  <c r="W593" i="5"/>
  <c r="X593" i="5"/>
  <c r="B594" i="5"/>
  <c r="C594" i="5"/>
  <c r="D594" i="5"/>
  <c r="E594" i="5"/>
  <c r="F594" i="5"/>
  <c r="G594" i="5"/>
  <c r="H594" i="5"/>
  <c r="I594" i="5"/>
  <c r="J594" i="5"/>
  <c r="K594" i="5"/>
  <c r="L594" i="5"/>
  <c r="M594" i="5"/>
  <c r="N594" i="5"/>
  <c r="O594" i="5"/>
  <c r="P594" i="5"/>
  <c r="Q594" i="5"/>
  <c r="R594" i="5"/>
  <c r="S594" i="5"/>
  <c r="T594" i="5"/>
  <c r="U594" i="5"/>
  <c r="V594" i="5"/>
  <c r="W594" i="5"/>
  <c r="X594" i="5"/>
  <c r="B595" i="5"/>
  <c r="C595" i="5"/>
  <c r="AB595" i="5" s="1"/>
  <c r="D595" i="5"/>
  <c r="E595" i="5"/>
  <c r="F595" i="5"/>
  <c r="G595" i="5"/>
  <c r="H595" i="5"/>
  <c r="I595" i="5"/>
  <c r="J595" i="5"/>
  <c r="K595" i="5"/>
  <c r="L595" i="5"/>
  <c r="M595" i="5"/>
  <c r="N595" i="5"/>
  <c r="O595" i="5"/>
  <c r="P595" i="5"/>
  <c r="Q595" i="5"/>
  <c r="R595" i="5"/>
  <c r="S595" i="5"/>
  <c r="T595" i="5"/>
  <c r="U595" i="5"/>
  <c r="V595" i="5"/>
  <c r="W595" i="5"/>
  <c r="X595" i="5"/>
  <c r="B596" i="5"/>
  <c r="C596" i="5"/>
  <c r="D596" i="5"/>
  <c r="E596" i="5"/>
  <c r="F596" i="5"/>
  <c r="G596" i="5"/>
  <c r="H596" i="5"/>
  <c r="I596" i="5"/>
  <c r="J596" i="5"/>
  <c r="K596" i="5"/>
  <c r="L596" i="5"/>
  <c r="M596" i="5"/>
  <c r="N596" i="5"/>
  <c r="O596" i="5"/>
  <c r="P596" i="5"/>
  <c r="Q596" i="5"/>
  <c r="R596" i="5"/>
  <c r="S596" i="5"/>
  <c r="T596" i="5"/>
  <c r="U596" i="5"/>
  <c r="V596" i="5"/>
  <c r="W596" i="5"/>
  <c r="X596" i="5"/>
  <c r="B597" i="5"/>
  <c r="C597" i="5"/>
  <c r="D597" i="5"/>
  <c r="AB597" i="5" s="1"/>
  <c r="E597" i="5"/>
  <c r="F597" i="5"/>
  <c r="G597" i="5"/>
  <c r="H597" i="5"/>
  <c r="H650" i="5" s="1"/>
  <c r="I597" i="5"/>
  <c r="J597" i="5"/>
  <c r="K597" i="5"/>
  <c r="L597" i="5"/>
  <c r="L650" i="5" s="1"/>
  <c r="M597" i="5"/>
  <c r="N597" i="5"/>
  <c r="O597" i="5"/>
  <c r="P597" i="5"/>
  <c r="P650" i="5" s="1"/>
  <c r="Q597" i="5"/>
  <c r="R597" i="5"/>
  <c r="S597" i="5"/>
  <c r="T597" i="5"/>
  <c r="T650" i="5" s="1"/>
  <c r="U597" i="5"/>
  <c r="V597" i="5"/>
  <c r="W597" i="5"/>
  <c r="X597" i="5"/>
  <c r="X650" i="5" s="1"/>
  <c r="B598" i="5"/>
  <c r="C598" i="5"/>
  <c r="D598" i="5"/>
  <c r="E598" i="5"/>
  <c r="F598" i="5"/>
  <c r="G598" i="5"/>
  <c r="H598" i="5"/>
  <c r="I598" i="5"/>
  <c r="J598" i="5"/>
  <c r="K598" i="5"/>
  <c r="L598" i="5"/>
  <c r="M598" i="5"/>
  <c r="N598" i="5"/>
  <c r="O598" i="5"/>
  <c r="P598" i="5"/>
  <c r="Q598" i="5"/>
  <c r="R598" i="5"/>
  <c r="S598" i="5"/>
  <c r="T598" i="5"/>
  <c r="U598" i="5"/>
  <c r="V598" i="5"/>
  <c r="W598" i="5"/>
  <c r="X598" i="5"/>
  <c r="B599" i="5"/>
  <c r="C599" i="5"/>
  <c r="D599" i="5"/>
  <c r="E599" i="5"/>
  <c r="F599" i="5"/>
  <c r="G599" i="5"/>
  <c r="H599" i="5"/>
  <c r="I599" i="5"/>
  <c r="J599" i="5"/>
  <c r="K599" i="5"/>
  <c r="L599" i="5"/>
  <c r="M599" i="5"/>
  <c r="AC599" i="5" s="1"/>
  <c r="N599" i="5"/>
  <c r="O599" i="5"/>
  <c r="P599" i="5"/>
  <c r="Q599" i="5"/>
  <c r="R599" i="5"/>
  <c r="S599" i="5"/>
  <c r="T599" i="5"/>
  <c r="U599" i="5"/>
  <c r="V599" i="5"/>
  <c r="W599" i="5"/>
  <c r="X599" i="5"/>
  <c r="AB599" i="5"/>
  <c r="B600" i="5"/>
  <c r="C600" i="5"/>
  <c r="D600" i="5"/>
  <c r="E600" i="5"/>
  <c r="F600" i="5"/>
  <c r="G600" i="5"/>
  <c r="H600" i="5"/>
  <c r="I600" i="5"/>
  <c r="J600" i="5"/>
  <c r="K600" i="5"/>
  <c r="L600" i="5"/>
  <c r="M600" i="5"/>
  <c r="N600" i="5"/>
  <c r="O600" i="5"/>
  <c r="P600" i="5"/>
  <c r="Q600" i="5"/>
  <c r="R600" i="5"/>
  <c r="S600" i="5"/>
  <c r="T600" i="5"/>
  <c r="U600" i="5"/>
  <c r="V600" i="5"/>
  <c r="W600" i="5"/>
  <c r="X600" i="5"/>
  <c r="B602" i="5"/>
  <c r="C602" i="5"/>
  <c r="D602" i="5"/>
  <c r="E602" i="5"/>
  <c r="F602" i="5"/>
  <c r="G602" i="5"/>
  <c r="H602" i="5"/>
  <c r="I602" i="5"/>
  <c r="J602" i="5"/>
  <c r="L602" i="5"/>
  <c r="M602" i="5"/>
  <c r="N602" i="5"/>
  <c r="O602" i="5"/>
  <c r="P602" i="5"/>
  <c r="Q602" i="5"/>
  <c r="R602" i="5"/>
  <c r="S602" i="5"/>
  <c r="T602" i="5"/>
  <c r="U602" i="5"/>
  <c r="V602" i="5"/>
  <c r="W602" i="5"/>
  <c r="X602" i="5"/>
  <c r="Y602" i="5"/>
  <c r="Z602" i="5"/>
  <c r="AA602" i="5"/>
  <c r="AB602" i="5"/>
  <c r="AC602" i="5"/>
  <c r="B603" i="5"/>
  <c r="C603" i="5"/>
  <c r="D603" i="5"/>
  <c r="E603" i="5"/>
  <c r="F603" i="5"/>
  <c r="G603" i="5"/>
  <c r="H603" i="5"/>
  <c r="I603" i="5"/>
  <c r="J603" i="5"/>
  <c r="L603" i="5"/>
  <c r="M603" i="5"/>
  <c r="N603" i="5"/>
  <c r="O603" i="5"/>
  <c r="P603" i="5"/>
  <c r="Q603" i="5"/>
  <c r="R603" i="5"/>
  <c r="S603" i="5"/>
  <c r="T603" i="5"/>
  <c r="U603" i="5"/>
  <c r="V603" i="5"/>
  <c r="W603" i="5"/>
  <c r="X603" i="5"/>
  <c r="Y603" i="5"/>
  <c r="Z603" i="5"/>
  <c r="AA603" i="5"/>
  <c r="AB603" i="5"/>
  <c r="AC603" i="5"/>
  <c r="B604" i="5"/>
  <c r="C604" i="5"/>
  <c r="D604" i="5"/>
  <c r="E604" i="5"/>
  <c r="F604" i="5"/>
  <c r="G604" i="5"/>
  <c r="H604" i="5"/>
  <c r="I604" i="5"/>
  <c r="J604" i="5"/>
  <c r="L604" i="5"/>
  <c r="M604" i="5"/>
  <c r="N604" i="5"/>
  <c r="O604" i="5"/>
  <c r="P604" i="5"/>
  <c r="Q604" i="5"/>
  <c r="R604" i="5"/>
  <c r="S604" i="5"/>
  <c r="T604" i="5"/>
  <c r="U604" i="5"/>
  <c r="V604" i="5"/>
  <c r="W604" i="5"/>
  <c r="X604" i="5"/>
  <c r="Z604" i="5"/>
  <c r="AA604" i="5"/>
  <c r="AB604" i="5"/>
  <c r="AC604" i="5"/>
  <c r="B605" i="5"/>
  <c r="C605" i="5"/>
  <c r="D605" i="5"/>
  <c r="E605" i="5"/>
  <c r="F605" i="5"/>
  <c r="G605" i="5"/>
  <c r="H605" i="5"/>
  <c r="I605" i="5"/>
  <c r="J605" i="5"/>
  <c r="L605" i="5"/>
  <c r="M605" i="5"/>
  <c r="N605" i="5"/>
  <c r="O605" i="5"/>
  <c r="P605" i="5"/>
  <c r="Q605" i="5"/>
  <c r="R605" i="5"/>
  <c r="S605" i="5"/>
  <c r="T605" i="5"/>
  <c r="U605" i="5"/>
  <c r="V605" i="5"/>
  <c r="W605" i="5"/>
  <c r="X605" i="5"/>
  <c r="AC605" i="5"/>
  <c r="B606" i="5"/>
  <c r="C606" i="5"/>
  <c r="D606" i="5"/>
  <c r="E606" i="5"/>
  <c r="F606" i="5"/>
  <c r="G606" i="5"/>
  <c r="H606" i="5"/>
  <c r="I606" i="5"/>
  <c r="J606" i="5"/>
  <c r="K606" i="5"/>
  <c r="L606" i="5"/>
  <c r="M606" i="5"/>
  <c r="N606" i="5"/>
  <c r="O606" i="5"/>
  <c r="P606" i="5"/>
  <c r="Q606" i="5"/>
  <c r="R606" i="5"/>
  <c r="S606" i="5"/>
  <c r="T606" i="5"/>
  <c r="U606" i="5"/>
  <c r="V606" i="5"/>
  <c r="W606" i="5"/>
  <c r="X606" i="5"/>
  <c r="B607" i="5"/>
  <c r="C607" i="5"/>
  <c r="D607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Q607" i="5"/>
  <c r="R607" i="5"/>
  <c r="S607" i="5"/>
  <c r="T607" i="5"/>
  <c r="U607" i="5"/>
  <c r="V607" i="5"/>
  <c r="W607" i="5"/>
  <c r="X607" i="5"/>
  <c r="B608" i="5"/>
  <c r="C608" i="5"/>
  <c r="D608" i="5"/>
  <c r="E608" i="5"/>
  <c r="F608" i="5"/>
  <c r="G608" i="5"/>
  <c r="H608" i="5"/>
  <c r="I608" i="5"/>
  <c r="J608" i="5"/>
  <c r="K608" i="5"/>
  <c r="L608" i="5"/>
  <c r="M608" i="5"/>
  <c r="N608" i="5"/>
  <c r="O608" i="5"/>
  <c r="P608" i="5"/>
  <c r="Q608" i="5"/>
  <c r="R608" i="5"/>
  <c r="S608" i="5"/>
  <c r="T608" i="5"/>
  <c r="U608" i="5"/>
  <c r="V608" i="5"/>
  <c r="W608" i="5"/>
  <c r="X608" i="5"/>
  <c r="B609" i="5"/>
  <c r="C609" i="5"/>
  <c r="D609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Q609" i="5"/>
  <c r="R609" i="5"/>
  <c r="S609" i="5"/>
  <c r="T609" i="5"/>
  <c r="U609" i="5"/>
  <c r="V609" i="5"/>
  <c r="W609" i="5"/>
  <c r="X609" i="5"/>
  <c r="B610" i="5"/>
  <c r="C610" i="5"/>
  <c r="D610" i="5"/>
  <c r="E610" i="5"/>
  <c r="F610" i="5"/>
  <c r="G610" i="5"/>
  <c r="H610" i="5"/>
  <c r="I610" i="5"/>
  <c r="J610" i="5"/>
  <c r="K610" i="5"/>
  <c r="L610" i="5"/>
  <c r="M610" i="5"/>
  <c r="N610" i="5"/>
  <c r="O610" i="5"/>
  <c r="P610" i="5"/>
  <c r="Q610" i="5"/>
  <c r="R610" i="5"/>
  <c r="S610" i="5"/>
  <c r="T610" i="5"/>
  <c r="U610" i="5"/>
  <c r="V610" i="5"/>
  <c r="W610" i="5"/>
  <c r="X610" i="5"/>
  <c r="B611" i="5"/>
  <c r="C611" i="5"/>
  <c r="D611" i="5"/>
  <c r="E611" i="5"/>
  <c r="F611" i="5"/>
  <c r="G611" i="5"/>
  <c r="H611" i="5"/>
  <c r="I611" i="5"/>
  <c r="J611" i="5"/>
  <c r="K611" i="5"/>
  <c r="L611" i="5"/>
  <c r="M611" i="5"/>
  <c r="N611" i="5"/>
  <c r="O611" i="5"/>
  <c r="P611" i="5"/>
  <c r="Q611" i="5"/>
  <c r="R611" i="5"/>
  <c r="S611" i="5"/>
  <c r="T611" i="5"/>
  <c r="U611" i="5"/>
  <c r="V611" i="5"/>
  <c r="W611" i="5"/>
  <c r="X611" i="5"/>
  <c r="B612" i="5"/>
  <c r="C612" i="5"/>
  <c r="D612" i="5"/>
  <c r="E612" i="5"/>
  <c r="F612" i="5"/>
  <c r="G612" i="5"/>
  <c r="H612" i="5"/>
  <c r="I612" i="5"/>
  <c r="J612" i="5"/>
  <c r="K612" i="5"/>
  <c r="L612" i="5"/>
  <c r="M612" i="5"/>
  <c r="N612" i="5"/>
  <c r="O612" i="5"/>
  <c r="P612" i="5"/>
  <c r="Q612" i="5"/>
  <c r="R612" i="5"/>
  <c r="S612" i="5"/>
  <c r="T612" i="5"/>
  <c r="U612" i="5"/>
  <c r="V612" i="5"/>
  <c r="W612" i="5"/>
  <c r="X612" i="5"/>
  <c r="B613" i="5"/>
  <c r="C613" i="5"/>
  <c r="D613" i="5"/>
  <c r="E613" i="5"/>
  <c r="F613" i="5"/>
  <c r="G613" i="5"/>
  <c r="H613" i="5"/>
  <c r="I613" i="5"/>
  <c r="J613" i="5"/>
  <c r="K613" i="5"/>
  <c r="L613" i="5"/>
  <c r="M613" i="5"/>
  <c r="N613" i="5"/>
  <c r="O613" i="5"/>
  <c r="P613" i="5"/>
  <c r="Q613" i="5"/>
  <c r="R613" i="5"/>
  <c r="S613" i="5"/>
  <c r="T613" i="5"/>
  <c r="U613" i="5"/>
  <c r="V613" i="5"/>
  <c r="W613" i="5"/>
  <c r="X613" i="5"/>
  <c r="B614" i="5"/>
  <c r="C614" i="5"/>
  <c r="D614" i="5"/>
  <c r="E614" i="5"/>
  <c r="F614" i="5"/>
  <c r="G614" i="5"/>
  <c r="H614" i="5"/>
  <c r="I614" i="5"/>
  <c r="J614" i="5"/>
  <c r="K614" i="5"/>
  <c r="L614" i="5"/>
  <c r="M614" i="5"/>
  <c r="N614" i="5"/>
  <c r="O614" i="5"/>
  <c r="P614" i="5"/>
  <c r="Q614" i="5"/>
  <c r="R614" i="5"/>
  <c r="S614" i="5"/>
  <c r="T614" i="5"/>
  <c r="U614" i="5"/>
  <c r="V614" i="5"/>
  <c r="W614" i="5"/>
  <c r="X614" i="5"/>
  <c r="B615" i="5"/>
  <c r="C615" i="5"/>
  <c r="D615" i="5"/>
  <c r="E615" i="5"/>
  <c r="F615" i="5"/>
  <c r="G615" i="5"/>
  <c r="H615" i="5"/>
  <c r="I615" i="5"/>
  <c r="J615" i="5"/>
  <c r="K615" i="5"/>
  <c r="L615" i="5"/>
  <c r="M615" i="5"/>
  <c r="N615" i="5"/>
  <c r="O615" i="5"/>
  <c r="P615" i="5"/>
  <c r="Q615" i="5"/>
  <c r="R615" i="5"/>
  <c r="S615" i="5"/>
  <c r="T615" i="5"/>
  <c r="U615" i="5"/>
  <c r="V615" i="5"/>
  <c r="W615" i="5"/>
  <c r="X615" i="5"/>
  <c r="B616" i="5"/>
  <c r="C616" i="5"/>
  <c r="D616" i="5"/>
  <c r="E616" i="5"/>
  <c r="F616" i="5"/>
  <c r="G616" i="5"/>
  <c r="H616" i="5"/>
  <c r="I616" i="5"/>
  <c r="J616" i="5"/>
  <c r="K616" i="5"/>
  <c r="L616" i="5"/>
  <c r="M616" i="5"/>
  <c r="N616" i="5"/>
  <c r="O616" i="5"/>
  <c r="P616" i="5"/>
  <c r="Q616" i="5"/>
  <c r="R616" i="5"/>
  <c r="S616" i="5"/>
  <c r="T616" i="5"/>
  <c r="U616" i="5"/>
  <c r="V616" i="5"/>
  <c r="W616" i="5"/>
  <c r="X616" i="5"/>
  <c r="B617" i="5"/>
  <c r="C617" i="5"/>
  <c r="D617" i="5"/>
  <c r="E617" i="5"/>
  <c r="F617" i="5"/>
  <c r="G617" i="5"/>
  <c r="H617" i="5"/>
  <c r="I617" i="5"/>
  <c r="J617" i="5"/>
  <c r="K617" i="5"/>
  <c r="L617" i="5"/>
  <c r="M617" i="5"/>
  <c r="N617" i="5"/>
  <c r="O617" i="5"/>
  <c r="P617" i="5"/>
  <c r="Q617" i="5"/>
  <c r="R617" i="5"/>
  <c r="S617" i="5"/>
  <c r="T617" i="5"/>
  <c r="U617" i="5"/>
  <c r="V617" i="5"/>
  <c r="W617" i="5"/>
  <c r="X617" i="5"/>
  <c r="B618" i="5"/>
  <c r="C618" i="5"/>
  <c r="D618" i="5"/>
  <c r="E618" i="5"/>
  <c r="F618" i="5"/>
  <c r="G618" i="5"/>
  <c r="H618" i="5"/>
  <c r="I618" i="5"/>
  <c r="J618" i="5"/>
  <c r="K618" i="5"/>
  <c r="L618" i="5"/>
  <c r="M618" i="5"/>
  <c r="N618" i="5"/>
  <c r="O618" i="5"/>
  <c r="P618" i="5"/>
  <c r="Q618" i="5"/>
  <c r="R618" i="5"/>
  <c r="S618" i="5"/>
  <c r="T618" i="5"/>
  <c r="U618" i="5"/>
  <c r="V618" i="5"/>
  <c r="W618" i="5"/>
  <c r="X618" i="5"/>
  <c r="B619" i="5"/>
  <c r="C619" i="5"/>
  <c r="D619" i="5"/>
  <c r="E619" i="5"/>
  <c r="F619" i="5"/>
  <c r="G619" i="5"/>
  <c r="H619" i="5"/>
  <c r="I619" i="5"/>
  <c r="J619" i="5"/>
  <c r="K619" i="5"/>
  <c r="L619" i="5"/>
  <c r="M619" i="5"/>
  <c r="N619" i="5"/>
  <c r="O619" i="5"/>
  <c r="P619" i="5"/>
  <c r="Q619" i="5"/>
  <c r="R619" i="5"/>
  <c r="S619" i="5"/>
  <c r="T619" i="5"/>
  <c r="U619" i="5"/>
  <c r="V619" i="5"/>
  <c r="W619" i="5"/>
  <c r="X619" i="5"/>
  <c r="B620" i="5"/>
  <c r="C620" i="5"/>
  <c r="D620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Q620" i="5"/>
  <c r="R620" i="5"/>
  <c r="S620" i="5"/>
  <c r="T620" i="5"/>
  <c r="U620" i="5"/>
  <c r="V620" i="5"/>
  <c r="W620" i="5"/>
  <c r="X620" i="5"/>
  <c r="B621" i="5"/>
  <c r="C621" i="5"/>
  <c r="D621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Q621" i="5"/>
  <c r="R621" i="5"/>
  <c r="S621" i="5"/>
  <c r="T621" i="5"/>
  <c r="U621" i="5"/>
  <c r="V621" i="5"/>
  <c r="W621" i="5"/>
  <c r="X621" i="5"/>
  <c r="B622" i="5"/>
  <c r="C622" i="5"/>
  <c r="D622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Q622" i="5"/>
  <c r="R622" i="5"/>
  <c r="S622" i="5"/>
  <c r="T622" i="5"/>
  <c r="U622" i="5"/>
  <c r="V622" i="5"/>
  <c r="W622" i="5"/>
  <c r="X622" i="5"/>
  <c r="B623" i="5"/>
  <c r="C623" i="5"/>
  <c r="D623" i="5"/>
  <c r="E623" i="5"/>
  <c r="F623" i="5"/>
  <c r="G623" i="5"/>
  <c r="H623" i="5"/>
  <c r="I623" i="5"/>
  <c r="J623" i="5"/>
  <c r="K623" i="5"/>
  <c r="L623" i="5"/>
  <c r="M623" i="5"/>
  <c r="N623" i="5"/>
  <c r="O623" i="5"/>
  <c r="P623" i="5"/>
  <c r="Q623" i="5"/>
  <c r="R623" i="5"/>
  <c r="S623" i="5"/>
  <c r="T623" i="5"/>
  <c r="U623" i="5"/>
  <c r="V623" i="5"/>
  <c r="W623" i="5"/>
  <c r="X623" i="5"/>
  <c r="B624" i="5"/>
  <c r="C624" i="5"/>
  <c r="D624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Q624" i="5"/>
  <c r="R624" i="5"/>
  <c r="S624" i="5"/>
  <c r="T624" i="5"/>
  <c r="U624" i="5"/>
  <c r="V624" i="5"/>
  <c r="W624" i="5"/>
  <c r="X624" i="5"/>
  <c r="B625" i="5"/>
  <c r="C625" i="5"/>
  <c r="D625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Q625" i="5"/>
  <c r="R625" i="5"/>
  <c r="S625" i="5"/>
  <c r="T625" i="5"/>
  <c r="U625" i="5"/>
  <c r="V625" i="5"/>
  <c r="W625" i="5"/>
  <c r="X625" i="5"/>
  <c r="B626" i="5"/>
  <c r="C626" i="5"/>
  <c r="D626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Q626" i="5"/>
  <c r="R626" i="5"/>
  <c r="S626" i="5"/>
  <c r="T626" i="5"/>
  <c r="U626" i="5"/>
  <c r="V626" i="5"/>
  <c r="W626" i="5"/>
  <c r="X626" i="5"/>
  <c r="A627" i="5"/>
  <c r="B627" i="5"/>
  <c r="C627" i="5"/>
  <c r="D627" i="5"/>
  <c r="E627" i="5"/>
  <c r="F627" i="5"/>
  <c r="G627" i="5"/>
  <c r="H627" i="5"/>
  <c r="I627" i="5"/>
  <c r="J627" i="5"/>
  <c r="K627" i="5"/>
  <c r="L627" i="5"/>
  <c r="M627" i="5"/>
  <c r="N627" i="5"/>
  <c r="O627" i="5"/>
  <c r="P627" i="5"/>
  <c r="Q627" i="5"/>
  <c r="R627" i="5"/>
  <c r="S627" i="5"/>
  <c r="T627" i="5"/>
  <c r="U627" i="5"/>
  <c r="V627" i="5"/>
  <c r="W627" i="5"/>
  <c r="X627" i="5"/>
  <c r="A628" i="5"/>
  <c r="B628" i="5"/>
  <c r="C628" i="5"/>
  <c r="D628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Q628" i="5"/>
  <c r="R628" i="5"/>
  <c r="S628" i="5"/>
  <c r="T628" i="5"/>
  <c r="U628" i="5"/>
  <c r="V628" i="5"/>
  <c r="W628" i="5"/>
  <c r="X628" i="5"/>
  <c r="A629" i="5"/>
  <c r="B629" i="5"/>
  <c r="C629" i="5"/>
  <c r="D629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Q629" i="5"/>
  <c r="R629" i="5"/>
  <c r="S629" i="5"/>
  <c r="T629" i="5"/>
  <c r="U629" i="5"/>
  <c r="V629" i="5"/>
  <c r="W629" i="5"/>
  <c r="X629" i="5"/>
  <c r="A630" i="5"/>
  <c r="B630" i="5"/>
  <c r="C630" i="5"/>
  <c r="D630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Q630" i="5"/>
  <c r="R630" i="5"/>
  <c r="S630" i="5"/>
  <c r="T630" i="5"/>
  <c r="U630" i="5"/>
  <c r="V630" i="5"/>
  <c r="W630" i="5"/>
  <c r="X630" i="5"/>
  <c r="A631" i="5"/>
  <c r="B631" i="5"/>
  <c r="C631" i="5"/>
  <c r="D631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V631" i="5"/>
  <c r="W631" i="5"/>
  <c r="X631" i="5"/>
  <c r="A632" i="5"/>
  <c r="B632" i="5"/>
  <c r="C632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V632" i="5"/>
  <c r="W632" i="5"/>
  <c r="X632" i="5"/>
  <c r="A633" i="5"/>
  <c r="B633" i="5"/>
  <c r="C633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V633" i="5"/>
  <c r="W633" i="5"/>
  <c r="X633" i="5"/>
  <c r="A634" i="5"/>
  <c r="B634" i="5"/>
  <c r="C634" i="5"/>
  <c r="D634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V634" i="5"/>
  <c r="W634" i="5"/>
  <c r="X634" i="5"/>
  <c r="A635" i="5"/>
  <c r="B635" i="5"/>
  <c r="C635" i="5"/>
  <c r="D635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V635" i="5"/>
  <c r="W635" i="5"/>
  <c r="X635" i="5"/>
  <c r="A636" i="5"/>
  <c r="B636" i="5"/>
  <c r="C636" i="5"/>
  <c r="D636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V636" i="5"/>
  <c r="W636" i="5"/>
  <c r="X636" i="5"/>
  <c r="A637" i="5"/>
  <c r="B637" i="5"/>
  <c r="C637" i="5"/>
  <c r="D637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V637" i="5"/>
  <c r="W637" i="5"/>
  <c r="X637" i="5"/>
  <c r="A638" i="5"/>
  <c r="B638" i="5"/>
  <c r="C638" i="5"/>
  <c r="D638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V638" i="5"/>
  <c r="W638" i="5"/>
  <c r="X638" i="5"/>
  <c r="A639" i="5"/>
  <c r="B639" i="5"/>
  <c r="C639" i="5"/>
  <c r="D639" i="5"/>
  <c r="E639" i="5"/>
  <c r="F639" i="5"/>
  <c r="G639" i="5"/>
  <c r="H639" i="5"/>
  <c r="I639" i="5"/>
  <c r="J639" i="5"/>
  <c r="K639" i="5"/>
  <c r="L639" i="5"/>
  <c r="M639" i="5"/>
  <c r="N639" i="5"/>
  <c r="O639" i="5"/>
  <c r="P639" i="5"/>
  <c r="Q639" i="5"/>
  <c r="R639" i="5"/>
  <c r="S639" i="5"/>
  <c r="T639" i="5"/>
  <c r="U639" i="5"/>
  <c r="V639" i="5"/>
  <c r="W639" i="5"/>
  <c r="X639" i="5"/>
  <c r="A640" i="5"/>
  <c r="B640" i="5"/>
  <c r="C640" i="5"/>
  <c r="D640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V640" i="5"/>
  <c r="W640" i="5"/>
  <c r="X640" i="5"/>
  <c r="A641" i="5"/>
  <c r="B641" i="5"/>
  <c r="C641" i="5"/>
  <c r="D641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V641" i="5"/>
  <c r="W641" i="5"/>
  <c r="X641" i="5"/>
  <c r="A642" i="5"/>
  <c r="B642" i="5"/>
  <c r="C642" i="5"/>
  <c r="D642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V642" i="5"/>
  <c r="W642" i="5"/>
  <c r="X642" i="5"/>
  <c r="A643" i="5"/>
  <c r="B643" i="5"/>
  <c r="C643" i="5"/>
  <c r="D643" i="5"/>
  <c r="F643" i="5"/>
  <c r="G643" i="5"/>
  <c r="H643" i="5"/>
  <c r="J643" i="5"/>
  <c r="K643" i="5"/>
  <c r="L643" i="5"/>
  <c r="N643" i="5"/>
  <c r="O643" i="5"/>
  <c r="P643" i="5"/>
  <c r="R643" i="5"/>
  <c r="S643" i="5"/>
  <c r="T643" i="5"/>
  <c r="V643" i="5"/>
  <c r="W643" i="5"/>
  <c r="X643" i="5"/>
  <c r="A644" i="5"/>
  <c r="B644" i="5"/>
  <c r="C644" i="5"/>
  <c r="D644" i="5"/>
  <c r="F644" i="5"/>
  <c r="G644" i="5"/>
  <c r="H644" i="5"/>
  <c r="J644" i="5"/>
  <c r="K644" i="5"/>
  <c r="L644" i="5"/>
  <c r="N644" i="5"/>
  <c r="O644" i="5"/>
  <c r="P644" i="5"/>
  <c r="R644" i="5"/>
  <c r="S644" i="5"/>
  <c r="T644" i="5"/>
  <c r="V644" i="5"/>
  <c r="W644" i="5"/>
  <c r="X644" i="5"/>
  <c r="A645" i="5"/>
  <c r="B645" i="5"/>
  <c r="C645" i="5"/>
  <c r="D645" i="5"/>
  <c r="F645" i="5"/>
  <c r="G645" i="5"/>
  <c r="H645" i="5"/>
  <c r="J645" i="5"/>
  <c r="K645" i="5"/>
  <c r="L645" i="5"/>
  <c r="N645" i="5"/>
  <c r="O645" i="5"/>
  <c r="P645" i="5"/>
  <c r="R645" i="5"/>
  <c r="S645" i="5"/>
  <c r="T645" i="5"/>
  <c r="V645" i="5"/>
  <c r="W645" i="5"/>
  <c r="X645" i="5"/>
  <c r="A646" i="5"/>
  <c r="B646" i="5"/>
  <c r="C646" i="5"/>
  <c r="D646" i="5"/>
  <c r="F646" i="5"/>
  <c r="G646" i="5"/>
  <c r="H646" i="5"/>
  <c r="J646" i="5"/>
  <c r="K646" i="5"/>
  <c r="L646" i="5"/>
  <c r="N646" i="5"/>
  <c r="O646" i="5"/>
  <c r="P646" i="5"/>
  <c r="R646" i="5"/>
  <c r="S646" i="5"/>
  <c r="T646" i="5"/>
  <c r="V646" i="5"/>
  <c r="W646" i="5"/>
  <c r="X646" i="5"/>
  <c r="A647" i="5"/>
  <c r="B647" i="5"/>
  <c r="C647" i="5"/>
  <c r="D647" i="5"/>
  <c r="F647" i="5"/>
  <c r="G647" i="5"/>
  <c r="H647" i="5"/>
  <c r="J647" i="5"/>
  <c r="K647" i="5"/>
  <c r="L647" i="5"/>
  <c r="N647" i="5"/>
  <c r="O647" i="5"/>
  <c r="P647" i="5"/>
  <c r="R647" i="5"/>
  <c r="S647" i="5"/>
  <c r="T647" i="5"/>
  <c r="V647" i="5"/>
  <c r="W647" i="5"/>
  <c r="X647" i="5"/>
  <c r="A648" i="5"/>
  <c r="B648" i="5"/>
  <c r="C648" i="5"/>
  <c r="D648" i="5"/>
  <c r="F648" i="5"/>
  <c r="G648" i="5"/>
  <c r="H648" i="5"/>
  <c r="J648" i="5"/>
  <c r="K648" i="5"/>
  <c r="L648" i="5"/>
  <c r="N648" i="5"/>
  <c r="O648" i="5"/>
  <c r="P648" i="5"/>
  <c r="R648" i="5"/>
  <c r="S648" i="5"/>
  <c r="T648" i="5"/>
  <c r="V648" i="5"/>
  <c r="W648" i="5"/>
  <c r="X648" i="5"/>
  <c r="A649" i="5"/>
  <c r="B649" i="5"/>
  <c r="C649" i="5"/>
  <c r="D649" i="5"/>
  <c r="F649" i="5"/>
  <c r="G649" i="5"/>
  <c r="H649" i="5"/>
  <c r="J649" i="5"/>
  <c r="K649" i="5"/>
  <c r="L649" i="5"/>
  <c r="N649" i="5"/>
  <c r="O649" i="5"/>
  <c r="P649" i="5"/>
  <c r="R649" i="5"/>
  <c r="S649" i="5"/>
  <c r="T649" i="5"/>
  <c r="V649" i="5"/>
  <c r="W649" i="5"/>
  <c r="X649" i="5"/>
  <c r="A650" i="5"/>
  <c r="C650" i="5"/>
  <c r="G650" i="5"/>
  <c r="K650" i="5"/>
  <c r="O650" i="5"/>
  <c r="S650" i="5"/>
  <c r="W650" i="5"/>
  <c r="E9" i="4"/>
  <c r="J12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16" i="4"/>
  <c r="C16" i="4"/>
  <c r="D16" i="4"/>
  <c r="E16" i="4"/>
  <c r="F16" i="4"/>
  <c r="G16" i="4"/>
  <c r="H16" i="4"/>
  <c r="I16" i="4"/>
  <c r="J16" i="4"/>
  <c r="B17" i="4"/>
  <c r="C17" i="4"/>
  <c r="D17" i="4"/>
  <c r="E17" i="4"/>
  <c r="F17" i="4"/>
  <c r="G17" i="4"/>
  <c r="H17" i="4"/>
  <c r="I17" i="4"/>
  <c r="J17" i="4"/>
  <c r="B18" i="4"/>
  <c r="C18" i="4"/>
  <c r="D18" i="4"/>
  <c r="E18" i="4"/>
  <c r="F18" i="4"/>
  <c r="G18" i="4"/>
  <c r="H18" i="4"/>
  <c r="I18" i="4"/>
  <c r="J18" i="4"/>
  <c r="B19" i="4"/>
  <c r="C19" i="4"/>
  <c r="D19" i="4"/>
  <c r="E19" i="4"/>
  <c r="F19" i="4"/>
  <c r="G19" i="4"/>
  <c r="H19" i="4"/>
  <c r="I19" i="4"/>
  <c r="J19" i="4"/>
  <c r="B20" i="4"/>
  <c r="C20" i="4"/>
  <c r="D20" i="4"/>
  <c r="E20" i="4"/>
  <c r="F20" i="4"/>
  <c r="G20" i="4"/>
  <c r="H20" i="4"/>
  <c r="I20" i="4"/>
  <c r="J20" i="4"/>
  <c r="B21" i="4"/>
  <c r="C21" i="4"/>
  <c r="D21" i="4"/>
  <c r="E21" i="4"/>
  <c r="F21" i="4"/>
  <c r="G21" i="4"/>
  <c r="H21" i="4"/>
  <c r="I21" i="4"/>
  <c r="J21" i="4"/>
  <c r="B22" i="4"/>
  <c r="C22" i="4"/>
  <c r="D22" i="4"/>
  <c r="E22" i="4"/>
  <c r="F22" i="4"/>
  <c r="G22" i="4"/>
  <c r="H22" i="4"/>
  <c r="I22" i="4"/>
  <c r="J22" i="4"/>
  <c r="B23" i="4"/>
  <c r="C23" i="4"/>
  <c r="D23" i="4"/>
  <c r="E23" i="4"/>
  <c r="F23" i="4"/>
  <c r="G23" i="4"/>
  <c r="H23" i="4"/>
  <c r="I23" i="4"/>
  <c r="J23" i="4"/>
  <c r="B24" i="4"/>
  <c r="C24" i="4"/>
  <c r="D24" i="4"/>
  <c r="E24" i="4"/>
  <c r="F24" i="4"/>
  <c r="G24" i="4"/>
  <c r="H24" i="4"/>
  <c r="I24" i="4"/>
  <c r="J24" i="4"/>
  <c r="B25" i="4"/>
  <c r="C25" i="4"/>
  <c r="D25" i="4"/>
  <c r="E25" i="4"/>
  <c r="F25" i="4"/>
  <c r="G25" i="4"/>
  <c r="H25" i="4"/>
  <c r="I25" i="4"/>
  <c r="J25" i="4"/>
  <c r="B26" i="4"/>
  <c r="C26" i="4"/>
  <c r="D26" i="4"/>
  <c r="E26" i="4"/>
  <c r="F26" i="4"/>
  <c r="G26" i="4"/>
  <c r="H26" i="4"/>
  <c r="I26" i="4"/>
  <c r="J26" i="4"/>
  <c r="B27" i="4"/>
  <c r="C27" i="4"/>
  <c r="D27" i="4"/>
  <c r="E27" i="4"/>
  <c r="F27" i="4"/>
  <c r="G27" i="4"/>
  <c r="H27" i="4"/>
  <c r="I27" i="4"/>
  <c r="J27" i="4"/>
  <c r="B28" i="4"/>
  <c r="C28" i="4"/>
  <c r="D28" i="4"/>
  <c r="E28" i="4"/>
  <c r="F28" i="4"/>
  <c r="G28" i="4"/>
  <c r="H28" i="4"/>
  <c r="I28" i="4"/>
  <c r="J28" i="4"/>
  <c r="B29" i="4"/>
  <c r="C29" i="4"/>
  <c r="D29" i="4"/>
  <c r="E29" i="4"/>
  <c r="F29" i="4"/>
  <c r="G29" i="4"/>
  <c r="H29" i="4"/>
  <c r="I29" i="4"/>
  <c r="J29" i="4"/>
  <c r="B30" i="4"/>
  <c r="C30" i="4"/>
  <c r="D30" i="4"/>
  <c r="E30" i="4"/>
  <c r="F30" i="4"/>
  <c r="G30" i="4"/>
  <c r="H30" i="4"/>
  <c r="I30" i="4"/>
  <c r="J30" i="4"/>
  <c r="B31" i="4"/>
  <c r="C31" i="4"/>
  <c r="D31" i="4"/>
  <c r="E31" i="4"/>
  <c r="F31" i="4"/>
  <c r="G31" i="4"/>
  <c r="H31" i="4"/>
  <c r="I31" i="4"/>
  <c r="J31" i="4"/>
  <c r="B32" i="4"/>
  <c r="C32" i="4"/>
  <c r="D32" i="4"/>
  <c r="E32" i="4"/>
  <c r="F32" i="4"/>
  <c r="G32" i="4"/>
  <c r="H32" i="4"/>
  <c r="I32" i="4"/>
  <c r="J32" i="4"/>
  <c r="B33" i="4"/>
  <c r="C33" i="4"/>
  <c r="D33" i="4"/>
  <c r="E33" i="4"/>
  <c r="F33" i="4"/>
  <c r="G33" i="4"/>
  <c r="H33" i="4"/>
  <c r="I33" i="4"/>
  <c r="J33" i="4"/>
  <c r="B34" i="4"/>
  <c r="C34" i="4"/>
  <c r="D34" i="4"/>
  <c r="E34" i="4"/>
  <c r="F34" i="4"/>
  <c r="G34" i="4"/>
  <c r="H34" i="4"/>
  <c r="I34" i="4"/>
  <c r="J34" i="4"/>
  <c r="B35" i="4"/>
  <c r="C35" i="4"/>
  <c r="D35" i="4"/>
  <c r="E35" i="4"/>
  <c r="F35" i="4"/>
  <c r="G35" i="4"/>
  <c r="H35" i="4"/>
  <c r="I35" i="4"/>
  <c r="J35" i="4"/>
  <c r="B36" i="4"/>
  <c r="C36" i="4"/>
  <c r="D36" i="4"/>
  <c r="E36" i="4"/>
  <c r="F36" i="4"/>
  <c r="G36" i="4"/>
  <c r="H36" i="4"/>
  <c r="I36" i="4"/>
  <c r="J36" i="4"/>
  <c r="B37" i="4"/>
  <c r="C37" i="4"/>
  <c r="D37" i="4"/>
  <c r="E37" i="4"/>
  <c r="F37" i="4"/>
  <c r="G37" i="4"/>
  <c r="H37" i="4"/>
  <c r="I37" i="4"/>
  <c r="J37" i="4"/>
  <c r="B38" i="4"/>
  <c r="C38" i="4"/>
  <c r="D38" i="4"/>
  <c r="E38" i="4"/>
  <c r="F38" i="4"/>
  <c r="G38" i="4"/>
  <c r="H38" i="4"/>
  <c r="I38" i="4"/>
  <c r="J38" i="4"/>
  <c r="B39" i="4"/>
  <c r="C39" i="4"/>
  <c r="D39" i="4"/>
  <c r="E39" i="4"/>
  <c r="F39" i="4"/>
  <c r="G39" i="4"/>
  <c r="H39" i="4"/>
  <c r="I39" i="4"/>
  <c r="J39" i="4"/>
  <c r="B40" i="4"/>
  <c r="C40" i="4"/>
  <c r="D40" i="4"/>
  <c r="E40" i="4"/>
  <c r="F40" i="4"/>
  <c r="G40" i="4"/>
  <c r="H40" i="4"/>
  <c r="I40" i="4"/>
  <c r="J40" i="4"/>
  <c r="B41" i="4"/>
  <c r="C41" i="4"/>
  <c r="D41" i="4"/>
  <c r="E41" i="4"/>
  <c r="F41" i="4"/>
  <c r="G41" i="4"/>
  <c r="H41" i="4"/>
  <c r="I41" i="4"/>
  <c r="J41" i="4"/>
  <c r="B42" i="4"/>
  <c r="C42" i="4"/>
  <c r="D42" i="4"/>
  <c r="E42" i="4"/>
  <c r="F42" i="4"/>
  <c r="G42" i="4"/>
  <c r="H42" i="4"/>
  <c r="I42" i="4"/>
  <c r="J42" i="4"/>
  <c r="B43" i="4"/>
  <c r="C43" i="4"/>
  <c r="D43" i="4"/>
  <c r="E43" i="4"/>
  <c r="F43" i="4"/>
  <c r="G43" i="4"/>
  <c r="H43" i="4"/>
  <c r="I43" i="4"/>
  <c r="J43" i="4"/>
  <c r="B44" i="4"/>
  <c r="C44" i="4"/>
  <c r="D44" i="4"/>
  <c r="E44" i="4"/>
  <c r="F44" i="4"/>
  <c r="G44" i="4"/>
  <c r="H44" i="4"/>
  <c r="I44" i="4"/>
  <c r="J44" i="4"/>
  <c r="B45" i="4"/>
  <c r="C45" i="4"/>
  <c r="D45" i="4"/>
  <c r="E45" i="4"/>
  <c r="F45" i="4"/>
  <c r="G45" i="4"/>
  <c r="H45" i="4"/>
  <c r="I45" i="4"/>
  <c r="J45" i="4"/>
  <c r="B46" i="4"/>
  <c r="C46" i="4"/>
  <c r="D46" i="4"/>
  <c r="E46" i="4"/>
  <c r="F46" i="4"/>
  <c r="G46" i="4"/>
  <c r="H46" i="4"/>
  <c r="I46" i="4"/>
  <c r="J46" i="4"/>
  <c r="B47" i="4"/>
  <c r="C47" i="4"/>
  <c r="D47" i="4"/>
  <c r="E47" i="4"/>
  <c r="F47" i="4"/>
  <c r="G47" i="4"/>
  <c r="H47" i="4"/>
  <c r="I47" i="4"/>
  <c r="J47" i="4"/>
  <c r="B48" i="4"/>
  <c r="C48" i="4"/>
  <c r="D48" i="4"/>
  <c r="E48" i="4"/>
  <c r="F48" i="4"/>
  <c r="G48" i="4"/>
  <c r="H48" i="4"/>
  <c r="I48" i="4"/>
  <c r="J48" i="4"/>
  <c r="B49" i="4"/>
  <c r="C49" i="4"/>
  <c r="D49" i="4"/>
  <c r="E49" i="4"/>
  <c r="F49" i="4"/>
  <c r="G49" i="4"/>
  <c r="H49" i="4"/>
  <c r="I49" i="4"/>
  <c r="J49" i="4"/>
  <c r="B50" i="4"/>
  <c r="C50" i="4"/>
  <c r="D50" i="4"/>
  <c r="E50" i="4"/>
  <c r="F50" i="4"/>
  <c r="G50" i="4"/>
  <c r="H50" i="4"/>
  <c r="I50" i="4"/>
  <c r="J50" i="4"/>
  <c r="B51" i="4"/>
  <c r="C51" i="4"/>
  <c r="D51" i="4"/>
  <c r="E51" i="4"/>
  <c r="F51" i="4"/>
  <c r="G51" i="4"/>
  <c r="H51" i="4"/>
  <c r="I51" i="4"/>
  <c r="J51" i="4"/>
  <c r="B52" i="4"/>
  <c r="C52" i="4"/>
  <c r="D52" i="4"/>
  <c r="E52" i="4"/>
  <c r="F52" i="4"/>
  <c r="G52" i="4"/>
  <c r="H52" i="4"/>
  <c r="I52" i="4"/>
  <c r="J52" i="4"/>
  <c r="B53" i="4"/>
  <c r="C53" i="4"/>
  <c r="D53" i="4"/>
  <c r="E53" i="4"/>
  <c r="F53" i="4"/>
  <c r="G53" i="4"/>
  <c r="H53" i="4"/>
  <c r="I53" i="4"/>
  <c r="J53" i="4"/>
  <c r="B54" i="4"/>
  <c r="C54" i="4"/>
  <c r="D54" i="4"/>
  <c r="E54" i="4"/>
  <c r="F54" i="4"/>
  <c r="G54" i="4"/>
  <c r="H54" i="4"/>
  <c r="I54" i="4"/>
  <c r="J54" i="4"/>
  <c r="B55" i="4"/>
  <c r="C55" i="4"/>
  <c r="D55" i="4"/>
  <c r="E55" i="4"/>
  <c r="F55" i="4"/>
  <c r="G55" i="4"/>
  <c r="H55" i="4"/>
  <c r="I55" i="4"/>
  <c r="J55" i="4"/>
  <c r="B56" i="4"/>
  <c r="C56" i="4"/>
  <c r="D56" i="4"/>
  <c r="E56" i="4"/>
  <c r="F56" i="4"/>
  <c r="G56" i="4"/>
  <c r="H56" i="4"/>
  <c r="I56" i="4"/>
  <c r="J56" i="4"/>
  <c r="B57" i="4"/>
  <c r="C57" i="4"/>
  <c r="D57" i="4"/>
  <c r="E57" i="4"/>
  <c r="F57" i="4"/>
  <c r="G57" i="4"/>
  <c r="H57" i="4"/>
  <c r="I57" i="4"/>
  <c r="J57" i="4"/>
  <c r="B58" i="4"/>
  <c r="C58" i="4"/>
  <c r="D58" i="4"/>
  <c r="E58" i="4"/>
  <c r="F58" i="4"/>
  <c r="G58" i="4"/>
  <c r="H58" i="4"/>
  <c r="I58" i="4"/>
  <c r="J58" i="4"/>
  <c r="B59" i="4"/>
  <c r="C59" i="4"/>
  <c r="D59" i="4"/>
  <c r="E59" i="4"/>
  <c r="F59" i="4"/>
  <c r="G59" i="4"/>
  <c r="H59" i="4"/>
  <c r="I59" i="4"/>
  <c r="J59" i="4"/>
  <c r="B60" i="4"/>
  <c r="C60" i="4"/>
  <c r="D60" i="4"/>
  <c r="E60" i="4"/>
  <c r="F60" i="4"/>
  <c r="G60" i="4"/>
  <c r="H60" i="4"/>
  <c r="I60" i="4"/>
  <c r="J60" i="4"/>
  <c r="B61" i="4"/>
  <c r="C61" i="4"/>
  <c r="D61" i="4"/>
  <c r="E61" i="4"/>
  <c r="F61" i="4"/>
  <c r="G61" i="4"/>
  <c r="H61" i="4"/>
  <c r="I61" i="4"/>
  <c r="J61" i="4"/>
  <c r="B62" i="4"/>
  <c r="C62" i="4"/>
  <c r="D62" i="4"/>
  <c r="E62" i="4"/>
  <c r="F62" i="4"/>
  <c r="G62" i="4"/>
  <c r="H62" i="4"/>
  <c r="I62" i="4"/>
  <c r="J62" i="4"/>
  <c r="B63" i="4"/>
  <c r="C63" i="4"/>
  <c r="D63" i="4"/>
  <c r="E63" i="4"/>
  <c r="F63" i="4"/>
  <c r="G63" i="4"/>
  <c r="H63" i="4"/>
  <c r="I63" i="4"/>
  <c r="J63" i="4"/>
  <c r="B64" i="4"/>
  <c r="C64" i="4"/>
  <c r="D64" i="4"/>
  <c r="E64" i="4"/>
  <c r="F64" i="4"/>
  <c r="G64" i="4"/>
  <c r="H64" i="4"/>
  <c r="I64" i="4"/>
  <c r="J64" i="4"/>
  <c r="B65" i="4"/>
  <c r="C65" i="4"/>
  <c r="D65" i="4"/>
  <c r="E65" i="4"/>
  <c r="F65" i="4"/>
  <c r="G65" i="4"/>
  <c r="H65" i="4"/>
  <c r="I65" i="4"/>
  <c r="J65" i="4"/>
  <c r="B66" i="4"/>
  <c r="C66" i="4"/>
  <c r="D66" i="4"/>
  <c r="E66" i="4"/>
  <c r="F66" i="4"/>
  <c r="G66" i="4"/>
  <c r="H66" i="4"/>
  <c r="I66" i="4"/>
  <c r="J66" i="4"/>
  <c r="B67" i="4"/>
  <c r="C67" i="4"/>
  <c r="D67" i="4"/>
  <c r="E67" i="4"/>
  <c r="F67" i="4"/>
  <c r="G67" i="4"/>
  <c r="H67" i="4"/>
  <c r="I67" i="4"/>
  <c r="J67" i="4"/>
  <c r="B68" i="4"/>
  <c r="C68" i="4"/>
  <c r="D68" i="4"/>
  <c r="E68" i="4"/>
  <c r="F68" i="4"/>
  <c r="G68" i="4"/>
  <c r="H68" i="4"/>
  <c r="I68" i="4"/>
  <c r="J68" i="4"/>
  <c r="B69" i="4"/>
  <c r="C69" i="4"/>
  <c r="D69" i="4"/>
  <c r="E69" i="4"/>
  <c r="F69" i="4"/>
  <c r="G69" i="4"/>
  <c r="H69" i="4"/>
  <c r="I69" i="4"/>
  <c r="J69" i="4"/>
  <c r="B70" i="4"/>
  <c r="C70" i="4"/>
  <c r="D70" i="4"/>
  <c r="E70" i="4"/>
  <c r="F70" i="4"/>
  <c r="G70" i="4"/>
  <c r="H70" i="4"/>
  <c r="I70" i="4"/>
  <c r="J70" i="4"/>
  <c r="B71" i="4"/>
  <c r="C71" i="4"/>
  <c r="D71" i="4"/>
  <c r="E71" i="4"/>
  <c r="F71" i="4"/>
  <c r="G71" i="4"/>
  <c r="H71" i="4"/>
  <c r="I71" i="4"/>
  <c r="J71" i="4"/>
  <c r="B72" i="4"/>
  <c r="C72" i="4"/>
  <c r="D72" i="4"/>
  <c r="E72" i="4"/>
  <c r="F72" i="4"/>
  <c r="G72" i="4"/>
  <c r="H72" i="4"/>
  <c r="I72" i="4"/>
  <c r="J72" i="4"/>
  <c r="B73" i="4"/>
  <c r="C73" i="4"/>
  <c r="D73" i="4"/>
  <c r="E73" i="4"/>
  <c r="F73" i="4"/>
  <c r="G73" i="4"/>
  <c r="H73" i="4"/>
  <c r="I73" i="4"/>
  <c r="J73" i="4"/>
  <c r="B74" i="4"/>
  <c r="C74" i="4"/>
  <c r="D74" i="4"/>
  <c r="E74" i="4"/>
  <c r="F74" i="4"/>
  <c r="G74" i="4"/>
  <c r="H74" i="4"/>
  <c r="I74" i="4"/>
  <c r="J74" i="4"/>
  <c r="B75" i="4"/>
  <c r="C75" i="4"/>
  <c r="D75" i="4"/>
  <c r="E75" i="4"/>
  <c r="F75" i="4"/>
  <c r="G75" i="4"/>
  <c r="H75" i="4"/>
  <c r="I75" i="4"/>
  <c r="J75" i="4"/>
  <c r="B76" i="4"/>
  <c r="C76" i="4"/>
  <c r="D76" i="4"/>
  <c r="E76" i="4"/>
  <c r="F76" i="4"/>
  <c r="G76" i="4"/>
  <c r="H76" i="4"/>
  <c r="I76" i="4"/>
  <c r="J76" i="4"/>
  <c r="B77" i="4"/>
  <c r="C77" i="4"/>
  <c r="D77" i="4"/>
  <c r="E77" i="4"/>
  <c r="F77" i="4"/>
  <c r="G77" i="4"/>
  <c r="H77" i="4"/>
  <c r="I77" i="4"/>
  <c r="J77" i="4"/>
  <c r="B78" i="4"/>
  <c r="C78" i="4"/>
  <c r="D78" i="4"/>
  <c r="E78" i="4"/>
  <c r="F78" i="4"/>
  <c r="G78" i="4"/>
  <c r="H78" i="4"/>
  <c r="I78" i="4"/>
  <c r="J78" i="4"/>
  <c r="B79" i="4"/>
  <c r="C79" i="4"/>
  <c r="D79" i="4"/>
  <c r="E79" i="4"/>
  <c r="F79" i="4"/>
  <c r="G79" i="4"/>
  <c r="H79" i="4"/>
  <c r="I79" i="4"/>
  <c r="J79" i="4"/>
  <c r="B80" i="4"/>
  <c r="C80" i="4"/>
  <c r="D80" i="4"/>
  <c r="E80" i="4"/>
  <c r="F80" i="4"/>
  <c r="G80" i="4"/>
  <c r="H80" i="4"/>
  <c r="I80" i="4"/>
  <c r="J80" i="4"/>
  <c r="B81" i="4"/>
  <c r="C81" i="4"/>
  <c r="D81" i="4"/>
  <c r="E81" i="4"/>
  <c r="F81" i="4"/>
  <c r="G81" i="4"/>
  <c r="H81" i="4"/>
  <c r="I81" i="4"/>
  <c r="J81" i="4"/>
  <c r="B82" i="4"/>
  <c r="C82" i="4"/>
  <c r="D82" i="4"/>
  <c r="E82" i="4"/>
  <c r="F82" i="4"/>
  <c r="G82" i="4"/>
  <c r="H82" i="4"/>
  <c r="I82" i="4"/>
  <c r="J82" i="4"/>
  <c r="B83" i="4"/>
  <c r="C83" i="4"/>
  <c r="D83" i="4"/>
  <c r="E83" i="4"/>
  <c r="F83" i="4"/>
  <c r="G83" i="4"/>
  <c r="H83" i="4"/>
  <c r="I83" i="4"/>
  <c r="J83" i="4"/>
  <c r="B84" i="4"/>
  <c r="C84" i="4"/>
  <c r="D84" i="4"/>
  <c r="E84" i="4"/>
  <c r="F84" i="4"/>
  <c r="G84" i="4"/>
  <c r="H84" i="4"/>
  <c r="I84" i="4"/>
  <c r="J84" i="4"/>
  <c r="B85" i="4"/>
  <c r="C85" i="4"/>
  <c r="D85" i="4"/>
  <c r="E85" i="4"/>
  <c r="F85" i="4"/>
  <c r="G85" i="4"/>
  <c r="H85" i="4"/>
  <c r="I85" i="4"/>
  <c r="J85" i="4"/>
  <c r="B86" i="4"/>
  <c r="C86" i="4"/>
  <c r="D86" i="4"/>
  <c r="E86" i="4"/>
  <c r="F86" i="4"/>
  <c r="G86" i="4"/>
  <c r="H86" i="4"/>
  <c r="I86" i="4"/>
  <c r="J86" i="4"/>
  <c r="B87" i="4"/>
  <c r="C87" i="4"/>
  <c r="D87" i="4"/>
  <c r="E87" i="4"/>
  <c r="F87" i="4"/>
  <c r="G87" i="4"/>
  <c r="H87" i="4"/>
  <c r="I87" i="4"/>
  <c r="J87" i="4"/>
  <c r="B88" i="4"/>
  <c r="C88" i="4"/>
  <c r="D88" i="4"/>
  <c r="E88" i="4"/>
  <c r="F88" i="4"/>
  <c r="G88" i="4"/>
  <c r="H88" i="4"/>
  <c r="I88" i="4"/>
  <c r="J88" i="4"/>
  <c r="B89" i="4"/>
  <c r="C89" i="4"/>
  <c r="D89" i="4"/>
  <c r="E89" i="4"/>
  <c r="F89" i="4"/>
  <c r="G89" i="4"/>
  <c r="H89" i="4"/>
  <c r="I89" i="4"/>
  <c r="J89" i="4"/>
  <c r="B90" i="4"/>
  <c r="C90" i="4"/>
  <c r="D90" i="4"/>
  <c r="E90" i="4"/>
  <c r="F90" i="4"/>
  <c r="G90" i="4"/>
  <c r="H90" i="4"/>
  <c r="I90" i="4"/>
  <c r="J90" i="4"/>
  <c r="B91" i="4"/>
  <c r="C91" i="4"/>
  <c r="D91" i="4"/>
  <c r="E91" i="4"/>
  <c r="F91" i="4"/>
  <c r="G91" i="4"/>
  <c r="H91" i="4"/>
  <c r="I91" i="4"/>
  <c r="J91" i="4"/>
  <c r="B92" i="4"/>
  <c r="C92" i="4"/>
  <c r="D92" i="4"/>
  <c r="E92" i="4"/>
  <c r="F92" i="4"/>
  <c r="G92" i="4"/>
  <c r="H92" i="4"/>
  <c r="I92" i="4"/>
  <c r="J92" i="4"/>
  <c r="B93" i="4"/>
  <c r="C93" i="4"/>
  <c r="D93" i="4"/>
  <c r="E93" i="4"/>
  <c r="F93" i="4"/>
  <c r="G93" i="4"/>
  <c r="H93" i="4"/>
  <c r="I93" i="4"/>
  <c r="J93" i="4"/>
  <c r="B94" i="4"/>
  <c r="C94" i="4"/>
  <c r="D94" i="4"/>
  <c r="E94" i="4"/>
  <c r="F94" i="4"/>
  <c r="G94" i="4"/>
  <c r="H94" i="4"/>
  <c r="I94" i="4"/>
  <c r="J94" i="4"/>
  <c r="B95" i="4"/>
  <c r="C95" i="4"/>
  <c r="D95" i="4"/>
  <c r="E95" i="4"/>
  <c r="F95" i="4"/>
  <c r="G95" i="4"/>
  <c r="H95" i="4"/>
  <c r="I95" i="4"/>
  <c r="J95" i="4"/>
  <c r="B96" i="4"/>
  <c r="C96" i="4"/>
  <c r="D96" i="4"/>
  <c r="E96" i="4"/>
  <c r="F96" i="4"/>
  <c r="G96" i="4"/>
  <c r="H96" i="4"/>
  <c r="I96" i="4"/>
  <c r="J96" i="4"/>
  <c r="B97" i="4"/>
  <c r="C97" i="4"/>
  <c r="D97" i="4"/>
  <c r="E97" i="4"/>
  <c r="F97" i="4"/>
  <c r="G97" i="4"/>
  <c r="H97" i="4"/>
  <c r="I97" i="4"/>
  <c r="J97" i="4"/>
  <c r="B98" i="4"/>
  <c r="C98" i="4"/>
  <c r="D98" i="4"/>
  <c r="E98" i="4"/>
  <c r="F98" i="4"/>
  <c r="G98" i="4"/>
  <c r="H98" i="4"/>
  <c r="I98" i="4"/>
  <c r="J98" i="4"/>
  <c r="B99" i="4"/>
  <c r="C99" i="4"/>
  <c r="D99" i="4"/>
  <c r="E99" i="4"/>
  <c r="F99" i="4"/>
  <c r="G99" i="4"/>
  <c r="H99" i="4"/>
  <c r="I99" i="4"/>
  <c r="J99" i="4"/>
  <c r="B100" i="4"/>
  <c r="C100" i="4"/>
  <c r="D100" i="4"/>
  <c r="E100" i="4"/>
  <c r="F100" i="4"/>
  <c r="G100" i="4"/>
  <c r="H100" i="4"/>
  <c r="I100" i="4"/>
  <c r="J100" i="4"/>
  <c r="B101" i="4"/>
  <c r="C101" i="4"/>
  <c r="D101" i="4"/>
  <c r="E101" i="4"/>
  <c r="F101" i="4"/>
  <c r="G101" i="4"/>
  <c r="H101" i="4"/>
  <c r="I101" i="4"/>
  <c r="J101" i="4"/>
  <c r="B102" i="4"/>
  <c r="C102" i="4"/>
  <c r="D102" i="4"/>
  <c r="E102" i="4"/>
  <c r="F102" i="4"/>
  <c r="G102" i="4"/>
  <c r="H102" i="4"/>
  <c r="I102" i="4"/>
  <c r="J102" i="4"/>
  <c r="B103" i="4"/>
  <c r="C103" i="4"/>
  <c r="D103" i="4"/>
  <c r="E103" i="4"/>
  <c r="F103" i="4"/>
  <c r="G103" i="4"/>
  <c r="H103" i="4"/>
  <c r="I103" i="4"/>
  <c r="J103" i="4"/>
  <c r="B104" i="4"/>
  <c r="C104" i="4"/>
  <c r="D104" i="4"/>
  <c r="E104" i="4"/>
  <c r="F104" i="4"/>
  <c r="G104" i="4"/>
  <c r="H104" i="4"/>
  <c r="I104" i="4"/>
  <c r="J104" i="4"/>
  <c r="B105" i="4"/>
  <c r="C105" i="4"/>
  <c r="D105" i="4"/>
  <c r="E105" i="4"/>
  <c r="F105" i="4"/>
  <c r="G105" i="4"/>
  <c r="H105" i="4"/>
  <c r="I105" i="4"/>
  <c r="J105" i="4"/>
  <c r="B106" i="4"/>
  <c r="C106" i="4"/>
  <c r="D106" i="4"/>
  <c r="E106" i="4"/>
  <c r="F106" i="4"/>
  <c r="G106" i="4"/>
  <c r="H106" i="4"/>
  <c r="I106" i="4"/>
  <c r="J106" i="4"/>
  <c r="B107" i="4"/>
  <c r="C107" i="4"/>
  <c r="D107" i="4"/>
  <c r="E107" i="4"/>
  <c r="F107" i="4"/>
  <c r="G107" i="4"/>
  <c r="H107" i="4"/>
  <c r="I107" i="4"/>
  <c r="J107" i="4"/>
  <c r="B108" i="4"/>
  <c r="C108" i="4"/>
  <c r="D108" i="4"/>
  <c r="E108" i="4"/>
  <c r="F108" i="4"/>
  <c r="G108" i="4"/>
  <c r="H108" i="4"/>
  <c r="I108" i="4"/>
  <c r="J108" i="4"/>
  <c r="B109" i="4"/>
  <c r="C109" i="4"/>
  <c r="D109" i="4"/>
  <c r="E109" i="4"/>
  <c r="F109" i="4"/>
  <c r="G109" i="4"/>
  <c r="H109" i="4"/>
  <c r="I109" i="4"/>
  <c r="J109" i="4"/>
  <c r="B110" i="4"/>
  <c r="C110" i="4"/>
  <c r="D110" i="4"/>
  <c r="E110" i="4"/>
  <c r="F110" i="4"/>
  <c r="G110" i="4"/>
  <c r="H110" i="4"/>
  <c r="I110" i="4"/>
  <c r="J110" i="4"/>
  <c r="B111" i="4"/>
  <c r="C111" i="4"/>
  <c r="D111" i="4"/>
  <c r="E111" i="4"/>
  <c r="F111" i="4"/>
  <c r="G111" i="4"/>
  <c r="H111" i="4"/>
  <c r="I111" i="4"/>
  <c r="J111" i="4"/>
  <c r="B112" i="4"/>
  <c r="C112" i="4"/>
  <c r="D112" i="4"/>
  <c r="E112" i="4"/>
  <c r="F112" i="4"/>
  <c r="G112" i="4"/>
  <c r="H112" i="4"/>
  <c r="I112" i="4"/>
  <c r="J112" i="4"/>
  <c r="B113" i="4"/>
  <c r="C113" i="4"/>
  <c r="D113" i="4"/>
  <c r="E113" i="4"/>
  <c r="F113" i="4"/>
  <c r="G113" i="4"/>
  <c r="H113" i="4"/>
  <c r="I113" i="4"/>
  <c r="J113" i="4"/>
  <c r="B114" i="4"/>
  <c r="C114" i="4"/>
  <c r="D114" i="4"/>
  <c r="E114" i="4"/>
  <c r="F114" i="4"/>
  <c r="G114" i="4"/>
  <c r="H114" i="4"/>
  <c r="I114" i="4"/>
  <c r="J114" i="4"/>
  <c r="B115" i="4"/>
  <c r="C115" i="4"/>
  <c r="D115" i="4"/>
  <c r="E115" i="4"/>
  <c r="F115" i="4"/>
  <c r="G115" i="4"/>
  <c r="H115" i="4"/>
  <c r="I115" i="4"/>
  <c r="J115" i="4"/>
  <c r="B116" i="4"/>
  <c r="C116" i="4"/>
  <c r="D116" i="4"/>
  <c r="E116" i="4"/>
  <c r="F116" i="4"/>
  <c r="G116" i="4"/>
  <c r="H116" i="4"/>
  <c r="I116" i="4"/>
  <c r="J116" i="4"/>
  <c r="B117" i="4"/>
  <c r="C117" i="4"/>
  <c r="D117" i="4"/>
  <c r="E117" i="4"/>
  <c r="F117" i="4"/>
  <c r="G117" i="4"/>
  <c r="H117" i="4"/>
  <c r="I117" i="4"/>
  <c r="J117" i="4"/>
  <c r="B118" i="4"/>
  <c r="C118" i="4"/>
  <c r="D118" i="4"/>
  <c r="E118" i="4"/>
  <c r="F118" i="4"/>
  <c r="G118" i="4"/>
  <c r="H118" i="4"/>
  <c r="I118" i="4"/>
  <c r="J118" i="4"/>
  <c r="B119" i="4"/>
  <c r="C119" i="4"/>
  <c r="D119" i="4"/>
  <c r="E119" i="4"/>
  <c r="F119" i="4"/>
  <c r="G119" i="4"/>
  <c r="H119" i="4"/>
  <c r="I119" i="4"/>
  <c r="J119" i="4"/>
  <c r="B120" i="4"/>
  <c r="C120" i="4"/>
  <c r="D120" i="4"/>
  <c r="E120" i="4"/>
  <c r="F120" i="4"/>
  <c r="G120" i="4"/>
  <c r="H120" i="4"/>
  <c r="I120" i="4"/>
  <c r="J120" i="4"/>
  <c r="B121" i="4"/>
  <c r="C121" i="4"/>
  <c r="D121" i="4"/>
  <c r="E121" i="4"/>
  <c r="F121" i="4"/>
  <c r="G121" i="4"/>
  <c r="H121" i="4"/>
  <c r="I121" i="4"/>
  <c r="J121" i="4"/>
  <c r="B122" i="4"/>
  <c r="C122" i="4"/>
  <c r="D122" i="4"/>
  <c r="E122" i="4"/>
  <c r="F122" i="4"/>
  <c r="G122" i="4"/>
  <c r="H122" i="4"/>
  <c r="I122" i="4"/>
  <c r="J122" i="4"/>
  <c r="B123" i="4"/>
  <c r="C123" i="4"/>
  <c r="D123" i="4"/>
  <c r="E123" i="4"/>
  <c r="F123" i="4"/>
  <c r="G123" i="4"/>
  <c r="H123" i="4"/>
  <c r="I123" i="4"/>
  <c r="J123" i="4"/>
  <c r="B124" i="4"/>
  <c r="C124" i="4"/>
  <c r="D124" i="4"/>
  <c r="E124" i="4"/>
  <c r="F124" i="4"/>
  <c r="G124" i="4"/>
  <c r="H124" i="4"/>
  <c r="I124" i="4"/>
  <c r="J124" i="4"/>
  <c r="B125" i="4"/>
  <c r="C125" i="4"/>
  <c r="D125" i="4"/>
  <c r="E125" i="4"/>
  <c r="F125" i="4"/>
  <c r="G125" i="4"/>
  <c r="H125" i="4"/>
  <c r="I125" i="4"/>
  <c r="J125" i="4"/>
  <c r="B126" i="4"/>
  <c r="C126" i="4"/>
  <c r="D126" i="4"/>
  <c r="E126" i="4"/>
  <c r="F126" i="4"/>
  <c r="G126" i="4"/>
  <c r="H126" i="4"/>
  <c r="I126" i="4"/>
  <c r="J126" i="4"/>
  <c r="B127" i="4"/>
  <c r="C127" i="4"/>
  <c r="D127" i="4"/>
  <c r="E127" i="4"/>
  <c r="F127" i="4"/>
  <c r="G127" i="4"/>
  <c r="H127" i="4"/>
  <c r="I127" i="4"/>
  <c r="J127" i="4"/>
  <c r="B128" i="4"/>
  <c r="C128" i="4"/>
  <c r="D128" i="4"/>
  <c r="E128" i="4"/>
  <c r="F128" i="4"/>
  <c r="G128" i="4"/>
  <c r="H128" i="4"/>
  <c r="I128" i="4"/>
  <c r="J128" i="4"/>
  <c r="B129" i="4"/>
  <c r="C129" i="4"/>
  <c r="D129" i="4"/>
  <c r="E129" i="4"/>
  <c r="F129" i="4"/>
  <c r="G129" i="4"/>
  <c r="H129" i="4"/>
  <c r="I129" i="4"/>
  <c r="J129" i="4"/>
  <c r="B130" i="4"/>
  <c r="C130" i="4"/>
  <c r="D130" i="4"/>
  <c r="E130" i="4"/>
  <c r="F130" i="4"/>
  <c r="G130" i="4"/>
  <c r="H130" i="4"/>
  <c r="I130" i="4"/>
  <c r="J130" i="4"/>
  <c r="B131" i="4"/>
  <c r="C131" i="4"/>
  <c r="D131" i="4"/>
  <c r="E131" i="4"/>
  <c r="F131" i="4"/>
  <c r="G131" i="4"/>
  <c r="H131" i="4"/>
  <c r="I131" i="4"/>
  <c r="J131" i="4"/>
  <c r="B132" i="4"/>
  <c r="C132" i="4"/>
  <c r="D132" i="4"/>
  <c r="E132" i="4"/>
  <c r="F132" i="4"/>
  <c r="G132" i="4"/>
  <c r="H132" i="4"/>
  <c r="I132" i="4"/>
  <c r="J132" i="4"/>
  <c r="B133" i="4"/>
  <c r="C133" i="4"/>
  <c r="D133" i="4"/>
  <c r="E133" i="4"/>
  <c r="F133" i="4"/>
  <c r="G133" i="4"/>
  <c r="H133" i="4"/>
  <c r="I133" i="4"/>
  <c r="J133" i="4"/>
  <c r="B134" i="4"/>
  <c r="C134" i="4"/>
  <c r="D134" i="4"/>
  <c r="E134" i="4"/>
  <c r="F134" i="4"/>
  <c r="G134" i="4"/>
  <c r="H134" i="4"/>
  <c r="I134" i="4"/>
  <c r="J134" i="4"/>
  <c r="B135" i="4"/>
  <c r="C135" i="4"/>
  <c r="D135" i="4"/>
  <c r="E135" i="4"/>
  <c r="F135" i="4"/>
  <c r="G135" i="4"/>
  <c r="H135" i="4"/>
  <c r="I135" i="4"/>
  <c r="J135" i="4"/>
  <c r="B136" i="4"/>
  <c r="C136" i="4"/>
  <c r="D136" i="4"/>
  <c r="E136" i="4"/>
  <c r="F136" i="4"/>
  <c r="G136" i="4"/>
  <c r="H136" i="4"/>
  <c r="I136" i="4"/>
  <c r="J136" i="4"/>
  <c r="B137" i="4"/>
  <c r="C137" i="4"/>
  <c r="D137" i="4"/>
  <c r="E137" i="4"/>
  <c r="F137" i="4"/>
  <c r="G137" i="4"/>
  <c r="H137" i="4"/>
  <c r="I137" i="4"/>
  <c r="J137" i="4"/>
  <c r="B138" i="4"/>
  <c r="C138" i="4"/>
  <c r="D138" i="4"/>
  <c r="E138" i="4"/>
  <c r="F138" i="4"/>
  <c r="G138" i="4"/>
  <c r="H138" i="4"/>
  <c r="I138" i="4"/>
  <c r="J138" i="4"/>
  <c r="B139" i="4"/>
  <c r="C139" i="4"/>
  <c r="D139" i="4"/>
  <c r="E139" i="4"/>
  <c r="F139" i="4"/>
  <c r="G139" i="4"/>
  <c r="H139" i="4"/>
  <c r="I139" i="4"/>
  <c r="J139" i="4"/>
  <c r="B140" i="4"/>
  <c r="C140" i="4"/>
  <c r="D140" i="4"/>
  <c r="E140" i="4"/>
  <c r="F140" i="4"/>
  <c r="G140" i="4"/>
  <c r="H140" i="4"/>
  <c r="I140" i="4"/>
  <c r="J140" i="4"/>
  <c r="B141" i="4"/>
  <c r="C141" i="4"/>
  <c r="D141" i="4"/>
  <c r="E141" i="4"/>
  <c r="F141" i="4"/>
  <c r="G141" i="4"/>
  <c r="H141" i="4"/>
  <c r="I141" i="4"/>
  <c r="J141" i="4"/>
  <c r="B142" i="4"/>
  <c r="C142" i="4"/>
  <c r="D142" i="4"/>
  <c r="E142" i="4"/>
  <c r="F142" i="4"/>
  <c r="G142" i="4"/>
  <c r="H142" i="4"/>
  <c r="I142" i="4"/>
  <c r="J142" i="4"/>
  <c r="B143" i="4"/>
  <c r="C143" i="4"/>
  <c r="D143" i="4"/>
  <c r="E143" i="4"/>
  <c r="F143" i="4"/>
  <c r="G143" i="4"/>
  <c r="H143" i="4"/>
  <c r="I143" i="4"/>
  <c r="J143" i="4"/>
  <c r="B144" i="4"/>
  <c r="C144" i="4"/>
  <c r="D144" i="4"/>
  <c r="E144" i="4"/>
  <c r="F144" i="4"/>
  <c r="G144" i="4"/>
  <c r="H144" i="4"/>
  <c r="I144" i="4"/>
  <c r="J144" i="4"/>
  <c r="B145" i="4"/>
  <c r="C145" i="4"/>
  <c r="D145" i="4"/>
  <c r="E145" i="4"/>
  <c r="F145" i="4"/>
  <c r="G145" i="4"/>
  <c r="H145" i="4"/>
  <c r="I145" i="4"/>
  <c r="J145" i="4"/>
  <c r="B146" i="4"/>
  <c r="C146" i="4"/>
  <c r="D146" i="4"/>
  <c r="E146" i="4"/>
  <c r="F146" i="4"/>
  <c r="G146" i="4"/>
  <c r="H146" i="4"/>
  <c r="I146" i="4"/>
  <c r="J146" i="4"/>
  <c r="B147" i="4"/>
  <c r="C147" i="4"/>
  <c r="D147" i="4"/>
  <c r="E147" i="4"/>
  <c r="F147" i="4"/>
  <c r="G147" i="4"/>
  <c r="H147" i="4"/>
  <c r="I147" i="4"/>
  <c r="J147" i="4"/>
  <c r="B148" i="4"/>
  <c r="C148" i="4"/>
  <c r="D148" i="4"/>
  <c r="E148" i="4"/>
  <c r="F148" i="4"/>
  <c r="G148" i="4"/>
  <c r="H148" i="4"/>
  <c r="I148" i="4"/>
  <c r="J148" i="4"/>
  <c r="B149" i="4"/>
  <c r="C149" i="4"/>
  <c r="D149" i="4"/>
  <c r="E149" i="4"/>
  <c r="F149" i="4"/>
  <c r="G149" i="4"/>
  <c r="H149" i="4"/>
  <c r="I149" i="4"/>
  <c r="J149" i="4"/>
  <c r="B150" i="4"/>
  <c r="C150" i="4"/>
  <c r="D150" i="4"/>
  <c r="E150" i="4"/>
  <c r="F150" i="4"/>
  <c r="G150" i="4"/>
  <c r="H150" i="4"/>
  <c r="I150" i="4"/>
  <c r="J150" i="4"/>
  <c r="B151" i="4"/>
  <c r="C151" i="4"/>
  <c r="D151" i="4"/>
  <c r="E151" i="4"/>
  <c r="F151" i="4"/>
  <c r="G151" i="4"/>
  <c r="H151" i="4"/>
  <c r="I151" i="4"/>
  <c r="J151" i="4"/>
  <c r="B152" i="4"/>
  <c r="C152" i="4"/>
  <c r="D152" i="4"/>
  <c r="E152" i="4"/>
  <c r="F152" i="4"/>
  <c r="G152" i="4"/>
  <c r="H152" i="4"/>
  <c r="I152" i="4"/>
  <c r="J152" i="4"/>
  <c r="B153" i="4"/>
  <c r="C153" i="4"/>
  <c r="D153" i="4"/>
  <c r="E153" i="4"/>
  <c r="F153" i="4"/>
  <c r="G153" i="4"/>
  <c r="H153" i="4"/>
  <c r="I153" i="4"/>
  <c r="J153" i="4"/>
  <c r="B154" i="4"/>
  <c r="C154" i="4"/>
  <c r="D154" i="4"/>
  <c r="E154" i="4"/>
  <c r="F154" i="4"/>
  <c r="G154" i="4"/>
  <c r="H154" i="4"/>
  <c r="I154" i="4"/>
  <c r="J154" i="4"/>
  <c r="B155" i="4"/>
  <c r="C155" i="4"/>
  <c r="D155" i="4"/>
  <c r="E155" i="4"/>
  <c r="F155" i="4"/>
  <c r="G155" i="4"/>
  <c r="H155" i="4"/>
  <c r="I155" i="4"/>
  <c r="J155" i="4"/>
  <c r="B156" i="4"/>
  <c r="C156" i="4"/>
  <c r="D156" i="4"/>
  <c r="E156" i="4"/>
  <c r="F156" i="4"/>
  <c r="G156" i="4"/>
  <c r="H156" i="4"/>
  <c r="I156" i="4"/>
  <c r="J156" i="4"/>
  <c r="B157" i="4"/>
  <c r="C157" i="4"/>
  <c r="D157" i="4"/>
  <c r="E157" i="4"/>
  <c r="F157" i="4"/>
  <c r="G157" i="4"/>
  <c r="H157" i="4"/>
  <c r="I157" i="4"/>
  <c r="J157" i="4"/>
  <c r="B158" i="4"/>
  <c r="C158" i="4"/>
  <c r="D158" i="4"/>
  <c r="E158" i="4"/>
  <c r="F158" i="4"/>
  <c r="G158" i="4"/>
  <c r="H158" i="4"/>
  <c r="I158" i="4"/>
  <c r="J158" i="4"/>
  <c r="B159" i="4"/>
  <c r="C159" i="4"/>
  <c r="D159" i="4"/>
  <c r="E159" i="4"/>
  <c r="F159" i="4"/>
  <c r="G159" i="4"/>
  <c r="H159" i="4"/>
  <c r="I159" i="4"/>
  <c r="J159" i="4"/>
  <c r="B160" i="4"/>
  <c r="C160" i="4"/>
  <c r="D160" i="4"/>
  <c r="E160" i="4"/>
  <c r="F160" i="4"/>
  <c r="G160" i="4"/>
  <c r="H160" i="4"/>
  <c r="I160" i="4"/>
  <c r="J160" i="4"/>
  <c r="B161" i="4"/>
  <c r="C161" i="4"/>
  <c r="D161" i="4"/>
  <c r="E161" i="4"/>
  <c r="F161" i="4"/>
  <c r="G161" i="4"/>
  <c r="H161" i="4"/>
  <c r="I161" i="4"/>
  <c r="J161" i="4"/>
  <c r="B162" i="4"/>
  <c r="C162" i="4"/>
  <c r="D162" i="4"/>
  <c r="E162" i="4"/>
  <c r="F162" i="4"/>
  <c r="G162" i="4"/>
  <c r="H162" i="4"/>
  <c r="I162" i="4"/>
  <c r="J162" i="4"/>
  <c r="B163" i="4"/>
  <c r="C163" i="4"/>
  <c r="D163" i="4"/>
  <c r="E163" i="4"/>
  <c r="F163" i="4"/>
  <c r="G163" i="4"/>
  <c r="H163" i="4"/>
  <c r="I163" i="4"/>
  <c r="J163" i="4"/>
  <c r="B164" i="4"/>
  <c r="C164" i="4"/>
  <c r="D164" i="4"/>
  <c r="E164" i="4"/>
  <c r="F164" i="4"/>
  <c r="G164" i="4"/>
  <c r="H164" i="4"/>
  <c r="I164" i="4"/>
  <c r="J164" i="4"/>
  <c r="B165" i="4"/>
  <c r="C165" i="4"/>
  <c r="D165" i="4"/>
  <c r="E165" i="4"/>
  <c r="F165" i="4"/>
  <c r="G165" i="4"/>
  <c r="H165" i="4"/>
  <c r="I165" i="4"/>
  <c r="J165" i="4"/>
  <c r="B166" i="4"/>
  <c r="C166" i="4"/>
  <c r="D166" i="4"/>
  <c r="E166" i="4"/>
  <c r="F166" i="4"/>
  <c r="G166" i="4"/>
  <c r="H166" i="4"/>
  <c r="I166" i="4"/>
  <c r="J166" i="4"/>
  <c r="B167" i="4"/>
  <c r="C167" i="4"/>
  <c r="D167" i="4"/>
  <c r="E167" i="4"/>
  <c r="F167" i="4"/>
  <c r="G167" i="4"/>
  <c r="H167" i="4"/>
  <c r="I167" i="4"/>
  <c r="J167" i="4"/>
  <c r="B168" i="4"/>
  <c r="C168" i="4"/>
  <c r="D168" i="4"/>
  <c r="E168" i="4"/>
  <c r="F168" i="4"/>
  <c r="G168" i="4"/>
  <c r="H168" i="4"/>
  <c r="I168" i="4"/>
  <c r="J168" i="4"/>
  <c r="B169" i="4"/>
  <c r="C169" i="4"/>
  <c r="D169" i="4"/>
  <c r="E169" i="4"/>
  <c r="F169" i="4"/>
  <c r="G169" i="4"/>
  <c r="H169" i="4"/>
  <c r="I169" i="4"/>
  <c r="J169" i="4"/>
  <c r="B170" i="4"/>
  <c r="C170" i="4"/>
  <c r="D170" i="4"/>
  <c r="E170" i="4"/>
  <c r="F170" i="4"/>
  <c r="G170" i="4"/>
  <c r="H170" i="4"/>
  <c r="I170" i="4"/>
  <c r="J170" i="4"/>
  <c r="B171" i="4"/>
  <c r="C171" i="4"/>
  <c r="D171" i="4"/>
  <c r="E171" i="4"/>
  <c r="F171" i="4"/>
  <c r="G171" i="4"/>
  <c r="H171" i="4"/>
  <c r="I171" i="4"/>
  <c r="J171" i="4"/>
  <c r="B172" i="4"/>
  <c r="C172" i="4"/>
  <c r="D172" i="4"/>
  <c r="E172" i="4"/>
  <c r="F172" i="4"/>
  <c r="G172" i="4"/>
  <c r="H172" i="4"/>
  <c r="I172" i="4"/>
  <c r="J172" i="4"/>
  <c r="B173" i="4"/>
  <c r="C173" i="4"/>
  <c r="D173" i="4"/>
  <c r="E173" i="4"/>
  <c r="F173" i="4"/>
  <c r="G173" i="4"/>
  <c r="H173" i="4"/>
  <c r="I173" i="4"/>
  <c r="J173" i="4"/>
  <c r="B174" i="4"/>
  <c r="C174" i="4"/>
  <c r="D174" i="4"/>
  <c r="E174" i="4"/>
  <c r="F174" i="4"/>
  <c r="G174" i="4"/>
  <c r="H174" i="4"/>
  <c r="I174" i="4"/>
  <c r="J174" i="4"/>
  <c r="B175" i="4"/>
  <c r="C175" i="4"/>
  <c r="D175" i="4"/>
  <c r="E175" i="4"/>
  <c r="F175" i="4"/>
  <c r="G175" i="4"/>
  <c r="H175" i="4"/>
  <c r="I175" i="4"/>
  <c r="J175" i="4"/>
  <c r="B176" i="4"/>
  <c r="C176" i="4"/>
  <c r="D176" i="4"/>
  <c r="E176" i="4"/>
  <c r="F176" i="4"/>
  <c r="G176" i="4"/>
  <c r="H176" i="4"/>
  <c r="I176" i="4"/>
  <c r="J176" i="4"/>
  <c r="B177" i="4"/>
  <c r="C177" i="4"/>
  <c r="D177" i="4"/>
  <c r="E177" i="4"/>
  <c r="F177" i="4"/>
  <c r="G177" i="4"/>
  <c r="H177" i="4"/>
  <c r="I177" i="4"/>
  <c r="J177" i="4"/>
  <c r="B178" i="4"/>
  <c r="C178" i="4"/>
  <c r="D178" i="4"/>
  <c r="E178" i="4"/>
  <c r="F178" i="4"/>
  <c r="G178" i="4"/>
  <c r="H178" i="4"/>
  <c r="I178" i="4"/>
  <c r="J178" i="4"/>
  <c r="B179" i="4"/>
  <c r="C179" i="4"/>
  <c r="D179" i="4"/>
  <c r="E179" i="4"/>
  <c r="F179" i="4"/>
  <c r="G179" i="4"/>
  <c r="H179" i="4"/>
  <c r="I179" i="4"/>
  <c r="J179" i="4"/>
  <c r="B180" i="4"/>
  <c r="C180" i="4"/>
  <c r="D180" i="4"/>
  <c r="E180" i="4"/>
  <c r="F180" i="4"/>
  <c r="G180" i="4"/>
  <c r="H180" i="4"/>
  <c r="I180" i="4"/>
  <c r="J180" i="4"/>
  <c r="B181" i="4"/>
  <c r="C181" i="4"/>
  <c r="D181" i="4"/>
  <c r="E181" i="4"/>
  <c r="F181" i="4"/>
  <c r="G181" i="4"/>
  <c r="H181" i="4"/>
  <c r="I181" i="4"/>
  <c r="J181" i="4"/>
  <c r="B182" i="4"/>
  <c r="C182" i="4"/>
  <c r="D182" i="4"/>
  <c r="E182" i="4"/>
  <c r="F182" i="4"/>
  <c r="G182" i="4"/>
  <c r="H182" i="4"/>
  <c r="I182" i="4"/>
  <c r="J182" i="4"/>
  <c r="B183" i="4"/>
  <c r="C183" i="4"/>
  <c r="D183" i="4"/>
  <c r="E183" i="4"/>
  <c r="F183" i="4"/>
  <c r="G183" i="4"/>
  <c r="H183" i="4"/>
  <c r="I183" i="4"/>
  <c r="J183" i="4"/>
  <c r="B184" i="4"/>
  <c r="C184" i="4"/>
  <c r="D184" i="4"/>
  <c r="E184" i="4"/>
  <c r="F184" i="4"/>
  <c r="G184" i="4"/>
  <c r="H184" i="4"/>
  <c r="I184" i="4"/>
  <c r="J184" i="4"/>
  <c r="B185" i="4"/>
  <c r="C185" i="4"/>
  <c r="D185" i="4"/>
  <c r="E185" i="4"/>
  <c r="F185" i="4"/>
  <c r="G185" i="4"/>
  <c r="H185" i="4"/>
  <c r="I185" i="4"/>
  <c r="J185" i="4"/>
  <c r="B186" i="4"/>
  <c r="C186" i="4"/>
  <c r="D186" i="4"/>
  <c r="E186" i="4"/>
  <c r="F186" i="4"/>
  <c r="G186" i="4"/>
  <c r="H186" i="4"/>
  <c r="I186" i="4"/>
  <c r="J186" i="4"/>
  <c r="B187" i="4"/>
  <c r="C187" i="4"/>
  <c r="D187" i="4"/>
  <c r="E187" i="4"/>
  <c r="F187" i="4"/>
  <c r="G187" i="4"/>
  <c r="H187" i="4"/>
  <c r="I187" i="4"/>
  <c r="J187" i="4"/>
  <c r="B188" i="4"/>
  <c r="C188" i="4"/>
  <c r="D188" i="4"/>
  <c r="E188" i="4"/>
  <c r="F188" i="4"/>
  <c r="G188" i="4"/>
  <c r="H188" i="4"/>
  <c r="I188" i="4"/>
  <c r="J188" i="4"/>
  <c r="B189" i="4"/>
  <c r="C189" i="4"/>
  <c r="D189" i="4"/>
  <c r="E189" i="4"/>
  <c r="F189" i="4"/>
  <c r="G189" i="4"/>
  <c r="H189" i="4"/>
  <c r="I189" i="4"/>
  <c r="J189" i="4"/>
  <c r="B190" i="4"/>
  <c r="C190" i="4"/>
  <c r="D190" i="4"/>
  <c r="E190" i="4"/>
  <c r="F190" i="4"/>
  <c r="G190" i="4"/>
  <c r="H190" i="4"/>
  <c r="I190" i="4"/>
  <c r="J190" i="4"/>
  <c r="B191" i="4"/>
  <c r="C191" i="4"/>
  <c r="D191" i="4"/>
  <c r="E191" i="4"/>
  <c r="F191" i="4"/>
  <c r="G191" i="4"/>
  <c r="H191" i="4"/>
  <c r="I191" i="4"/>
  <c r="J191" i="4"/>
  <c r="B192" i="4"/>
  <c r="C192" i="4"/>
  <c r="D192" i="4"/>
  <c r="E192" i="4"/>
  <c r="F192" i="4"/>
  <c r="G192" i="4"/>
  <c r="H192" i="4"/>
  <c r="I192" i="4"/>
  <c r="J192" i="4"/>
  <c r="B193" i="4"/>
  <c r="C193" i="4"/>
  <c r="D193" i="4"/>
  <c r="E193" i="4"/>
  <c r="F193" i="4"/>
  <c r="G193" i="4"/>
  <c r="H193" i="4"/>
  <c r="I193" i="4"/>
  <c r="J193" i="4"/>
  <c r="B194" i="4"/>
  <c r="C194" i="4"/>
  <c r="D194" i="4"/>
  <c r="E194" i="4"/>
  <c r="F194" i="4"/>
  <c r="G194" i="4"/>
  <c r="H194" i="4"/>
  <c r="I194" i="4"/>
  <c r="J194" i="4"/>
  <c r="B195" i="4"/>
  <c r="C195" i="4"/>
  <c r="D195" i="4"/>
  <c r="E195" i="4"/>
  <c r="F195" i="4"/>
  <c r="G195" i="4"/>
  <c r="H195" i="4"/>
  <c r="I195" i="4"/>
  <c r="J195" i="4"/>
  <c r="B196" i="4"/>
  <c r="C196" i="4"/>
  <c r="D196" i="4"/>
  <c r="E196" i="4"/>
  <c r="F196" i="4"/>
  <c r="G196" i="4"/>
  <c r="H196" i="4"/>
  <c r="I196" i="4"/>
  <c r="J196" i="4"/>
  <c r="B197" i="4"/>
  <c r="C197" i="4"/>
  <c r="D197" i="4"/>
  <c r="E197" i="4"/>
  <c r="F197" i="4"/>
  <c r="G197" i="4"/>
  <c r="H197" i="4"/>
  <c r="I197" i="4"/>
  <c r="J197" i="4"/>
  <c r="B198" i="4"/>
  <c r="C198" i="4"/>
  <c r="D198" i="4"/>
  <c r="E198" i="4"/>
  <c r="F198" i="4"/>
  <c r="G198" i="4"/>
  <c r="H198" i="4"/>
  <c r="I198" i="4"/>
  <c r="J198" i="4"/>
  <c r="B199" i="4"/>
  <c r="C199" i="4"/>
  <c r="D199" i="4"/>
  <c r="E199" i="4"/>
  <c r="F199" i="4"/>
  <c r="G199" i="4"/>
  <c r="H199" i="4"/>
  <c r="I199" i="4"/>
  <c r="J199" i="4"/>
  <c r="B200" i="4"/>
  <c r="C200" i="4"/>
  <c r="D200" i="4"/>
  <c r="E200" i="4"/>
  <c r="F200" i="4"/>
  <c r="G200" i="4"/>
  <c r="H200" i="4"/>
  <c r="I200" i="4"/>
  <c r="J200" i="4"/>
  <c r="B201" i="4"/>
  <c r="C201" i="4"/>
  <c r="D201" i="4"/>
  <c r="E201" i="4"/>
  <c r="F201" i="4"/>
  <c r="G201" i="4"/>
  <c r="H201" i="4"/>
  <c r="I201" i="4"/>
  <c r="J201" i="4"/>
  <c r="B202" i="4"/>
  <c r="C202" i="4"/>
  <c r="D202" i="4"/>
  <c r="E202" i="4"/>
  <c r="E616" i="4" s="1"/>
  <c r="F202" i="4"/>
  <c r="G202" i="4"/>
  <c r="H202" i="4"/>
  <c r="I202" i="4"/>
  <c r="I616" i="4" s="1"/>
  <c r="J202" i="4"/>
  <c r="B203" i="4"/>
  <c r="C203" i="4"/>
  <c r="D203" i="4"/>
  <c r="E203" i="4"/>
  <c r="F203" i="4"/>
  <c r="G203" i="4"/>
  <c r="H203" i="4"/>
  <c r="I203" i="4"/>
  <c r="J203" i="4"/>
  <c r="B204" i="4"/>
  <c r="C204" i="4"/>
  <c r="D204" i="4"/>
  <c r="E204" i="4"/>
  <c r="F204" i="4"/>
  <c r="G204" i="4"/>
  <c r="H204" i="4"/>
  <c r="I204" i="4"/>
  <c r="J204" i="4"/>
  <c r="B205" i="4"/>
  <c r="C205" i="4"/>
  <c r="D205" i="4"/>
  <c r="E205" i="4"/>
  <c r="F205" i="4"/>
  <c r="G205" i="4"/>
  <c r="H205" i="4"/>
  <c r="I205" i="4"/>
  <c r="J205" i="4"/>
  <c r="B206" i="4"/>
  <c r="C206" i="4"/>
  <c r="D206" i="4"/>
  <c r="E206" i="4"/>
  <c r="F206" i="4"/>
  <c r="G206" i="4"/>
  <c r="H206" i="4"/>
  <c r="I206" i="4"/>
  <c r="J206" i="4"/>
  <c r="B207" i="4"/>
  <c r="C207" i="4"/>
  <c r="D207" i="4"/>
  <c r="E207" i="4"/>
  <c r="F207" i="4"/>
  <c r="G207" i="4"/>
  <c r="H207" i="4"/>
  <c r="I207" i="4"/>
  <c r="J207" i="4"/>
  <c r="B208" i="4"/>
  <c r="C208" i="4"/>
  <c r="D208" i="4"/>
  <c r="E208" i="4"/>
  <c r="F208" i="4"/>
  <c r="G208" i="4"/>
  <c r="H208" i="4"/>
  <c r="I208" i="4"/>
  <c r="J208" i="4"/>
  <c r="B209" i="4"/>
  <c r="C209" i="4"/>
  <c r="D209" i="4"/>
  <c r="E209" i="4"/>
  <c r="F209" i="4"/>
  <c r="G209" i="4"/>
  <c r="H209" i="4"/>
  <c r="I209" i="4"/>
  <c r="J209" i="4"/>
  <c r="B210" i="4"/>
  <c r="C210" i="4"/>
  <c r="D210" i="4"/>
  <c r="E210" i="4"/>
  <c r="F210" i="4"/>
  <c r="G210" i="4"/>
  <c r="H210" i="4"/>
  <c r="I210" i="4"/>
  <c r="J210" i="4"/>
  <c r="B211" i="4"/>
  <c r="C211" i="4"/>
  <c r="D211" i="4"/>
  <c r="E211" i="4"/>
  <c r="F211" i="4"/>
  <c r="G211" i="4"/>
  <c r="H211" i="4"/>
  <c r="I211" i="4"/>
  <c r="J211" i="4"/>
  <c r="B212" i="4"/>
  <c r="C212" i="4"/>
  <c r="D212" i="4"/>
  <c r="E212" i="4"/>
  <c r="F212" i="4"/>
  <c r="G212" i="4"/>
  <c r="H212" i="4"/>
  <c r="I212" i="4"/>
  <c r="J212" i="4"/>
  <c r="B213" i="4"/>
  <c r="C213" i="4"/>
  <c r="D213" i="4"/>
  <c r="E213" i="4"/>
  <c r="F213" i="4"/>
  <c r="G213" i="4"/>
  <c r="H213" i="4"/>
  <c r="I213" i="4"/>
  <c r="J213" i="4"/>
  <c r="B214" i="4"/>
  <c r="C214" i="4"/>
  <c r="D214" i="4"/>
  <c r="E214" i="4"/>
  <c r="F214" i="4"/>
  <c r="G214" i="4"/>
  <c r="H214" i="4"/>
  <c r="I214" i="4"/>
  <c r="J214" i="4"/>
  <c r="B215" i="4"/>
  <c r="C215" i="4"/>
  <c r="D215" i="4"/>
  <c r="E215" i="4"/>
  <c r="F215" i="4"/>
  <c r="G215" i="4"/>
  <c r="H215" i="4"/>
  <c r="I215" i="4"/>
  <c r="J215" i="4"/>
  <c r="B216" i="4"/>
  <c r="C216" i="4"/>
  <c r="D216" i="4"/>
  <c r="E216" i="4"/>
  <c r="F216" i="4"/>
  <c r="G216" i="4"/>
  <c r="H216" i="4"/>
  <c r="I216" i="4"/>
  <c r="J216" i="4"/>
  <c r="B217" i="4"/>
  <c r="B618" i="4" s="1"/>
  <c r="C217" i="4"/>
  <c r="D217" i="4"/>
  <c r="E217" i="4"/>
  <c r="F217" i="4"/>
  <c r="F618" i="4" s="1"/>
  <c r="G217" i="4"/>
  <c r="H217" i="4"/>
  <c r="I217" i="4"/>
  <c r="J217" i="4"/>
  <c r="B218" i="4"/>
  <c r="C218" i="4"/>
  <c r="D218" i="4"/>
  <c r="E218" i="4"/>
  <c r="F218" i="4"/>
  <c r="G218" i="4"/>
  <c r="H218" i="4"/>
  <c r="I218" i="4"/>
  <c r="J218" i="4"/>
  <c r="B219" i="4"/>
  <c r="C219" i="4"/>
  <c r="D219" i="4"/>
  <c r="E219" i="4"/>
  <c r="F219" i="4"/>
  <c r="G219" i="4"/>
  <c r="H219" i="4"/>
  <c r="I219" i="4"/>
  <c r="J219" i="4"/>
  <c r="B220" i="4"/>
  <c r="C220" i="4"/>
  <c r="D220" i="4"/>
  <c r="E220" i="4"/>
  <c r="F220" i="4"/>
  <c r="G220" i="4"/>
  <c r="H220" i="4"/>
  <c r="I220" i="4"/>
  <c r="J220" i="4"/>
  <c r="B221" i="4"/>
  <c r="C221" i="4"/>
  <c r="D221" i="4"/>
  <c r="E221" i="4"/>
  <c r="F221" i="4"/>
  <c r="G221" i="4"/>
  <c r="H221" i="4"/>
  <c r="I221" i="4"/>
  <c r="J221" i="4"/>
  <c r="B222" i="4"/>
  <c r="C222" i="4"/>
  <c r="D222" i="4"/>
  <c r="E222" i="4"/>
  <c r="F222" i="4"/>
  <c r="G222" i="4"/>
  <c r="H222" i="4"/>
  <c r="I222" i="4"/>
  <c r="J222" i="4"/>
  <c r="B223" i="4"/>
  <c r="C223" i="4"/>
  <c r="D223" i="4"/>
  <c r="E223" i="4"/>
  <c r="F223" i="4"/>
  <c r="G223" i="4"/>
  <c r="H223" i="4"/>
  <c r="I223" i="4"/>
  <c r="J223" i="4"/>
  <c r="B224" i="4"/>
  <c r="C224" i="4"/>
  <c r="C618" i="4" s="1"/>
  <c r="D224" i="4"/>
  <c r="E224" i="4"/>
  <c r="F224" i="4"/>
  <c r="G224" i="4"/>
  <c r="G618" i="4" s="1"/>
  <c r="H224" i="4"/>
  <c r="I224" i="4"/>
  <c r="J224" i="4"/>
  <c r="B225" i="4"/>
  <c r="C225" i="4"/>
  <c r="D225" i="4"/>
  <c r="E225" i="4"/>
  <c r="F225" i="4"/>
  <c r="G225" i="4"/>
  <c r="H225" i="4"/>
  <c r="I225" i="4"/>
  <c r="J225" i="4"/>
  <c r="B226" i="4"/>
  <c r="C226" i="4"/>
  <c r="D226" i="4"/>
  <c r="E226" i="4"/>
  <c r="F226" i="4"/>
  <c r="G226" i="4"/>
  <c r="H226" i="4"/>
  <c r="I226" i="4"/>
  <c r="J226" i="4"/>
  <c r="B227" i="4"/>
  <c r="C227" i="4"/>
  <c r="D227" i="4"/>
  <c r="E227" i="4"/>
  <c r="F227" i="4"/>
  <c r="G227" i="4"/>
  <c r="H227" i="4"/>
  <c r="I227" i="4"/>
  <c r="J227" i="4"/>
  <c r="B228" i="4"/>
  <c r="C228" i="4"/>
  <c r="D228" i="4"/>
  <c r="E228" i="4"/>
  <c r="F228" i="4"/>
  <c r="G228" i="4"/>
  <c r="H228" i="4"/>
  <c r="I228" i="4"/>
  <c r="J228" i="4"/>
  <c r="B229" i="4"/>
  <c r="B619" i="4" s="1"/>
  <c r="C229" i="4"/>
  <c r="D229" i="4"/>
  <c r="E229" i="4"/>
  <c r="F229" i="4"/>
  <c r="F619" i="4" s="1"/>
  <c r="G229" i="4"/>
  <c r="H229" i="4"/>
  <c r="I229" i="4"/>
  <c r="J229" i="4"/>
  <c r="B230" i="4"/>
  <c r="C230" i="4"/>
  <c r="D230" i="4"/>
  <c r="E230" i="4"/>
  <c r="E619" i="4" s="1"/>
  <c r="F230" i="4"/>
  <c r="G230" i="4"/>
  <c r="H230" i="4"/>
  <c r="I230" i="4"/>
  <c r="I619" i="4" s="1"/>
  <c r="J230" i="4"/>
  <c r="B231" i="4"/>
  <c r="C231" i="4"/>
  <c r="D231" i="4"/>
  <c r="E231" i="4"/>
  <c r="F231" i="4"/>
  <c r="G231" i="4"/>
  <c r="H231" i="4"/>
  <c r="I231" i="4"/>
  <c r="J231" i="4"/>
  <c r="B232" i="4"/>
  <c r="C232" i="4"/>
  <c r="D232" i="4"/>
  <c r="E232" i="4"/>
  <c r="F232" i="4"/>
  <c r="G232" i="4"/>
  <c r="H232" i="4"/>
  <c r="I232" i="4"/>
  <c r="J232" i="4"/>
  <c r="B233" i="4"/>
  <c r="C233" i="4"/>
  <c r="D233" i="4"/>
  <c r="E233" i="4"/>
  <c r="F233" i="4"/>
  <c r="G233" i="4"/>
  <c r="H233" i="4"/>
  <c r="I233" i="4"/>
  <c r="J233" i="4"/>
  <c r="B234" i="4"/>
  <c r="C234" i="4"/>
  <c r="D234" i="4"/>
  <c r="E234" i="4"/>
  <c r="F234" i="4"/>
  <c r="G234" i="4"/>
  <c r="H234" i="4"/>
  <c r="I234" i="4"/>
  <c r="J234" i="4"/>
  <c r="B235" i="4"/>
  <c r="C235" i="4"/>
  <c r="D235" i="4"/>
  <c r="E235" i="4"/>
  <c r="F235" i="4"/>
  <c r="G235" i="4"/>
  <c r="H235" i="4"/>
  <c r="I235" i="4"/>
  <c r="J235" i="4"/>
  <c r="B236" i="4"/>
  <c r="C236" i="4"/>
  <c r="D236" i="4"/>
  <c r="E236" i="4"/>
  <c r="F236" i="4"/>
  <c r="G236" i="4"/>
  <c r="H236" i="4"/>
  <c r="I236" i="4"/>
  <c r="J236" i="4"/>
  <c r="B237" i="4"/>
  <c r="C237" i="4"/>
  <c r="D237" i="4"/>
  <c r="E237" i="4"/>
  <c r="F237" i="4"/>
  <c r="G237" i="4"/>
  <c r="H237" i="4"/>
  <c r="I237" i="4"/>
  <c r="J237" i="4"/>
  <c r="B238" i="4"/>
  <c r="C238" i="4"/>
  <c r="D238" i="4"/>
  <c r="E238" i="4"/>
  <c r="F238" i="4"/>
  <c r="G238" i="4"/>
  <c r="H238" i="4"/>
  <c r="I238" i="4"/>
  <c r="J238" i="4"/>
  <c r="B239" i="4"/>
  <c r="C239" i="4"/>
  <c r="D239" i="4"/>
  <c r="E239" i="4"/>
  <c r="F239" i="4"/>
  <c r="G239" i="4"/>
  <c r="H239" i="4"/>
  <c r="I239" i="4"/>
  <c r="J239" i="4"/>
  <c r="B240" i="4"/>
  <c r="C240" i="4"/>
  <c r="D240" i="4"/>
  <c r="E240" i="4"/>
  <c r="F240" i="4"/>
  <c r="G240" i="4"/>
  <c r="H240" i="4"/>
  <c r="I240" i="4"/>
  <c r="J240" i="4"/>
  <c r="B241" i="4"/>
  <c r="C241" i="4"/>
  <c r="D241" i="4"/>
  <c r="E241" i="4"/>
  <c r="F241" i="4"/>
  <c r="G241" i="4"/>
  <c r="H241" i="4"/>
  <c r="I241" i="4"/>
  <c r="J241" i="4"/>
  <c r="B242" i="4"/>
  <c r="C242" i="4"/>
  <c r="D242" i="4"/>
  <c r="E242" i="4"/>
  <c r="E620" i="4" s="1"/>
  <c r="F242" i="4"/>
  <c r="G242" i="4"/>
  <c r="H242" i="4"/>
  <c r="I242" i="4"/>
  <c r="I620" i="4" s="1"/>
  <c r="J242" i="4"/>
  <c r="B243" i="4"/>
  <c r="C243" i="4"/>
  <c r="D243" i="4"/>
  <c r="D620" i="4" s="1"/>
  <c r="E243" i="4"/>
  <c r="F243" i="4"/>
  <c r="G243" i="4"/>
  <c r="H243" i="4"/>
  <c r="H620" i="4" s="1"/>
  <c r="I243" i="4"/>
  <c r="J243" i="4"/>
  <c r="B244" i="4"/>
  <c r="C244" i="4"/>
  <c r="D244" i="4"/>
  <c r="E244" i="4"/>
  <c r="F244" i="4"/>
  <c r="G244" i="4"/>
  <c r="H244" i="4"/>
  <c r="I244" i="4"/>
  <c r="J244" i="4"/>
  <c r="B245" i="4"/>
  <c r="C245" i="4"/>
  <c r="D245" i="4"/>
  <c r="E245" i="4"/>
  <c r="F245" i="4"/>
  <c r="G245" i="4"/>
  <c r="H245" i="4"/>
  <c r="I245" i="4"/>
  <c r="J245" i="4"/>
  <c r="B246" i="4"/>
  <c r="C246" i="4"/>
  <c r="D246" i="4"/>
  <c r="E246" i="4"/>
  <c r="F246" i="4"/>
  <c r="G246" i="4"/>
  <c r="H246" i="4"/>
  <c r="I246" i="4"/>
  <c r="J246" i="4"/>
  <c r="B247" i="4"/>
  <c r="C247" i="4"/>
  <c r="D247" i="4"/>
  <c r="E247" i="4"/>
  <c r="F247" i="4"/>
  <c r="G247" i="4"/>
  <c r="H247" i="4"/>
  <c r="I247" i="4"/>
  <c r="J247" i="4"/>
  <c r="B248" i="4"/>
  <c r="C248" i="4"/>
  <c r="D248" i="4"/>
  <c r="E248" i="4"/>
  <c r="F248" i="4"/>
  <c r="G248" i="4"/>
  <c r="H248" i="4"/>
  <c r="I248" i="4"/>
  <c r="J248" i="4"/>
  <c r="B249" i="4"/>
  <c r="C249" i="4"/>
  <c r="D249" i="4"/>
  <c r="E249" i="4"/>
  <c r="F249" i="4"/>
  <c r="G249" i="4"/>
  <c r="H249" i="4"/>
  <c r="I249" i="4"/>
  <c r="J249" i="4"/>
  <c r="B250" i="4"/>
  <c r="C250" i="4"/>
  <c r="D250" i="4"/>
  <c r="E250" i="4"/>
  <c r="F250" i="4"/>
  <c r="G250" i="4"/>
  <c r="H250" i="4"/>
  <c r="I250" i="4"/>
  <c r="J250" i="4"/>
  <c r="B251" i="4"/>
  <c r="C251" i="4"/>
  <c r="D251" i="4"/>
  <c r="E251" i="4"/>
  <c r="F251" i="4"/>
  <c r="G251" i="4"/>
  <c r="H251" i="4"/>
  <c r="I251" i="4"/>
  <c r="J251" i="4"/>
  <c r="B252" i="4"/>
  <c r="C252" i="4"/>
  <c r="C621" i="4" s="1"/>
  <c r="D252" i="4"/>
  <c r="E252" i="4"/>
  <c r="F252" i="4"/>
  <c r="G252" i="4"/>
  <c r="G621" i="4" s="1"/>
  <c r="H252" i="4"/>
  <c r="I252" i="4"/>
  <c r="J252" i="4"/>
  <c r="B253" i="4"/>
  <c r="C253" i="4"/>
  <c r="D253" i="4"/>
  <c r="E253" i="4"/>
  <c r="F253" i="4"/>
  <c r="G253" i="4"/>
  <c r="H253" i="4"/>
  <c r="I253" i="4"/>
  <c r="J253" i="4"/>
  <c r="B254" i="4"/>
  <c r="C254" i="4"/>
  <c r="D254" i="4"/>
  <c r="E254" i="4"/>
  <c r="E621" i="4" s="1"/>
  <c r="F254" i="4"/>
  <c r="G254" i="4"/>
  <c r="H254" i="4"/>
  <c r="I254" i="4"/>
  <c r="I621" i="4" s="1"/>
  <c r="J254" i="4"/>
  <c r="B255" i="4"/>
  <c r="C255" i="4"/>
  <c r="D255" i="4"/>
  <c r="D621" i="4" s="1"/>
  <c r="E255" i="4"/>
  <c r="F255" i="4"/>
  <c r="G255" i="4"/>
  <c r="H255" i="4"/>
  <c r="H621" i="4" s="1"/>
  <c r="I255" i="4"/>
  <c r="J255" i="4"/>
  <c r="B256" i="4"/>
  <c r="C256" i="4"/>
  <c r="D256" i="4"/>
  <c r="E256" i="4"/>
  <c r="F256" i="4"/>
  <c r="G256" i="4"/>
  <c r="H256" i="4"/>
  <c r="I256" i="4"/>
  <c r="J256" i="4"/>
  <c r="B257" i="4"/>
  <c r="C257" i="4"/>
  <c r="D257" i="4"/>
  <c r="E257" i="4"/>
  <c r="F257" i="4"/>
  <c r="G257" i="4"/>
  <c r="H257" i="4"/>
  <c r="I257" i="4"/>
  <c r="J257" i="4"/>
  <c r="B258" i="4"/>
  <c r="C258" i="4"/>
  <c r="D258" i="4"/>
  <c r="E258" i="4"/>
  <c r="F258" i="4"/>
  <c r="G258" i="4"/>
  <c r="H258" i="4"/>
  <c r="I258" i="4"/>
  <c r="J258" i="4"/>
  <c r="B259" i="4"/>
  <c r="C259" i="4"/>
  <c r="D259" i="4"/>
  <c r="E259" i="4"/>
  <c r="F259" i="4"/>
  <c r="G259" i="4"/>
  <c r="H259" i="4"/>
  <c r="I259" i="4"/>
  <c r="J259" i="4"/>
  <c r="B260" i="4"/>
  <c r="C260" i="4"/>
  <c r="D260" i="4"/>
  <c r="E260" i="4"/>
  <c r="F260" i="4"/>
  <c r="G260" i="4"/>
  <c r="H260" i="4"/>
  <c r="I260" i="4"/>
  <c r="J260" i="4"/>
  <c r="B261" i="4"/>
  <c r="C261" i="4"/>
  <c r="D261" i="4"/>
  <c r="E261" i="4"/>
  <c r="F261" i="4"/>
  <c r="G261" i="4"/>
  <c r="H261" i="4"/>
  <c r="I261" i="4"/>
  <c r="J261" i="4"/>
  <c r="B262" i="4"/>
  <c r="C262" i="4"/>
  <c r="D262" i="4"/>
  <c r="E262" i="4"/>
  <c r="F262" i="4"/>
  <c r="G262" i="4"/>
  <c r="H262" i="4"/>
  <c r="I262" i="4"/>
  <c r="J262" i="4"/>
  <c r="B263" i="4"/>
  <c r="C263" i="4"/>
  <c r="D263" i="4"/>
  <c r="E263" i="4"/>
  <c r="F263" i="4"/>
  <c r="G263" i="4"/>
  <c r="H263" i="4"/>
  <c r="I263" i="4"/>
  <c r="J263" i="4"/>
  <c r="B264" i="4"/>
  <c r="C264" i="4"/>
  <c r="C622" i="4" s="1"/>
  <c r="D264" i="4"/>
  <c r="E264" i="4"/>
  <c r="F264" i="4"/>
  <c r="G264" i="4"/>
  <c r="G622" i="4" s="1"/>
  <c r="H264" i="4"/>
  <c r="I264" i="4"/>
  <c r="J264" i="4"/>
  <c r="B265" i="4"/>
  <c r="B622" i="4" s="1"/>
  <c r="C265" i="4"/>
  <c r="D265" i="4"/>
  <c r="E265" i="4"/>
  <c r="F265" i="4"/>
  <c r="F622" i="4" s="1"/>
  <c r="G265" i="4"/>
  <c r="H265" i="4"/>
  <c r="I265" i="4"/>
  <c r="J265" i="4"/>
  <c r="B266" i="4"/>
  <c r="C266" i="4"/>
  <c r="D266" i="4"/>
  <c r="E266" i="4"/>
  <c r="F266" i="4"/>
  <c r="G266" i="4"/>
  <c r="H266" i="4"/>
  <c r="I266" i="4"/>
  <c r="J266" i="4"/>
  <c r="B267" i="4"/>
  <c r="C267" i="4"/>
  <c r="D267" i="4"/>
  <c r="D622" i="4" s="1"/>
  <c r="E267" i="4"/>
  <c r="F267" i="4"/>
  <c r="G267" i="4"/>
  <c r="H267" i="4"/>
  <c r="H622" i="4" s="1"/>
  <c r="I267" i="4"/>
  <c r="J267" i="4"/>
  <c r="B268" i="4"/>
  <c r="C268" i="4"/>
  <c r="D268" i="4"/>
  <c r="E268" i="4"/>
  <c r="F268" i="4"/>
  <c r="G268" i="4"/>
  <c r="H268" i="4"/>
  <c r="I268" i="4"/>
  <c r="J268" i="4"/>
  <c r="B269" i="4"/>
  <c r="C269" i="4"/>
  <c r="D269" i="4"/>
  <c r="E269" i="4"/>
  <c r="F269" i="4"/>
  <c r="G269" i="4"/>
  <c r="H269" i="4"/>
  <c r="I269" i="4"/>
  <c r="J269" i="4"/>
  <c r="B270" i="4"/>
  <c r="C270" i="4"/>
  <c r="D270" i="4"/>
  <c r="E270" i="4"/>
  <c r="F270" i="4"/>
  <c r="G270" i="4"/>
  <c r="H270" i="4"/>
  <c r="I270" i="4"/>
  <c r="J270" i="4"/>
  <c r="B271" i="4"/>
  <c r="C271" i="4"/>
  <c r="D271" i="4"/>
  <c r="E271" i="4"/>
  <c r="F271" i="4"/>
  <c r="G271" i="4"/>
  <c r="H271" i="4"/>
  <c r="I271" i="4"/>
  <c r="J271" i="4"/>
  <c r="B272" i="4"/>
  <c r="C272" i="4"/>
  <c r="D272" i="4"/>
  <c r="E272" i="4"/>
  <c r="F272" i="4"/>
  <c r="G272" i="4"/>
  <c r="H272" i="4"/>
  <c r="I272" i="4"/>
  <c r="J272" i="4"/>
  <c r="B273" i="4"/>
  <c r="C273" i="4"/>
  <c r="D273" i="4"/>
  <c r="E273" i="4"/>
  <c r="F273" i="4"/>
  <c r="G273" i="4"/>
  <c r="H273" i="4"/>
  <c r="I273" i="4"/>
  <c r="J273" i="4"/>
  <c r="B274" i="4"/>
  <c r="C274" i="4"/>
  <c r="D274" i="4"/>
  <c r="E274" i="4"/>
  <c r="F274" i="4"/>
  <c r="G274" i="4"/>
  <c r="H274" i="4"/>
  <c r="I274" i="4"/>
  <c r="J274" i="4"/>
  <c r="B275" i="4"/>
  <c r="C275" i="4"/>
  <c r="D275" i="4"/>
  <c r="E275" i="4"/>
  <c r="F275" i="4"/>
  <c r="G275" i="4"/>
  <c r="H275" i="4"/>
  <c r="I275" i="4"/>
  <c r="J275" i="4"/>
  <c r="B276" i="4"/>
  <c r="C276" i="4"/>
  <c r="C623" i="4" s="1"/>
  <c r="D276" i="4"/>
  <c r="E276" i="4"/>
  <c r="F276" i="4"/>
  <c r="G276" i="4"/>
  <c r="G623" i="4" s="1"/>
  <c r="H276" i="4"/>
  <c r="I276" i="4"/>
  <c r="J276" i="4"/>
  <c r="B277" i="4"/>
  <c r="B623" i="4" s="1"/>
  <c r="C277" i="4"/>
  <c r="D277" i="4"/>
  <c r="E277" i="4"/>
  <c r="F277" i="4"/>
  <c r="F623" i="4" s="1"/>
  <c r="G277" i="4"/>
  <c r="H277" i="4"/>
  <c r="I277" i="4"/>
  <c r="J277" i="4"/>
  <c r="B278" i="4"/>
  <c r="C278" i="4"/>
  <c r="D278" i="4"/>
  <c r="E278" i="4"/>
  <c r="E623" i="4" s="1"/>
  <c r="F278" i="4"/>
  <c r="G278" i="4"/>
  <c r="H278" i="4"/>
  <c r="I278" i="4"/>
  <c r="I623" i="4" s="1"/>
  <c r="J278" i="4"/>
  <c r="B279" i="4"/>
  <c r="C279" i="4"/>
  <c r="D279" i="4"/>
  <c r="E279" i="4"/>
  <c r="F279" i="4"/>
  <c r="G279" i="4"/>
  <c r="H279" i="4"/>
  <c r="I279" i="4"/>
  <c r="J279" i="4"/>
  <c r="B280" i="4"/>
  <c r="C280" i="4"/>
  <c r="D280" i="4"/>
  <c r="E280" i="4"/>
  <c r="F280" i="4"/>
  <c r="G280" i="4"/>
  <c r="H280" i="4"/>
  <c r="I280" i="4"/>
  <c r="J280" i="4"/>
  <c r="B281" i="4"/>
  <c r="C281" i="4"/>
  <c r="D281" i="4"/>
  <c r="E281" i="4"/>
  <c r="F281" i="4"/>
  <c r="G281" i="4"/>
  <c r="H281" i="4"/>
  <c r="I281" i="4"/>
  <c r="J281" i="4"/>
  <c r="B282" i="4"/>
  <c r="C282" i="4"/>
  <c r="D282" i="4"/>
  <c r="E282" i="4"/>
  <c r="F282" i="4"/>
  <c r="G282" i="4"/>
  <c r="H282" i="4"/>
  <c r="I282" i="4"/>
  <c r="J282" i="4"/>
  <c r="B283" i="4"/>
  <c r="C283" i="4"/>
  <c r="D283" i="4"/>
  <c r="E283" i="4"/>
  <c r="F283" i="4"/>
  <c r="G283" i="4"/>
  <c r="H283" i="4"/>
  <c r="I283" i="4"/>
  <c r="J283" i="4"/>
  <c r="B284" i="4"/>
  <c r="C284" i="4"/>
  <c r="D284" i="4"/>
  <c r="E284" i="4"/>
  <c r="F284" i="4"/>
  <c r="G284" i="4"/>
  <c r="H284" i="4"/>
  <c r="I284" i="4"/>
  <c r="J284" i="4"/>
  <c r="B285" i="4"/>
  <c r="C285" i="4"/>
  <c r="D285" i="4"/>
  <c r="E285" i="4"/>
  <c r="F285" i="4"/>
  <c r="G285" i="4"/>
  <c r="H285" i="4"/>
  <c r="I285" i="4"/>
  <c r="J285" i="4"/>
  <c r="B286" i="4"/>
  <c r="C286" i="4"/>
  <c r="D286" i="4"/>
  <c r="E286" i="4"/>
  <c r="F286" i="4"/>
  <c r="G286" i="4"/>
  <c r="H286" i="4"/>
  <c r="I286" i="4"/>
  <c r="J286" i="4"/>
  <c r="B287" i="4"/>
  <c r="C287" i="4"/>
  <c r="D287" i="4"/>
  <c r="E287" i="4"/>
  <c r="F287" i="4"/>
  <c r="G287" i="4"/>
  <c r="H287" i="4"/>
  <c r="I287" i="4"/>
  <c r="J287" i="4"/>
  <c r="B288" i="4"/>
  <c r="C288" i="4"/>
  <c r="D288" i="4"/>
  <c r="E288" i="4"/>
  <c r="F288" i="4"/>
  <c r="G288" i="4"/>
  <c r="H288" i="4"/>
  <c r="I288" i="4"/>
  <c r="J288" i="4"/>
  <c r="B289" i="4"/>
  <c r="B624" i="4" s="1"/>
  <c r="C289" i="4"/>
  <c r="D289" i="4"/>
  <c r="E289" i="4"/>
  <c r="F289" i="4"/>
  <c r="F624" i="4" s="1"/>
  <c r="G289" i="4"/>
  <c r="H289" i="4"/>
  <c r="I289" i="4"/>
  <c r="J289" i="4"/>
  <c r="B290" i="4"/>
  <c r="C290" i="4"/>
  <c r="D290" i="4"/>
  <c r="E290" i="4"/>
  <c r="E624" i="4" s="1"/>
  <c r="F290" i="4"/>
  <c r="G290" i="4"/>
  <c r="H290" i="4"/>
  <c r="I290" i="4"/>
  <c r="I624" i="4" s="1"/>
  <c r="J290" i="4"/>
  <c r="B291" i="4"/>
  <c r="C291" i="4"/>
  <c r="D291" i="4"/>
  <c r="D624" i="4" s="1"/>
  <c r="E291" i="4"/>
  <c r="F291" i="4"/>
  <c r="G291" i="4"/>
  <c r="H291" i="4"/>
  <c r="H624" i="4" s="1"/>
  <c r="I291" i="4"/>
  <c r="J291" i="4"/>
  <c r="B292" i="4"/>
  <c r="C292" i="4"/>
  <c r="D292" i="4"/>
  <c r="E292" i="4"/>
  <c r="F292" i="4"/>
  <c r="G292" i="4"/>
  <c r="H292" i="4"/>
  <c r="I292" i="4"/>
  <c r="J292" i="4"/>
  <c r="B293" i="4"/>
  <c r="C293" i="4"/>
  <c r="D293" i="4"/>
  <c r="E293" i="4"/>
  <c r="F293" i="4"/>
  <c r="G293" i="4"/>
  <c r="H293" i="4"/>
  <c r="I293" i="4"/>
  <c r="J293" i="4"/>
  <c r="B294" i="4"/>
  <c r="C294" i="4"/>
  <c r="D294" i="4"/>
  <c r="E294" i="4"/>
  <c r="F294" i="4"/>
  <c r="G294" i="4"/>
  <c r="H294" i="4"/>
  <c r="I294" i="4"/>
  <c r="J294" i="4"/>
  <c r="B295" i="4"/>
  <c r="C295" i="4"/>
  <c r="D295" i="4"/>
  <c r="E295" i="4"/>
  <c r="F295" i="4"/>
  <c r="G295" i="4"/>
  <c r="H295" i="4"/>
  <c r="I295" i="4"/>
  <c r="J295" i="4"/>
  <c r="B296" i="4"/>
  <c r="C296" i="4"/>
  <c r="D296" i="4"/>
  <c r="E296" i="4"/>
  <c r="F296" i="4"/>
  <c r="G296" i="4"/>
  <c r="H296" i="4"/>
  <c r="I296" i="4"/>
  <c r="J296" i="4"/>
  <c r="B297" i="4"/>
  <c r="C297" i="4"/>
  <c r="D297" i="4"/>
  <c r="E297" i="4"/>
  <c r="F297" i="4"/>
  <c r="G297" i="4"/>
  <c r="H297" i="4"/>
  <c r="I297" i="4"/>
  <c r="J297" i="4"/>
  <c r="B298" i="4"/>
  <c r="C298" i="4"/>
  <c r="D298" i="4"/>
  <c r="E298" i="4"/>
  <c r="F298" i="4"/>
  <c r="G298" i="4"/>
  <c r="H298" i="4"/>
  <c r="I298" i="4"/>
  <c r="J298" i="4"/>
  <c r="B299" i="4"/>
  <c r="C299" i="4"/>
  <c r="D299" i="4"/>
  <c r="E299" i="4"/>
  <c r="F299" i="4"/>
  <c r="G299" i="4"/>
  <c r="H299" i="4"/>
  <c r="I299" i="4"/>
  <c r="J299" i="4"/>
  <c r="B300" i="4"/>
  <c r="C300" i="4"/>
  <c r="C625" i="4" s="1"/>
  <c r="D300" i="4"/>
  <c r="E300" i="4"/>
  <c r="F300" i="4"/>
  <c r="G300" i="4"/>
  <c r="G625" i="4" s="1"/>
  <c r="H300" i="4"/>
  <c r="I300" i="4"/>
  <c r="J300" i="4"/>
  <c r="B301" i="4"/>
  <c r="C301" i="4"/>
  <c r="D301" i="4"/>
  <c r="E301" i="4"/>
  <c r="F301" i="4"/>
  <c r="G301" i="4"/>
  <c r="H301" i="4"/>
  <c r="I301" i="4"/>
  <c r="J301" i="4"/>
  <c r="B302" i="4"/>
  <c r="C302" i="4"/>
  <c r="D302" i="4"/>
  <c r="E302" i="4"/>
  <c r="E625" i="4" s="1"/>
  <c r="F302" i="4"/>
  <c r="G302" i="4"/>
  <c r="H302" i="4"/>
  <c r="I302" i="4"/>
  <c r="I625" i="4" s="1"/>
  <c r="J302" i="4"/>
  <c r="B303" i="4"/>
  <c r="C303" i="4"/>
  <c r="D303" i="4"/>
  <c r="D625" i="4" s="1"/>
  <c r="E303" i="4"/>
  <c r="F303" i="4"/>
  <c r="G303" i="4"/>
  <c r="H303" i="4"/>
  <c r="H625" i="4" s="1"/>
  <c r="I303" i="4"/>
  <c r="J303" i="4"/>
  <c r="B304" i="4"/>
  <c r="C304" i="4"/>
  <c r="D304" i="4"/>
  <c r="E304" i="4"/>
  <c r="F304" i="4"/>
  <c r="G304" i="4"/>
  <c r="H304" i="4"/>
  <c r="I304" i="4"/>
  <c r="J304" i="4"/>
  <c r="B305" i="4"/>
  <c r="C305" i="4"/>
  <c r="D305" i="4"/>
  <c r="E305" i="4"/>
  <c r="F305" i="4"/>
  <c r="G305" i="4"/>
  <c r="H305" i="4"/>
  <c r="I305" i="4"/>
  <c r="J305" i="4"/>
  <c r="B306" i="4"/>
  <c r="C306" i="4"/>
  <c r="D306" i="4"/>
  <c r="E306" i="4"/>
  <c r="F306" i="4"/>
  <c r="G306" i="4"/>
  <c r="H306" i="4"/>
  <c r="I306" i="4"/>
  <c r="J306" i="4"/>
  <c r="B307" i="4"/>
  <c r="C307" i="4"/>
  <c r="D307" i="4"/>
  <c r="E307" i="4"/>
  <c r="F307" i="4"/>
  <c r="G307" i="4"/>
  <c r="H307" i="4"/>
  <c r="I307" i="4"/>
  <c r="J307" i="4"/>
  <c r="B308" i="4"/>
  <c r="C308" i="4"/>
  <c r="D308" i="4"/>
  <c r="E308" i="4"/>
  <c r="F308" i="4"/>
  <c r="G308" i="4"/>
  <c r="H308" i="4"/>
  <c r="I308" i="4"/>
  <c r="J308" i="4"/>
  <c r="B309" i="4"/>
  <c r="C309" i="4"/>
  <c r="D309" i="4"/>
  <c r="E309" i="4"/>
  <c r="F309" i="4"/>
  <c r="G309" i="4"/>
  <c r="H309" i="4"/>
  <c r="I309" i="4"/>
  <c r="J309" i="4"/>
  <c r="B310" i="4"/>
  <c r="C310" i="4"/>
  <c r="D310" i="4"/>
  <c r="E310" i="4"/>
  <c r="F310" i="4"/>
  <c r="G310" i="4"/>
  <c r="H310" i="4"/>
  <c r="I310" i="4"/>
  <c r="J310" i="4"/>
  <c r="B311" i="4"/>
  <c r="C311" i="4"/>
  <c r="D311" i="4"/>
  <c r="E311" i="4"/>
  <c r="F311" i="4"/>
  <c r="G311" i="4"/>
  <c r="H311" i="4"/>
  <c r="I311" i="4"/>
  <c r="J311" i="4"/>
  <c r="B312" i="4"/>
  <c r="C312" i="4"/>
  <c r="C626" i="4" s="1"/>
  <c r="D312" i="4"/>
  <c r="E312" i="4"/>
  <c r="F312" i="4"/>
  <c r="G312" i="4"/>
  <c r="G626" i="4" s="1"/>
  <c r="H312" i="4"/>
  <c r="I312" i="4"/>
  <c r="J312" i="4"/>
  <c r="B313" i="4"/>
  <c r="B626" i="4" s="1"/>
  <c r="C313" i="4"/>
  <c r="D313" i="4"/>
  <c r="E313" i="4"/>
  <c r="F313" i="4"/>
  <c r="F626" i="4" s="1"/>
  <c r="G313" i="4"/>
  <c r="H313" i="4"/>
  <c r="I313" i="4"/>
  <c r="J313" i="4"/>
  <c r="B314" i="4"/>
  <c r="C314" i="4"/>
  <c r="D314" i="4"/>
  <c r="E314" i="4"/>
  <c r="E626" i="4" s="1"/>
  <c r="F314" i="4"/>
  <c r="G314" i="4"/>
  <c r="H314" i="4"/>
  <c r="I314" i="4"/>
  <c r="I626" i="4" s="1"/>
  <c r="J314" i="4"/>
  <c r="B315" i="4"/>
  <c r="C315" i="4"/>
  <c r="D315" i="4"/>
  <c r="E315" i="4"/>
  <c r="F315" i="4"/>
  <c r="G315" i="4"/>
  <c r="H315" i="4"/>
  <c r="I315" i="4"/>
  <c r="J315" i="4"/>
  <c r="B316" i="4"/>
  <c r="C316" i="4"/>
  <c r="D316" i="4"/>
  <c r="E316" i="4"/>
  <c r="F316" i="4"/>
  <c r="G316" i="4"/>
  <c r="H316" i="4"/>
  <c r="I316" i="4"/>
  <c r="J316" i="4"/>
  <c r="B317" i="4"/>
  <c r="C317" i="4"/>
  <c r="D317" i="4"/>
  <c r="E317" i="4"/>
  <c r="F317" i="4"/>
  <c r="G317" i="4"/>
  <c r="H317" i="4"/>
  <c r="I317" i="4"/>
  <c r="J317" i="4"/>
  <c r="B318" i="4"/>
  <c r="C318" i="4"/>
  <c r="D318" i="4"/>
  <c r="E318" i="4"/>
  <c r="F318" i="4"/>
  <c r="G318" i="4"/>
  <c r="H318" i="4"/>
  <c r="I318" i="4"/>
  <c r="J318" i="4"/>
  <c r="B319" i="4"/>
  <c r="C319" i="4"/>
  <c r="D319" i="4"/>
  <c r="E319" i="4"/>
  <c r="F319" i="4"/>
  <c r="G319" i="4"/>
  <c r="H319" i="4"/>
  <c r="I319" i="4"/>
  <c r="J319" i="4"/>
  <c r="B320" i="4"/>
  <c r="C320" i="4"/>
  <c r="D320" i="4"/>
  <c r="E320" i="4"/>
  <c r="F320" i="4"/>
  <c r="G320" i="4"/>
  <c r="H320" i="4"/>
  <c r="I320" i="4"/>
  <c r="J320" i="4"/>
  <c r="B321" i="4"/>
  <c r="C321" i="4"/>
  <c r="D321" i="4"/>
  <c r="E321" i="4"/>
  <c r="F321" i="4"/>
  <c r="G321" i="4"/>
  <c r="H321" i="4"/>
  <c r="I321" i="4"/>
  <c r="J321" i="4"/>
  <c r="B322" i="4"/>
  <c r="C322" i="4"/>
  <c r="D322" i="4"/>
  <c r="E322" i="4"/>
  <c r="F322" i="4"/>
  <c r="G322" i="4"/>
  <c r="H322" i="4"/>
  <c r="I322" i="4"/>
  <c r="J322" i="4"/>
  <c r="B323" i="4"/>
  <c r="C323" i="4"/>
  <c r="D323" i="4"/>
  <c r="E323" i="4"/>
  <c r="F323" i="4"/>
  <c r="G323" i="4"/>
  <c r="H323" i="4"/>
  <c r="I323" i="4"/>
  <c r="J323" i="4"/>
  <c r="B324" i="4"/>
  <c r="C324" i="4"/>
  <c r="C627" i="4" s="1"/>
  <c r="D324" i="4"/>
  <c r="E324" i="4"/>
  <c r="F324" i="4"/>
  <c r="G324" i="4"/>
  <c r="G627" i="4" s="1"/>
  <c r="H324" i="4"/>
  <c r="I324" i="4"/>
  <c r="J324" i="4"/>
  <c r="B325" i="4"/>
  <c r="C325" i="4"/>
  <c r="D325" i="4"/>
  <c r="E325" i="4"/>
  <c r="F325" i="4"/>
  <c r="G325" i="4"/>
  <c r="H325" i="4"/>
  <c r="I325" i="4"/>
  <c r="J325" i="4"/>
  <c r="B326" i="4"/>
  <c r="C326" i="4"/>
  <c r="D326" i="4"/>
  <c r="E326" i="4"/>
  <c r="E627" i="4" s="1"/>
  <c r="F326" i="4"/>
  <c r="G326" i="4"/>
  <c r="H326" i="4"/>
  <c r="I326" i="4"/>
  <c r="I627" i="4" s="1"/>
  <c r="J326" i="4"/>
  <c r="B327" i="4"/>
  <c r="C327" i="4"/>
  <c r="D327" i="4"/>
  <c r="D627" i="4" s="1"/>
  <c r="E327" i="4"/>
  <c r="F327" i="4"/>
  <c r="G327" i="4"/>
  <c r="H327" i="4"/>
  <c r="H627" i="4" s="1"/>
  <c r="I327" i="4"/>
  <c r="J327" i="4"/>
  <c r="B328" i="4"/>
  <c r="C328" i="4"/>
  <c r="D328" i="4"/>
  <c r="E328" i="4"/>
  <c r="F328" i="4"/>
  <c r="G328" i="4"/>
  <c r="H328" i="4"/>
  <c r="I328" i="4"/>
  <c r="J328" i="4"/>
  <c r="B329" i="4"/>
  <c r="C329" i="4"/>
  <c r="D329" i="4"/>
  <c r="E329" i="4"/>
  <c r="F329" i="4"/>
  <c r="G329" i="4"/>
  <c r="H329" i="4"/>
  <c r="I329" i="4"/>
  <c r="J329" i="4"/>
  <c r="B330" i="4"/>
  <c r="C330" i="4"/>
  <c r="D330" i="4"/>
  <c r="E330" i="4"/>
  <c r="F330" i="4"/>
  <c r="G330" i="4"/>
  <c r="H330" i="4"/>
  <c r="I330" i="4"/>
  <c r="J330" i="4"/>
  <c r="B331" i="4"/>
  <c r="C331" i="4"/>
  <c r="D331" i="4"/>
  <c r="E331" i="4"/>
  <c r="F331" i="4"/>
  <c r="G331" i="4"/>
  <c r="H331" i="4"/>
  <c r="I331" i="4"/>
  <c r="J331" i="4"/>
  <c r="B332" i="4"/>
  <c r="C332" i="4"/>
  <c r="D332" i="4"/>
  <c r="E332" i="4"/>
  <c r="F332" i="4"/>
  <c r="G332" i="4"/>
  <c r="H332" i="4"/>
  <c r="I332" i="4"/>
  <c r="J332" i="4"/>
  <c r="B333" i="4"/>
  <c r="C333" i="4"/>
  <c r="D333" i="4"/>
  <c r="E333" i="4"/>
  <c r="F333" i="4"/>
  <c r="G333" i="4"/>
  <c r="H333" i="4"/>
  <c r="I333" i="4"/>
  <c r="J333" i="4"/>
  <c r="B334" i="4"/>
  <c r="C334" i="4"/>
  <c r="D334" i="4"/>
  <c r="E334" i="4"/>
  <c r="F334" i="4"/>
  <c r="G334" i="4"/>
  <c r="H334" i="4"/>
  <c r="I334" i="4"/>
  <c r="J334" i="4"/>
  <c r="B335" i="4"/>
  <c r="C335" i="4"/>
  <c r="D335" i="4"/>
  <c r="E335" i="4"/>
  <c r="F335" i="4"/>
  <c r="G335" i="4"/>
  <c r="H335" i="4"/>
  <c r="I335" i="4"/>
  <c r="J335" i="4"/>
  <c r="B336" i="4"/>
  <c r="C336" i="4"/>
  <c r="C628" i="4" s="1"/>
  <c r="D336" i="4"/>
  <c r="E336" i="4"/>
  <c r="F336" i="4"/>
  <c r="G336" i="4"/>
  <c r="G628" i="4" s="1"/>
  <c r="H336" i="4"/>
  <c r="I336" i="4"/>
  <c r="J336" i="4"/>
  <c r="B337" i="4"/>
  <c r="B628" i="4" s="1"/>
  <c r="C337" i="4"/>
  <c r="D337" i="4"/>
  <c r="E337" i="4"/>
  <c r="F337" i="4"/>
  <c r="F628" i="4" s="1"/>
  <c r="G337" i="4"/>
  <c r="H337" i="4"/>
  <c r="I337" i="4"/>
  <c r="J337" i="4"/>
  <c r="B338" i="4"/>
  <c r="C338" i="4"/>
  <c r="D338" i="4"/>
  <c r="E338" i="4"/>
  <c r="E628" i="4" s="1"/>
  <c r="F338" i="4"/>
  <c r="G338" i="4"/>
  <c r="H338" i="4"/>
  <c r="I338" i="4"/>
  <c r="I628" i="4" s="1"/>
  <c r="J338" i="4"/>
  <c r="B339" i="4"/>
  <c r="C339" i="4"/>
  <c r="D339" i="4"/>
  <c r="E339" i="4"/>
  <c r="F339" i="4"/>
  <c r="G339" i="4"/>
  <c r="H339" i="4"/>
  <c r="I339" i="4"/>
  <c r="J339" i="4"/>
  <c r="B340" i="4"/>
  <c r="C340" i="4"/>
  <c r="D340" i="4"/>
  <c r="E340" i="4"/>
  <c r="F340" i="4"/>
  <c r="G340" i="4"/>
  <c r="H340" i="4"/>
  <c r="I340" i="4"/>
  <c r="J340" i="4"/>
  <c r="B341" i="4"/>
  <c r="C341" i="4"/>
  <c r="D341" i="4"/>
  <c r="E341" i="4"/>
  <c r="F341" i="4"/>
  <c r="G341" i="4"/>
  <c r="H341" i="4"/>
  <c r="I341" i="4"/>
  <c r="J341" i="4"/>
  <c r="B342" i="4"/>
  <c r="C342" i="4"/>
  <c r="D342" i="4"/>
  <c r="E342" i="4"/>
  <c r="F342" i="4"/>
  <c r="G342" i="4"/>
  <c r="H342" i="4"/>
  <c r="I342" i="4"/>
  <c r="J342" i="4"/>
  <c r="B343" i="4"/>
  <c r="C343" i="4"/>
  <c r="D343" i="4"/>
  <c r="E343" i="4"/>
  <c r="F343" i="4"/>
  <c r="G343" i="4"/>
  <c r="H343" i="4"/>
  <c r="I343" i="4"/>
  <c r="J343" i="4"/>
  <c r="B344" i="4"/>
  <c r="C344" i="4"/>
  <c r="D344" i="4"/>
  <c r="E344" i="4"/>
  <c r="F344" i="4"/>
  <c r="G344" i="4"/>
  <c r="H344" i="4"/>
  <c r="I344" i="4"/>
  <c r="J344" i="4"/>
  <c r="B345" i="4"/>
  <c r="C345" i="4"/>
  <c r="D345" i="4"/>
  <c r="E345" i="4"/>
  <c r="F345" i="4"/>
  <c r="G345" i="4"/>
  <c r="H345" i="4"/>
  <c r="I345" i="4"/>
  <c r="J345" i="4"/>
  <c r="B346" i="4"/>
  <c r="C346" i="4"/>
  <c r="D346" i="4"/>
  <c r="E346" i="4"/>
  <c r="F346" i="4"/>
  <c r="G346" i="4"/>
  <c r="H346" i="4"/>
  <c r="I346" i="4"/>
  <c r="J346" i="4"/>
  <c r="B347" i="4"/>
  <c r="C347" i="4"/>
  <c r="D347" i="4"/>
  <c r="E347" i="4"/>
  <c r="F347" i="4"/>
  <c r="G347" i="4"/>
  <c r="H347" i="4"/>
  <c r="I347" i="4"/>
  <c r="J347" i="4"/>
  <c r="B348" i="4"/>
  <c r="C348" i="4"/>
  <c r="C629" i="4" s="1"/>
  <c r="D348" i="4"/>
  <c r="E348" i="4"/>
  <c r="F348" i="4"/>
  <c r="G348" i="4"/>
  <c r="G629" i="4" s="1"/>
  <c r="H348" i="4"/>
  <c r="I348" i="4"/>
  <c r="J348" i="4"/>
  <c r="B349" i="4"/>
  <c r="C349" i="4"/>
  <c r="D349" i="4"/>
  <c r="E349" i="4"/>
  <c r="F349" i="4"/>
  <c r="G349" i="4"/>
  <c r="H349" i="4"/>
  <c r="I349" i="4"/>
  <c r="J349" i="4"/>
  <c r="B350" i="4"/>
  <c r="C350" i="4"/>
  <c r="D350" i="4"/>
  <c r="E350" i="4"/>
  <c r="E629" i="4" s="1"/>
  <c r="F350" i="4"/>
  <c r="G350" i="4"/>
  <c r="H350" i="4"/>
  <c r="I350" i="4"/>
  <c r="I629" i="4" s="1"/>
  <c r="J350" i="4"/>
  <c r="B351" i="4"/>
  <c r="C351" i="4"/>
  <c r="D351" i="4"/>
  <c r="D629" i="4" s="1"/>
  <c r="E351" i="4"/>
  <c r="F351" i="4"/>
  <c r="G351" i="4"/>
  <c r="H351" i="4"/>
  <c r="H629" i="4" s="1"/>
  <c r="I351" i="4"/>
  <c r="J351" i="4"/>
  <c r="B352" i="4"/>
  <c r="C352" i="4"/>
  <c r="D352" i="4"/>
  <c r="E352" i="4"/>
  <c r="F352" i="4"/>
  <c r="G352" i="4"/>
  <c r="H352" i="4"/>
  <c r="I352" i="4"/>
  <c r="J352" i="4"/>
  <c r="B353" i="4"/>
  <c r="C353" i="4"/>
  <c r="D353" i="4"/>
  <c r="E353" i="4"/>
  <c r="F353" i="4"/>
  <c r="G353" i="4"/>
  <c r="H353" i="4"/>
  <c r="I353" i="4"/>
  <c r="J353" i="4"/>
  <c r="B354" i="4"/>
  <c r="C354" i="4"/>
  <c r="D354" i="4"/>
  <c r="E354" i="4"/>
  <c r="F354" i="4"/>
  <c r="G354" i="4"/>
  <c r="H354" i="4"/>
  <c r="I354" i="4"/>
  <c r="J354" i="4"/>
  <c r="B355" i="4"/>
  <c r="C355" i="4"/>
  <c r="D355" i="4"/>
  <c r="E355" i="4"/>
  <c r="F355" i="4"/>
  <c r="G355" i="4"/>
  <c r="H355" i="4"/>
  <c r="I355" i="4"/>
  <c r="J355" i="4"/>
  <c r="B356" i="4"/>
  <c r="C356" i="4"/>
  <c r="D356" i="4"/>
  <c r="E356" i="4"/>
  <c r="F356" i="4"/>
  <c r="G356" i="4"/>
  <c r="H356" i="4"/>
  <c r="I356" i="4"/>
  <c r="J356" i="4"/>
  <c r="B357" i="4"/>
  <c r="C357" i="4"/>
  <c r="D357" i="4"/>
  <c r="E357" i="4"/>
  <c r="F357" i="4"/>
  <c r="G357" i="4"/>
  <c r="H357" i="4"/>
  <c r="I357" i="4"/>
  <c r="J357" i="4"/>
  <c r="B358" i="4"/>
  <c r="C358" i="4"/>
  <c r="D358" i="4"/>
  <c r="E358" i="4"/>
  <c r="F358" i="4"/>
  <c r="G358" i="4"/>
  <c r="H358" i="4"/>
  <c r="I358" i="4"/>
  <c r="J358" i="4"/>
  <c r="B359" i="4"/>
  <c r="C359" i="4"/>
  <c r="D359" i="4"/>
  <c r="E359" i="4"/>
  <c r="F359" i="4"/>
  <c r="G359" i="4"/>
  <c r="H359" i="4"/>
  <c r="I359" i="4"/>
  <c r="J359" i="4"/>
  <c r="B360" i="4"/>
  <c r="C360" i="4"/>
  <c r="C630" i="4" s="1"/>
  <c r="D360" i="4"/>
  <c r="E360" i="4"/>
  <c r="F360" i="4"/>
  <c r="G360" i="4"/>
  <c r="G630" i="4" s="1"/>
  <c r="H360" i="4"/>
  <c r="I360" i="4"/>
  <c r="J360" i="4"/>
  <c r="B361" i="4"/>
  <c r="B630" i="4" s="1"/>
  <c r="C361" i="4"/>
  <c r="D361" i="4"/>
  <c r="E361" i="4"/>
  <c r="F361" i="4"/>
  <c r="F630" i="4" s="1"/>
  <c r="G361" i="4"/>
  <c r="H361" i="4"/>
  <c r="I361" i="4"/>
  <c r="J361" i="4"/>
  <c r="B362" i="4"/>
  <c r="C362" i="4"/>
  <c r="D362" i="4"/>
  <c r="E362" i="4"/>
  <c r="E630" i="4" s="1"/>
  <c r="F362" i="4"/>
  <c r="G362" i="4"/>
  <c r="H362" i="4"/>
  <c r="I362" i="4"/>
  <c r="I630" i="4" s="1"/>
  <c r="J362" i="4"/>
  <c r="B363" i="4"/>
  <c r="C363" i="4"/>
  <c r="D363" i="4"/>
  <c r="E363" i="4"/>
  <c r="F363" i="4"/>
  <c r="G363" i="4"/>
  <c r="H363" i="4"/>
  <c r="I363" i="4"/>
  <c r="J363" i="4"/>
  <c r="B364" i="4"/>
  <c r="C364" i="4"/>
  <c r="D364" i="4"/>
  <c r="E364" i="4"/>
  <c r="F364" i="4"/>
  <c r="G364" i="4"/>
  <c r="H364" i="4"/>
  <c r="I364" i="4"/>
  <c r="J364" i="4"/>
  <c r="B365" i="4"/>
  <c r="C365" i="4"/>
  <c r="D365" i="4"/>
  <c r="E365" i="4"/>
  <c r="F365" i="4"/>
  <c r="G365" i="4"/>
  <c r="H365" i="4"/>
  <c r="I365" i="4"/>
  <c r="J365" i="4"/>
  <c r="B366" i="4"/>
  <c r="C366" i="4"/>
  <c r="D366" i="4"/>
  <c r="E366" i="4"/>
  <c r="F366" i="4"/>
  <c r="G366" i="4"/>
  <c r="H366" i="4"/>
  <c r="I366" i="4"/>
  <c r="J366" i="4"/>
  <c r="B367" i="4"/>
  <c r="C367" i="4"/>
  <c r="D367" i="4"/>
  <c r="E367" i="4"/>
  <c r="F367" i="4"/>
  <c r="G367" i="4"/>
  <c r="H367" i="4"/>
  <c r="I367" i="4"/>
  <c r="J367" i="4"/>
  <c r="B368" i="4"/>
  <c r="C368" i="4"/>
  <c r="D368" i="4"/>
  <c r="E368" i="4"/>
  <c r="F368" i="4"/>
  <c r="G368" i="4"/>
  <c r="H368" i="4"/>
  <c r="I368" i="4"/>
  <c r="J368" i="4"/>
  <c r="B369" i="4"/>
  <c r="C369" i="4"/>
  <c r="D369" i="4"/>
  <c r="E369" i="4"/>
  <c r="F369" i="4"/>
  <c r="G369" i="4"/>
  <c r="H369" i="4"/>
  <c r="I369" i="4"/>
  <c r="J369" i="4"/>
  <c r="B370" i="4"/>
  <c r="C370" i="4"/>
  <c r="D370" i="4"/>
  <c r="E370" i="4"/>
  <c r="F370" i="4"/>
  <c r="G370" i="4"/>
  <c r="H370" i="4"/>
  <c r="I370" i="4"/>
  <c r="J370" i="4"/>
  <c r="B371" i="4"/>
  <c r="C371" i="4"/>
  <c r="D371" i="4"/>
  <c r="E371" i="4"/>
  <c r="F371" i="4"/>
  <c r="G371" i="4"/>
  <c r="H371" i="4"/>
  <c r="I371" i="4"/>
  <c r="J371" i="4"/>
  <c r="B372" i="4"/>
  <c r="C372" i="4"/>
  <c r="C631" i="4" s="1"/>
  <c r="D372" i="4"/>
  <c r="E372" i="4"/>
  <c r="F372" i="4"/>
  <c r="G372" i="4"/>
  <c r="G631" i="4" s="1"/>
  <c r="H372" i="4"/>
  <c r="I372" i="4"/>
  <c r="J372" i="4"/>
  <c r="B373" i="4"/>
  <c r="C373" i="4"/>
  <c r="D373" i="4"/>
  <c r="E373" i="4"/>
  <c r="F373" i="4"/>
  <c r="G373" i="4"/>
  <c r="H373" i="4"/>
  <c r="I373" i="4"/>
  <c r="J373" i="4"/>
  <c r="B374" i="4"/>
  <c r="C374" i="4"/>
  <c r="D374" i="4"/>
  <c r="E374" i="4"/>
  <c r="E631" i="4" s="1"/>
  <c r="F374" i="4"/>
  <c r="G374" i="4"/>
  <c r="H374" i="4"/>
  <c r="I374" i="4"/>
  <c r="I631" i="4" s="1"/>
  <c r="J374" i="4"/>
  <c r="B375" i="4"/>
  <c r="C375" i="4"/>
  <c r="D375" i="4"/>
  <c r="D631" i="4" s="1"/>
  <c r="E375" i="4"/>
  <c r="F375" i="4"/>
  <c r="G375" i="4"/>
  <c r="H375" i="4"/>
  <c r="H631" i="4" s="1"/>
  <c r="I375" i="4"/>
  <c r="J375" i="4"/>
  <c r="B376" i="4"/>
  <c r="C376" i="4"/>
  <c r="D376" i="4"/>
  <c r="E376" i="4"/>
  <c r="F376" i="4"/>
  <c r="G376" i="4"/>
  <c r="H376" i="4"/>
  <c r="I376" i="4"/>
  <c r="J376" i="4"/>
  <c r="B377" i="4"/>
  <c r="C377" i="4"/>
  <c r="D377" i="4"/>
  <c r="E377" i="4"/>
  <c r="F377" i="4"/>
  <c r="G377" i="4"/>
  <c r="H377" i="4"/>
  <c r="I377" i="4"/>
  <c r="J377" i="4"/>
  <c r="B378" i="4"/>
  <c r="C378" i="4"/>
  <c r="D378" i="4"/>
  <c r="E378" i="4"/>
  <c r="F378" i="4"/>
  <c r="G378" i="4"/>
  <c r="H378" i="4"/>
  <c r="I378" i="4"/>
  <c r="J378" i="4"/>
  <c r="B379" i="4"/>
  <c r="C379" i="4"/>
  <c r="D379" i="4"/>
  <c r="E379" i="4"/>
  <c r="F379" i="4"/>
  <c r="G379" i="4"/>
  <c r="H379" i="4"/>
  <c r="I379" i="4"/>
  <c r="J379" i="4"/>
  <c r="B380" i="4"/>
  <c r="C380" i="4"/>
  <c r="D380" i="4"/>
  <c r="E380" i="4"/>
  <c r="F380" i="4"/>
  <c r="G380" i="4"/>
  <c r="H380" i="4"/>
  <c r="I380" i="4"/>
  <c r="J380" i="4"/>
  <c r="B381" i="4"/>
  <c r="C381" i="4"/>
  <c r="D381" i="4"/>
  <c r="E381" i="4"/>
  <c r="F381" i="4"/>
  <c r="G381" i="4"/>
  <c r="H381" i="4"/>
  <c r="I381" i="4"/>
  <c r="J381" i="4"/>
  <c r="B382" i="4"/>
  <c r="C382" i="4"/>
  <c r="D382" i="4"/>
  <c r="E382" i="4"/>
  <c r="F382" i="4"/>
  <c r="G382" i="4"/>
  <c r="H382" i="4"/>
  <c r="I382" i="4"/>
  <c r="J382" i="4"/>
  <c r="B383" i="4"/>
  <c r="C383" i="4"/>
  <c r="D383" i="4"/>
  <c r="E383" i="4"/>
  <c r="F383" i="4"/>
  <c r="G383" i="4"/>
  <c r="H383" i="4"/>
  <c r="I383" i="4"/>
  <c r="J383" i="4"/>
  <c r="B384" i="4"/>
  <c r="C384" i="4"/>
  <c r="C632" i="4" s="1"/>
  <c r="D384" i="4"/>
  <c r="E384" i="4"/>
  <c r="F384" i="4"/>
  <c r="G384" i="4"/>
  <c r="G632" i="4" s="1"/>
  <c r="H384" i="4"/>
  <c r="I384" i="4"/>
  <c r="J384" i="4"/>
  <c r="B385" i="4"/>
  <c r="B632" i="4" s="1"/>
  <c r="C385" i="4"/>
  <c r="D385" i="4"/>
  <c r="E385" i="4"/>
  <c r="F385" i="4"/>
  <c r="F632" i="4" s="1"/>
  <c r="G385" i="4"/>
  <c r="H385" i="4"/>
  <c r="I385" i="4"/>
  <c r="J385" i="4"/>
  <c r="B386" i="4"/>
  <c r="C386" i="4"/>
  <c r="D386" i="4"/>
  <c r="E386" i="4"/>
  <c r="E632" i="4" s="1"/>
  <c r="F386" i="4"/>
  <c r="G386" i="4"/>
  <c r="H386" i="4"/>
  <c r="I386" i="4"/>
  <c r="I632" i="4" s="1"/>
  <c r="J386" i="4"/>
  <c r="B387" i="4"/>
  <c r="C387" i="4"/>
  <c r="D387" i="4"/>
  <c r="E387" i="4"/>
  <c r="F387" i="4"/>
  <c r="G387" i="4"/>
  <c r="H387" i="4"/>
  <c r="I387" i="4"/>
  <c r="J387" i="4"/>
  <c r="B388" i="4"/>
  <c r="C388" i="4"/>
  <c r="D388" i="4"/>
  <c r="E388" i="4"/>
  <c r="F388" i="4"/>
  <c r="G388" i="4"/>
  <c r="H388" i="4"/>
  <c r="I388" i="4"/>
  <c r="J388" i="4"/>
  <c r="B389" i="4"/>
  <c r="C389" i="4"/>
  <c r="D389" i="4"/>
  <c r="E389" i="4"/>
  <c r="F389" i="4"/>
  <c r="G389" i="4"/>
  <c r="H389" i="4"/>
  <c r="I389" i="4"/>
  <c r="J389" i="4"/>
  <c r="B390" i="4"/>
  <c r="C390" i="4"/>
  <c r="D390" i="4"/>
  <c r="E390" i="4"/>
  <c r="F390" i="4"/>
  <c r="G390" i="4"/>
  <c r="H390" i="4"/>
  <c r="I390" i="4"/>
  <c r="J390" i="4"/>
  <c r="B391" i="4"/>
  <c r="C391" i="4"/>
  <c r="D391" i="4"/>
  <c r="E391" i="4"/>
  <c r="F391" i="4"/>
  <c r="G391" i="4"/>
  <c r="H391" i="4"/>
  <c r="I391" i="4"/>
  <c r="J391" i="4"/>
  <c r="B392" i="4"/>
  <c r="C392" i="4"/>
  <c r="D392" i="4"/>
  <c r="E392" i="4"/>
  <c r="F392" i="4"/>
  <c r="G392" i="4"/>
  <c r="H392" i="4"/>
  <c r="I392" i="4"/>
  <c r="J392" i="4"/>
  <c r="B393" i="4"/>
  <c r="C393" i="4"/>
  <c r="D393" i="4"/>
  <c r="E393" i="4"/>
  <c r="F393" i="4"/>
  <c r="G393" i="4"/>
  <c r="H393" i="4"/>
  <c r="I393" i="4"/>
  <c r="J393" i="4"/>
  <c r="B394" i="4"/>
  <c r="C394" i="4"/>
  <c r="D394" i="4"/>
  <c r="E394" i="4"/>
  <c r="F394" i="4"/>
  <c r="G394" i="4"/>
  <c r="H394" i="4"/>
  <c r="I394" i="4"/>
  <c r="J394" i="4"/>
  <c r="B395" i="4"/>
  <c r="C395" i="4"/>
  <c r="D395" i="4"/>
  <c r="E395" i="4"/>
  <c r="F395" i="4"/>
  <c r="G395" i="4"/>
  <c r="H395" i="4"/>
  <c r="I395" i="4"/>
  <c r="J395" i="4"/>
  <c r="B396" i="4"/>
  <c r="C396" i="4"/>
  <c r="C633" i="4" s="1"/>
  <c r="D396" i="4"/>
  <c r="E396" i="4"/>
  <c r="F396" i="4"/>
  <c r="G396" i="4"/>
  <c r="G633" i="4" s="1"/>
  <c r="H396" i="4"/>
  <c r="I396" i="4"/>
  <c r="J396" i="4"/>
  <c r="B397" i="4"/>
  <c r="C397" i="4"/>
  <c r="D397" i="4"/>
  <c r="E397" i="4"/>
  <c r="F397" i="4"/>
  <c r="G397" i="4"/>
  <c r="H397" i="4"/>
  <c r="I397" i="4"/>
  <c r="J397" i="4"/>
  <c r="B398" i="4"/>
  <c r="C398" i="4"/>
  <c r="D398" i="4"/>
  <c r="E398" i="4"/>
  <c r="E633" i="4" s="1"/>
  <c r="F398" i="4"/>
  <c r="G398" i="4"/>
  <c r="H398" i="4"/>
  <c r="I398" i="4"/>
  <c r="I633" i="4" s="1"/>
  <c r="J398" i="4"/>
  <c r="B399" i="4"/>
  <c r="C399" i="4"/>
  <c r="D399" i="4"/>
  <c r="D633" i="4" s="1"/>
  <c r="E399" i="4"/>
  <c r="F399" i="4"/>
  <c r="G399" i="4"/>
  <c r="H399" i="4"/>
  <c r="H633" i="4" s="1"/>
  <c r="I399" i="4"/>
  <c r="J399" i="4"/>
  <c r="B400" i="4"/>
  <c r="C400" i="4"/>
  <c r="D400" i="4"/>
  <c r="E400" i="4"/>
  <c r="F400" i="4"/>
  <c r="G400" i="4"/>
  <c r="H400" i="4"/>
  <c r="I400" i="4"/>
  <c r="J400" i="4"/>
  <c r="B401" i="4"/>
  <c r="C401" i="4"/>
  <c r="D401" i="4"/>
  <c r="E401" i="4"/>
  <c r="F401" i="4"/>
  <c r="G401" i="4"/>
  <c r="H401" i="4"/>
  <c r="I401" i="4"/>
  <c r="J401" i="4"/>
  <c r="B402" i="4"/>
  <c r="C402" i="4"/>
  <c r="D402" i="4"/>
  <c r="E402" i="4"/>
  <c r="F402" i="4"/>
  <c r="G402" i="4"/>
  <c r="H402" i="4"/>
  <c r="I402" i="4"/>
  <c r="J402" i="4"/>
  <c r="B403" i="4"/>
  <c r="C403" i="4"/>
  <c r="D403" i="4"/>
  <c r="E403" i="4"/>
  <c r="F403" i="4"/>
  <c r="G403" i="4"/>
  <c r="H403" i="4"/>
  <c r="I403" i="4"/>
  <c r="J403" i="4"/>
  <c r="B404" i="4"/>
  <c r="C404" i="4"/>
  <c r="D404" i="4"/>
  <c r="E404" i="4"/>
  <c r="F404" i="4"/>
  <c r="G404" i="4"/>
  <c r="H404" i="4"/>
  <c r="I404" i="4"/>
  <c r="J404" i="4"/>
  <c r="B405" i="4"/>
  <c r="C405" i="4"/>
  <c r="D405" i="4"/>
  <c r="E405" i="4"/>
  <c r="F405" i="4"/>
  <c r="G405" i="4"/>
  <c r="H405" i="4"/>
  <c r="I405" i="4"/>
  <c r="J405" i="4"/>
  <c r="B406" i="4"/>
  <c r="C406" i="4"/>
  <c r="D406" i="4"/>
  <c r="E406" i="4"/>
  <c r="F406" i="4"/>
  <c r="G406" i="4"/>
  <c r="H406" i="4"/>
  <c r="I406" i="4"/>
  <c r="J406" i="4"/>
  <c r="B407" i="4"/>
  <c r="C407" i="4"/>
  <c r="D407" i="4"/>
  <c r="E407" i="4"/>
  <c r="F407" i="4"/>
  <c r="G407" i="4"/>
  <c r="H407" i="4"/>
  <c r="I407" i="4"/>
  <c r="J407" i="4"/>
  <c r="B408" i="4"/>
  <c r="C408" i="4"/>
  <c r="C634" i="4" s="1"/>
  <c r="D408" i="4"/>
  <c r="E408" i="4"/>
  <c r="F408" i="4"/>
  <c r="G408" i="4"/>
  <c r="G634" i="4" s="1"/>
  <c r="H408" i="4"/>
  <c r="I408" i="4"/>
  <c r="J408" i="4"/>
  <c r="B409" i="4"/>
  <c r="B634" i="4" s="1"/>
  <c r="C409" i="4"/>
  <c r="D409" i="4"/>
  <c r="E409" i="4"/>
  <c r="F409" i="4"/>
  <c r="F634" i="4" s="1"/>
  <c r="G409" i="4"/>
  <c r="H409" i="4"/>
  <c r="I409" i="4"/>
  <c r="J409" i="4"/>
  <c r="B410" i="4"/>
  <c r="C410" i="4"/>
  <c r="D410" i="4"/>
  <c r="E410" i="4"/>
  <c r="E634" i="4" s="1"/>
  <c r="F410" i="4"/>
  <c r="G410" i="4"/>
  <c r="H410" i="4"/>
  <c r="I410" i="4"/>
  <c r="I634" i="4" s="1"/>
  <c r="J410" i="4"/>
  <c r="B411" i="4"/>
  <c r="C411" i="4"/>
  <c r="D411" i="4"/>
  <c r="E411" i="4"/>
  <c r="F411" i="4"/>
  <c r="G411" i="4"/>
  <c r="H411" i="4"/>
  <c r="I411" i="4"/>
  <c r="J411" i="4"/>
  <c r="B412" i="4"/>
  <c r="C412" i="4"/>
  <c r="D412" i="4"/>
  <c r="E412" i="4"/>
  <c r="F412" i="4"/>
  <c r="G412" i="4"/>
  <c r="H412" i="4"/>
  <c r="I412" i="4"/>
  <c r="J412" i="4"/>
  <c r="B413" i="4"/>
  <c r="C413" i="4"/>
  <c r="D413" i="4"/>
  <c r="E413" i="4"/>
  <c r="F413" i="4"/>
  <c r="G413" i="4"/>
  <c r="H413" i="4"/>
  <c r="I413" i="4"/>
  <c r="J413" i="4"/>
  <c r="B414" i="4"/>
  <c r="C414" i="4"/>
  <c r="D414" i="4"/>
  <c r="E414" i="4"/>
  <c r="F414" i="4"/>
  <c r="G414" i="4"/>
  <c r="H414" i="4"/>
  <c r="I414" i="4"/>
  <c r="J414" i="4"/>
  <c r="B415" i="4"/>
  <c r="C415" i="4"/>
  <c r="D415" i="4"/>
  <c r="E415" i="4"/>
  <c r="F415" i="4"/>
  <c r="G415" i="4"/>
  <c r="H415" i="4"/>
  <c r="I415" i="4"/>
  <c r="J415" i="4"/>
  <c r="B416" i="4"/>
  <c r="C416" i="4"/>
  <c r="D416" i="4"/>
  <c r="E416" i="4"/>
  <c r="F416" i="4"/>
  <c r="G416" i="4"/>
  <c r="H416" i="4"/>
  <c r="I416" i="4"/>
  <c r="J416" i="4"/>
  <c r="B417" i="4"/>
  <c r="C417" i="4"/>
  <c r="D417" i="4"/>
  <c r="E417" i="4"/>
  <c r="F417" i="4"/>
  <c r="G417" i="4"/>
  <c r="H417" i="4"/>
  <c r="I417" i="4"/>
  <c r="J417" i="4"/>
  <c r="B418" i="4"/>
  <c r="C418" i="4"/>
  <c r="D418" i="4"/>
  <c r="E418" i="4"/>
  <c r="F418" i="4"/>
  <c r="G418" i="4"/>
  <c r="H418" i="4"/>
  <c r="I418" i="4"/>
  <c r="J418" i="4"/>
  <c r="B419" i="4"/>
  <c r="C419" i="4"/>
  <c r="D419" i="4"/>
  <c r="E419" i="4"/>
  <c r="F419" i="4"/>
  <c r="G419" i="4"/>
  <c r="H419" i="4"/>
  <c r="I419" i="4"/>
  <c r="J419" i="4"/>
  <c r="B420" i="4"/>
  <c r="C420" i="4"/>
  <c r="C635" i="4" s="1"/>
  <c r="D420" i="4"/>
  <c r="E420" i="4"/>
  <c r="F420" i="4"/>
  <c r="G420" i="4"/>
  <c r="G635" i="4" s="1"/>
  <c r="H420" i="4"/>
  <c r="I420" i="4"/>
  <c r="J420" i="4"/>
  <c r="B421" i="4"/>
  <c r="C421" i="4"/>
  <c r="D421" i="4"/>
  <c r="E421" i="4"/>
  <c r="F421" i="4"/>
  <c r="G421" i="4"/>
  <c r="H421" i="4"/>
  <c r="I421" i="4"/>
  <c r="J421" i="4"/>
  <c r="B422" i="4"/>
  <c r="C422" i="4"/>
  <c r="D422" i="4"/>
  <c r="E422" i="4"/>
  <c r="E635" i="4" s="1"/>
  <c r="F422" i="4"/>
  <c r="G422" i="4"/>
  <c r="H422" i="4"/>
  <c r="I422" i="4"/>
  <c r="I635" i="4" s="1"/>
  <c r="J422" i="4"/>
  <c r="B423" i="4"/>
  <c r="C423" i="4"/>
  <c r="D423" i="4"/>
  <c r="D635" i="4" s="1"/>
  <c r="E423" i="4"/>
  <c r="F423" i="4"/>
  <c r="G423" i="4"/>
  <c r="H423" i="4"/>
  <c r="H635" i="4" s="1"/>
  <c r="I423" i="4"/>
  <c r="J423" i="4"/>
  <c r="B424" i="4"/>
  <c r="C424" i="4"/>
  <c r="D424" i="4"/>
  <c r="E424" i="4"/>
  <c r="F424" i="4"/>
  <c r="G424" i="4"/>
  <c r="H424" i="4"/>
  <c r="I424" i="4"/>
  <c r="J424" i="4"/>
  <c r="B425" i="4"/>
  <c r="C425" i="4"/>
  <c r="D425" i="4"/>
  <c r="E425" i="4"/>
  <c r="F425" i="4"/>
  <c r="G425" i="4"/>
  <c r="H425" i="4"/>
  <c r="I425" i="4"/>
  <c r="J425" i="4"/>
  <c r="B426" i="4"/>
  <c r="C426" i="4"/>
  <c r="D426" i="4"/>
  <c r="E426" i="4"/>
  <c r="F426" i="4"/>
  <c r="G426" i="4"/>
  <c r="H426" i="4"/>
  <c r="I426" i="4"/>
  <c r="J426" i="4"/>
  <c r="B427" i="4"/>
  <c r="C427" i="4"/>
  <c r="D427" i="4"/>
  <c r="E427" i="4"/>
  <c r="F427" i="4"/>
  <c r="G427" i="4"/>
  <c r="H427" i="4"/>
  <c r="I427" i="4"/>
  <c r="J427" i="4"/>
  <c r="B428" i="4"/>
  <c r="C428" i="4"/>
  <c r="D428" i="4"/>
  <c r="E428" i="4"/>
  <c r="F428" i="4"/>
  <c r="G428" i="4"/>
  <c r="H428" i="4"/>
  <c r="I428" i="4"/>
  <c r="J428" i="4"/>
  <c r="B429" i="4"/>
  <c r="C429" i="4"/>
  <c r="D429" i="4"/>
  <c r="E429" i="4"/>
  <c r="F429" i="4"/>
  <c r="G429" i="4"/>
  <c r="H429" i="4"/>
  <c r="I429" i="4"/>
  <c r="J429" i="4"/>
  <c r="B430" i="4"/>
  <c r="C430" i="4"/>
  <c r="D430" i="4"/>
  <c r="E430" i="4"/>
  <c r="F430" i="4"/>
  <c r="G430" i="4"/>
  <c r="H430" i="4"/>
  <c r="I430" i="4"/>
  <c r="J430" i="4"/>
  <c r="B431" i="4"/>
  <c r="C431" i="4"/>
  <c r="D431" i="4"/>
  <c r="E431" i="4"/>
  <c r="F431" i="4"/>
  <c r="G431" i="4"/>
  <c r="H431" i="4"/>
  <c r="I431" i="4"/>
  <c r="J431" i="4"/>
  <c r="B432" i="4"/>
  <c r="C432" i="4"/>
  <c r="C636" i="4" s="1"/>
  <c r="D432" i="4"/>
  <c r="E432" i="4"/>
  <c r="F432" i="4"/>
  <c r="G432" i="4"/>
  <c r="G636" i="4" s="1"/>
  <c r="H432" i="4"/>
  <c r="I432" i="4"/>
  <c r="J432" i="4"/>
  <c r="B433" i="4"/>
  <c r="B636" i="4" s="1"/>
  <c r="C433" i="4"/>
  <c r="D433" i="4"/>
  <c r="E433" i="4"/>
  <c r="F433" i="4"/>
  <c r="F636" i="4" s="1"/>
  <c r="G433" i="4"/>
  <c r="H433" i="4"/>
  <c r="I433" i="4"/>
  <c r="J433" i="4"/>
  <c r="B434" i="4"/>
  <c r="C434" i="4"/>
  <c r="D434" i="4"/>
  <c r="E434" i="4"/>
  <c r="E636" i="4" s="1"/>
  <c r="F434" i="4"/>
  <c r="G434" i="4"/>
  <c r="H434" i="4"/>
  <c r="I434" i="4"/>
  <c r="I636" i="4" s="1"/>
  <c r="J434" i="4"/>
  <c r="B435" i="4"/>
  <c r="C435" i="4"/>
  <c r="D435" i="4"/>
  <c r="E435" i="4"/>
  <c r="F435" i="4"/>
  <c r="G435" i="4"/>
  <c r="H435" i="4"/>
  <c r="I435" i="4"/>
  <c r="J435" i="4"/>
  <c r="B436" i="4"/>
  <c r="C436" i="4"/>
  <c r="D436" i="4"/>
  <c r="E436" i="4"/>
  <c r="F436" i="4"/>
  <c r="G436" i="4"/>
  <c r="H436" i="4"/>
  <c r="I436" i="4"/>
  <c r="J436" i="4"/>
  <c r="B437" i="4"/>
  <c r="C437" i="4"/>
  <c r="D437" i="4"/>
  <c r="E437" i="4"/>
  <c r="F437" i="4"/>
  <c r="G437" i="4"/>
  <c r="H437" i="4"/>
  <c r="I437" i="4"/>
  <c r="J437" i="4"/>
  <c r="B438" i="4"/>
  <c r="C438" i="4"/>
  <c r="D438" i="4"/>
  <c r="E438" i="4"/>
  <c r="F438" i="4"/>
  <c r="G438" i="4"/>
  <c r="H438" i="4"/>
  <c r="I438" i="4"/>
  <c r="J438" i="4"/>
  <c r="B439" i="4"/>
  <c r="C439" i="4"/>
  <c r="D439" i="4"/>
  <c r="E439" i="4"/>
  <c r="F439" i="4"/>
  <c r="G439" i="4"/>
  <c r="H439" i="4"/>
  <c r="I439" i="4"/>
  <c r="J439" i="4"/>
  <c r="B440" i="4"/>
  <c r="C440" i="4"/>
  <c r="D440" i="4"/>
  <c r="E440" i="4"/>
  <c r="F440" i="4"/>
  <c r="G440" i="4"/>
  <c r="H440" i="4"/>
  <c r="I440" i="4"/>
  <c r="J440" i="4"/>
  <c r="B441" i="4"/>
  <c r="C441" i="4"/>
  <c r="D441" i="4"/>
  <c r="E441" i="4"/>
  <c r="F441" i="4"/>
  <c r="G441" i="4"/>
  <c r="H441" i="4"/>
  <c r="I441" i="4"/>
  <c r="J441" i="4"/>
  <c r="B442" i="4"/>
  <c r="C442" i="4"/>
  <c r="D442" i="4"/>
  <c r="E442" i="4"/>
  <c r="F442" i="4"/>
  <c r="G442" i="4"/>
  <c r="H442" i="4"/>
  <c r="I442" i="4"/>
  <c r="J442" i="4"/>
  <c r="B443" i="4"/>
  <c r="C443" i="4"/>
  <c r="D443" i="4"/>
  <c r="E443" i="4"/>
  <c r="F443" i="4"/>
  <c r="G443" i="4"/>
  <c r="H443" i="4"/>
  <c r="I443" i="4"/>
  <c r="J443" i="4"/>
  <c r="B444" i="4"/>
  <c r="C444" i="4"/>
  <c r="C637" i="4" s="1"/>
  <c r="D444" i="4"/>
  <c r="E444" i="4"/>
  <c r="F444" i="4"/>
  <c r="G444" i="4"/>
  <c r="G637" i="4" s="1"/>
  <c r="H444" i="4"/>
  <c r="I444" i="4"/>
  <c r="J444" i="4"/>
  <c r="B445" i="4"/>
  <c r="C445" i="4"/>
  <c r="D445" i="4"/>
  <c r="E445" i="4"/>
  <c r="F445" i="4"/>
  <c r="G445" i="4"/>
  <c r="H445" i="4"/>
  <c r="I445" i="4"/>
  <c r="J445" i="4"/>
  <c r="B446" i="4"/>
  <c r="C446" i="4"/>
  <c r="D446" i="4"/>
  <c r="E446" i="4"/>
  <c r="E637" i="4" s="1"/>
  <c r="F446" i="4"/>
  <c r="G446" i="4"/>
  <c r="H446" i="4"/>
  <c r="I446" i="4"/>
  <c r="I637" i="4" s="1"/>
  <c r="J446" i="4"/>
  <c r="B447" i="4"/>
  <c r="C447" i="4"/>
  <c r="D447" i="4"/>
  <c r="D637" i="4" s="1"/>
  <c r="E447" i="4"/>
  <c r="F447" i="4"/>
  <c r="G447" i="4"/>
  <c r="H447" i="4"/>
  <c r="H637" i="4" s="1"/>
  <c r="I447" i="4"/>
  <c r="J447" i="4"/>
  <c r="B448" i="4"/>
  <c r="C448" i="4"/>
  <c r="D448" i="4"/>
  <c r="E448" i="4"/>
  <c r="F448" i="4"/>
  <c r="G448" i="4"/>
  <c r="H448" i="4"/>
  <c r="I448" i="4"/>
  <c r="J448" i="4"/>
  <c r="B449" i="4"/>
  <c r="C449" i="4"/>
  <c r="D449" i="4"/>
  <c r="E449" i="4"/>
  <c r="F449" i="4"/>
  <c r="G449" i="4"/>
  <c r="H449" i="4"/>
  <c r="I449" i="4"/>
  <c r="J449" i="4"/>
  <c r="B450" i="4"/>
  <c r="C450" i="4"/>
  <c r="D450" i="4"/>
  <c r="E450" i="4"/>
  <c r="F450" i="4"/>
  <c r="G450" i="4"/>
  <c r="H450" i="4"/>
  <c r="I450" i="4"/>
  <c r="J450" i="4"/>
  <c r="B451" i="4"/>
  <c r="C451" i="4"/>
  <c r="D451" i="4"/>
  <c r="E451" i="4"/>
  <c r="F451" i="4"/>
  <c r="G451" i="4"/>
  <c r="H451" i="4"/>
  <c r="I451" i="4"/>
  <c r="J451" i="4"/>
  <c r="B452" i="4"/>
  <c r="C452" i="4"/>
  <c r="D452" i="4"/>
  <c r="E452" i="4"/>
  <c r="F452" i="4"/>
  <c r="G452" i="4"/>
  <c r="H452" i="4"/>
  <c r="I452" i="4"/>
  <c r="J452" i="4"/>
  <c r="B453" i="4"/>
  <c r="C453" i="4"/>
  <c r="D453" i="4"/>
  <c r="E453" i="4"/>
  <c r="F453" i="4"/>
  <c r="G453" i="4"/>
  <c r="H453" i="4"/>
  <c r="I453" i="4"/>
  <c r="J453" i="4"/>
  <c r="B454" i="4"/>
  <c r="C454" i="4"/>
  <c r="D454" i="4"/>
  <c r="E454" i="4"/>
  <c r="F454" i="4"/>
  <c r="G454" i="4"/>
  <c r="H454" i="4"/>
  <c r="I454" i="4"/>
  <c r="J454" i="4"/>
  <c r="B455" i="4"/>
  <c r="C455" i="4"/>
  <c r="D455" i="4"/>
  <c r="E455" i="4"/>
  <c r="F455" i="4"/>
  <c r="G455" i="4"/>
  <c r="H455" i="4"/>
  <c r="I455" i="4"/>
  <c r="J455" i="4"/>
  <c r="B456" i="4"/>
  <c r="C456" i="4"/>
  <c r="C638" i="4" s="1"/>
  <c r="D456" i="4"/>
  <c r="E456" i="4"/>
  <c r="F456" i="4"/>
  <c r="G456" i="4"/>
  <c r="G638" i="4" s="1"/>
  <c r="H456" i="4"/>
  <c r="I456" i="4"/>
  <c r="J456" i="4"/>
  <c r="B457" i="4"/>
  <c r="B638" i="4" s="1"/>
  <c r="C457" i="4"/>
  <c r="D457" i="4"/>
  <c r="E457" i="4"/>
  <c r="F457" i="4"/>
  <c r="F638" i="4" s="1"/>
  <c r="G457" i="4"/>
  <c r="H457" i="4"/>
  <c r="I457" i="4"/>
  <c r="J457" i="4"/>
  <c r="B458" i="4"/>
  <c r="C458" i="4"/>
  <c r="D458" i="4"/>
  <c r="E458" i="4"/>
  <c r="E638" i="4" s="1"/>
  <c r="F458" i="4"/>
  <c r="G458" i="4"/>
  <c r="H458" i="4"/>
  <c r="I458" i="4"/>
  <c r="I638" i="4" s="1"/>
  <c r="J458" i="4"/>
  <c r="B459" i="4"/>
  <c r="C459" i="4"/>
  <c r="D459" i="4"/>
  <c r="E459" i="4"/>
  <c r="F459" i="4"/>
  <c r="G459" i="4"/>
  <c r="H459" i="4"/>
  <c r="I459" i="4"/>
  <c r="J459" i="4"/>
  <c r="B460" i="4"/>
  <c r="C460" i="4"/>
  <c r="D460" i="4"/>
  <c r="E460" i="4"/>
  <c r="F460" i="4"/>
  <c r="G460" i="4"/>
  <c r="H460" i="4"/>
  <c r="I460" i="4"/>
  <c r="J460" i="4"/>
  <c r="B461" i="4"/>
  <c r="C461" i="4"/>
  <c r="D461" i="4"/>
  <c r="E461" i="4"/>
  <c r="F461" i="4"/>
  <c r="G461" i="4"/>
  <c r="H461" i="4"/>
  <c r="I461" i="4"/>
  <c r="J461" i="4"/>
  <c r="B462" i="4"/>
  <c r="C462" i="4"/>
  <c r="D462" i="4"/>
  <c r="E462" i="4"/>
  <c r="F462" i="4"/>
  <c r="G462" i="4"/>
  <c r="H462" i="4"/>
  <c r="I462" i="4"/>
  <c r="J462" i="4"/>
  <c r="B463" i="4"/>
  <c r="C463" i="4"/>
  <c r="D463" i="4"/>
  <c r="E463" i="4"/>
  <c r="F463" i="4"/>
  <c r="G463" i="4"/>
  <c r="H463" i="4"/>
  <c r="I463" i="4"/>
  <c r="J463" i="4"/>
  <c r="B464" i="4"/>
  <c r="C464" i="4"/>
  <c r="D464" i="4"/>
  <c r="E464" i="4"/>
  <c r="F464" i="4"/>
  <c r="G464" i="4"/>
  <c r="H464" i="4"/>
  <c r="I464" i="4"/>
  <c r="J464" i="4"/>
  <c r="B465" i="4"/>
  <c r="C465" i="4"/>
  <c r="D465" i="4"/>
  <c r="E465" i="4"/>
  <c r="F465" i="4"/>
  <c r="G465" i="4"/>
  <c r="H465" i="4"/>
  <c r="I465" i="4"/>
  <c r="J465" i="4"/>
  <c r="B466" i="4"/>
  <c r="C466" i="4"/>
  <c r="D466" i="4"/>
  <c r="E466" i="4"/>
  <c r="F466" i="4"/>
  <c r="G466" i="4"/>
  <c r="H466" i="4"/>
  <c r="I466" i="4"/>
  <c r="J466" i="4"/>
  <c r="B467" i="4"/>
  <c r="C467" i="4"/>
  <c r="D467" i="4"/>
  <c r="E467" i="4"/>
  <c r="F467" i="4"/>
  <c r="G467" i="4"/>
  <c r="H467" i="4"/>
  <c r="I467" i="4"/>
  <c r="J467" i="4"/>
  <c r="B468" i="4"/>
  <c r="C468" i="4"/>
  <c r="C639" i="4" s="1"/>
  <c r="D468" i="4"/>
  <c r="E468" i="4"/>
  <c r="F468" i="4"/>
  <c r="G468" i="4"/>
  <c r="G639" i="4" s="1"/>
  <c r="H468" i="4"/>
  <c r="I468" i="4"/>
  <c r="J468" i="4"/>
  <c r="B469" i="4"/>
  <c r="C469" i="4"/>
  <c r="D469" i="4"/>
  <c r="E469" i="4"/>
  <c r="F469" i="4"/>
  <c r="G469" i="4"/>
  <c r="H469" i="4"/>
  <c r="I469" i="4"/>
  <c r="J469" i="4"/>
  <c r="B470" i="4"/>
  <c r="C470" i="4"/>
  <c r="D470" i="4"/>
  <c r="E470" i="4"/>
  <c r="E639" i="4" s="1"/>
  <c r="F470" i="4"/>
  <c r="G470" i="4"/>
  <c r="H470" i="4"/>
  <c r="I470" i="4"/>
  <c r="I639" i="4" s="1"/>
  <c r="J470" i="4"/>
  <c r="B471" i="4"/>
  <c r="C471" i="4"/>
  <c r="D471" i="4"/>
  <c r="D639" i="4" s="1"/>
  <c r="E471" i="4"/>
  <c r="F471" i="4"/>
  <c r="G471" i="4"/>
  <c r="H471" i="4"/>
  <c r="H639" i="4" s="1"/>
  <c r="I471" i="4"/>
  <c r="J471" i="4"/>
  <c r="B472" i="4"/>
  <c r="C472" i="4"/>
  <c r="D472" i="4"/>
  <c r="E472" i="4"/>
  <c r="F472" i="4"/>
  <c r="G472" i="4"/>
  <c r="H472" i="4"/>
  <c r="I472" i="4"/>
  <c r="J472" i="4"/>
  <c r="B473" i="4"/>
  <c r="C473" i="4"/>
  <c r="D473" i="4"/>
  <c r="E473" i="4"/>
  <c r="F473" i="4"/>
  <c r="G473" i="4"/>
  <c r="H473" i="4"/>
  <c r="I473" i="4"/>
  <c r="J473" i="4"/>
  <c r="B474" i="4"/>
  <c r="C474" i="4"/>
  <c r="D474" i="4"/>
  <c r="E474" i="4"/>
  <c r="F474" i="4"/>
  <c r="G474" i="4"/>
  <c r="H474" i="4"/>
  <c r="I474" i="4"/>
  <c r="J474" i="4"/>
  <c r="B475" i="4"/>
  <c r="C475" i="4"/>
  <c r="D475" i="4"/>
  <c r="E475" i="4"/>
  <c r="F475" i="4"/>
  <c r="G475" i="4"/>
  <c r="H475" i="4"/>
  <c r="I475" i="4"/>
  <c r="J475" i="4"/>
  <c r="B476" i="4"/>
  <c r="C476" i="4"/>
  <c r="D476" i="4"/>
  <c r="E476" i="4"/>
  <c r="F476" i="4"/>
  <c r="G476" i="4"/>
  <c r="H476" i="4"/>
  <c r="I476" i="4"/>
  <c r="J476" i="4"/>
  <c r="B477" i="4"/>
  <c r="C477" i="4"/>
  <c r="D477" i="4"/>
  <c r="E477" i="4"/>
  <c r="F477" i="4"/>
  <c r="G477" i="4"/>
  <c r="H477" i="4"/>
  <c r="I477" i="4"/>
  <c r="J477" i="4"/>
  <c r="B478" i="4"/>
  <c r="C478" i="4"/>
  <c r="D478" i="4"/>
  <c r="E478" i="4"/>
  <c r="F478" i="4"/>
  <c r="G478" i="4"/>
  <c r="H478" i="4"/>
  <c r="I478" i="4"/>
  <c r="J478" i="4"/>
  <c r="B479" i="4"/>
  <c r="C479" i="4"/>
  <c r="D479" i="4"/>
  <c r="E479" i="4"/>
  <c r="F479" i="4"/>
  <c r="G479" i="4"/>
  <c r="H479" i="4"/>
  <c r="I479" i="4"/>
  <c r="J479" i="4"/>
  <c r="B480" i="4"/>
  <c r="C480" i="4"/>
  <c r="C640" i="4" s="1"/>
  <c r="D480" i="4"/>
  <c r="E480" i="4"/>
  <c r="F480" i="4"/>
  <c r="G480" i="4"/>
  <c r="G640" i="4" s="1"/>
  <c r="H480" i="4"/>
  <c r="I480" i="4"/>
  <c r="J480" i="4"/>
  <c r="B481" i="4"/>
  <c r="B640" i="4" s="1"/>
  <c r="C481" i="4"/>
  <c r="D481" i="4"/>
  <c r="E481" i="4"/>
  <c r="F481" i="4"/>
  <c r="F640" i="4" s="1"/>
  <c r="G481" i="4"/>
  <c r="H481" i="4"/>
  <c r="I481" i="4"/>
  <c r="J481" i="4"/>
  <c r="B482" i="4"/>
  <c r="C482" i="4"/>
  <c r="D482" i="4"/>
  <c r="E482" i="4"/>
  <c r="E640" i="4" s="1"/>
  <c r="F482" i="4"/>
  <c r="G482" i="4"/>
  <c r="H482" i="4"/>
  <c r="I482" i="4"/>
  <c r="I640" i="4" s="1"/>
  <c r="J482" i="4"/>
  <c r="B483" i="4"/>
  <c r="C483" i="4"/>
  <c r="D483" i="4"/>
  <c r="E483" i="4"/>
  <c r="F483" i="4"/>
  <c r="G483" i="4"/>
  <c r="H483" i="4"/>
  <c r="I483" i="4"/>
  <c r="J483" i="4"/>
  <c r="B484" i="4"/>
  <c r="C484" i="4"/>
  <c r="D484" i="4"/>
  <c r="E484" i="4"/>
  <c r="F484" i="4"/>
  <c r="G484" i="4"/>
  <c r="H484" i="4"/>
  <c r="I484" i="4"/>
  <c r="J484" i="4"/>
  <c r="B485" i="4"/>
  <c r="C485" i="4"/>
  <c r="D485" i="4"/>
  <c r="E485" i="4"/>
  <c r="F485" i="4"/>
  <c r="G485" i="4"/>
  <c r="H485" i="4"/>
  <c r="I485" i="4"/>
  <c r="J485" i="4"/>
  <c r="B486" i="4"/>
  <c r="C486" i="4"/>
  <c r="D486" i="4"/>
  <c r="E486" i="4"/>
  <c r="F486" i="4"/>
  <c r="G486" i="4"/>
  <c r="H486" i="4"/>
  <c r="I486" i="4"/>
  <c r="J486" i="4"/>
  <c r="B487" i="4"/>
  <c r="C487" i="4"/>
  <c r="D487" i="4"/>
  <c r="E487" i="4"/>
  <c r="F487" i="4"/>
  <c r="G487" i="4"/>
  <c r="H487" i="4"/>
  <c r="I487" i="4"/>
  <c r="J487" i="4"/>
  <c r="B488" i="4"/>
  <c r="C488" i="4"/>
  <c r="D488" i="4"/>
  <c r="E488" i="4"/>
  <c r="F488" i="4"/>
  <c r="G488" i="4"/>
  <c r="H488" i="4"/>
  <c r="I488" i="4"/>
  <c r="J488" i="4"/>
  <c r="B489" i="4"/>
  <c r="C489" i="4"/>
  <c r="D489" i="4"/>
  <c r="E489" i="4"/>
  <c r="F489" i="4"/>
  <c r="G489" i="4"/>
  <c r="H489" i="4"/>
  <c r="I489" i="4"/>
  <c r="J489" i="4"/>
  <c r="B490" i="4"/>
  <c r="C490" i="4"/>
  <c r="D490" i="4"/>
  <c r="E490" i="4"/>
  <c r="F490" i="4"/>
  <c r="G490" i="4"/>
  <c r="H490" i="4"/>
  <c r="I490" i="4"/>
  <c r="J490" i="4"/>
  <c r="B491" i="4"/>
  <c r="C491" i="4"/>
  <c r="D491" i="4"/>
  <c r="E491" i="4"/>
  <c r="F491" i="4"/>
  <c r="G491" i="4"/>
  <c r="H491" i="4"/>
  <c r="I491" i="4"/>
  <c r="J491" i="4"/>
  <c r="B492" i="4"/>
  <c r="C492" i="4"/>
  <c r="C641" i="4" s="1"/>
  <c r="D492" i="4"/>
  <c r="E492" i="4"/>
  <c r="F492" i="4"/>
  <c r="G492" i="4"/>
  <c r="G641" i="4" s="1"/>
  <c r="H492" i="4"/>
  <c r="I492" i="4"/>
  <c r="J492" i="4"/>
  <c r="B493" i="4"/>
  <c r="C493" i="4"/>
  <c r="D493" i="4"/>
  <c r="E493" i="4"/>
  <c r="F493" i="4"/>
  <c r="G493" i="4"/>
  <c r="H493" i="4"/>
  <c r="I493" i="4"/>
  <c r="J493" i="4"/>
  <c r="B494" i="4"/>
  <c r="C494" i="4"/>
  <c r="D494" i="4"/>
  <c r="E494" i="4"/>
  <c r="E641" i="4" s="1"/>
  <c r="F494" i="4"/>
  <c r="G494" i="4"/>
  <c r="H494" i="4"/>
  <c r="I494" i="4"/>
  <c r="I641" i="4" s="1"/>
  <c r="J494" i="4"/>
  <c r="B495" i="4"/>
  <c r="C495" i="4"/>
  <c r="D495" i="4"/>
  <c r="D641" i="4" s="1"/>
  <c r="E495" i="4"/>
  <c r="F495" i="4"/>
  <c r="G495" i="4"/>
  <c r="H495" i="4"/>
  <c r="H641" i="4" s="1"/>
  <c r="I495" i="4"/>
  <c r="J495" i="4"/>
  <c r="B496" i="4"/>
  <c r="C496" i="4"/>
  <c r="D496" i="4"/>
  <c r="E496" i="4"/>
  <c r="F496" i="4"/>
  <c r="G496" i="4"/>
  <c r="H496" i="4"/>
  <c r="I496" i="4"/>
  <c r="J496" i="4"/>
  <c r="B497" i="4"/>
  <c r="C497" i="4"/>
  <c r="D497" i="4"/>
  <c r="E497" i="4"/>
  <c r="F497" i="4"/>
  <c r="G497" i="4"/>
  <c r="H497" i="4"/>
  <c r="I497" i="4"/>
  <c r="J497" i="4"/>
  <c r="B498" i="4"/>
  <c r="C498" i="4"/>
  <c r="D498" i="4"/>
  <c r="E498" i="4"/>
  <c r="F498" i="4"/>
  <c r="G498" i="4"/>
  <c r="H498" i="4"/>
  <c r="I498" i="4"/>
  <c r="J498" i="4"/>
  <c r="B499" i="4"/>
  <c r="C499" i="4"/>
  <c r="D499" i="4"/>
  <c r="E499" i="4"/>
  <c r="F499" i="4"/>
  <c r="G499" i="4"/>
  <c r="H499" i="4"/>
  <c r="I499" i="4"/>
  <c r="J499" i="4"/>
  <c r="B500" i="4"/>
  <c r="C500" i="4"/>
  <c r="D500" i="4"/>
  <c r="E500" i="4"/>
  <c r="F500" i="4"/>
  <c r="G500" i="4"/>
  <c r="H500" i="4"/>
  <c r="I500" i="4"/>
  <c r="J500" i="4"/>
  <c r="B501" i="4"/>
  <c r="C501" i="4"/>
  <c r="D501" i="4"/>
  <c r="E501" i="4"/>
  <c r="F501" i="4"/>
  <c r="G501" i="4"/>
  <c r="H501" i="4"/>
  <c r="I501" i="4"/>
  <c r="J501" i="4"/>
  <c r="B502" i="4"/>
  <c r="C502" i="4"/>
  <c r="D502" i="4"/>
  <c r="E502" i="4"/>
  <c r="F502" i="4"/>
  <c r="G502" i="4"/>
  <c r="H502" i="4"/>
  <c r="I502" i="4"/>
  <c r="J502" i="4"/>
  <c r="B503" i="4"/>
  <c r="C503" i="4"/>
  <c r="D503" i="4"/>
  <c r="E503" i="4"/>
  <c r="F503" i="4"/>
  <c r="G503" i="4"/>
  <c r="H503" i="4"/>
  <c r="I503" i="4"/>
  <c r="J503" i="4"/>
  <c r="B504" i="4"/>
  <c r="C504" i="4"/>
  <c r="C642" i="4" s="1"/>
  <c r="D504" i="4"/>
  <c r="E504" i="4"/>
  <c r="F504" i="4"/>
  <c r="G504" i="4"/>
  <c r="G642" i="4" s="1"/>
  <c r="H504" i="4"/>
  <c r="I504" i="4"/>
  <c r="J504" i="4"/>
  <c r="B505" i="4"/>
  <c r="B642" i="4" s="1"/>
  <c r="C505" i="4"/>
  <c r="D505" i="4"/>
  <c r="E505" i="4"/>
  <c r="F505" i="4"/>
  <c r="F642" i="4" s="1"/>
  <c r="G505" i="4"/>
  <c r="H505" i="4"/>
  <c r="I505" i="4"/>
  <c r="J505" i="4"/>
  <c r="B506" i="4"/>
  <c r="C506" i="4"/>
  <c r="D506" i="4"/>
  <c r="E506" i="4"/>
  <c r="E642" i="4" s="1"/>
  <c r="F506" i="4"/>
  <c r="G506" i="4"/>
  <c r="H506" i="4"/>
  <c r="I506" i="4"/>
  <c r="I642" i="4" s="1"/>
  <c r="J506" i="4"/>
  <c r="B507" i="4"/>
  <c r="C507" i="4"/>
  <c r="D507" i="4"/>
  <c r="E507" i="4"/>
  <c r="F507" i="4"/>
  <c r="G507" i="4"/>
  <c r="H507" i="4"/>
  <c r="I507" i="4"/>
  <c r="J507" i="4"/>
  <c r="B508" i="4"/>
  <c r="C508" i="4"/>
  <c r="D508" i="4"/>
  <c r="E508" i="4"/>
  <c r="F508" i="4"/>
  <c r="G508" i="4"/>
  <c r="H508" i="4"/>
  <c r="I508" i="4"/>
  <c r="J508" i="4"/>
  <c r="B509" i="4"/>
  <c r="C509" i="4"/>
  <c r="D509" i="4"/>
  <c r="E509" i="4"/>
  <c r="F509" i="4"/>
  <c r="G509" i="4"/>
  <c r="H509" i="4"/>
  <c r="I509" i="4"/>
  <c r="J509" i="4"/>
  <c r="B510" i="4"/>
  <c r="C510" i="4"/>
  <c r="D510" i="4"/>
  <c r="E510" i="4"/>
  <c r="F510" i="4"/>
  <c r="G510" i="4"/>
  <c r="H510" i="4"/>
  <c r="I510" i="4"/>
  <c r="J510" i="4"/>
  <c r="B511" i="4"/>
  <c r="C511" i="4"/>
  <c r="D511" i="4"/>
  <c r="E511" i="4"/>
  <c r="F511" i="4"/>
  <c r="G511" i="4"/>
  <c r="H511" i="4"/>
  <c r="I511" i="4"/>
  <c r="J511" i="4"/>
  <c r="B512" i="4"/>
  <c r="C512" i="4"/>
  <c r="D512" i="4"/>
  <c r="E512" i="4"/>
  <c r="F512" i="4"/>
  <c r="G512" i="4"/>
  <c r="H512" i="4"/>
  <c r="I512" i="4"/>
  <c r="J512" i="4"/>
  <c r="B513" i="4"/>
  <c r="C513" i="4"/>
  <c r="D513" i="4"/>
  <c r="E513" i="4"/>
  <c r="F513" i="4"/>
  <c r="G513" i="4"/>
  <c r="H513" i="4"/>
  <c r="I513" i="4"/>
  <c r="J513" i="4"/>
  <c r="B514" i="4"/>
  <c r="C514" i="4"/>
  <c r="D514" i="4"/>
  <c r="E514" i="4"/>
  <c r="F514" i="4"/>
  <c r="G514" i="4"/>
  <c r="H514" i="4"/>
  <c r="I514" i="4"/>
  <c r="J514" i="4"/>
  <c r="B515" i="4"/>
  <c r="C515" i="4"/>
  <c r="D515" i="4"/>
  <c r="E515" i="4"/>
  <c r="F515" i="4"/>
  <c r="G515" i="4"/>
  <c r="H515" i="4"/>
  <c r="I515" i="4"/>
  <c r="J515" i="4"/>
  <c r="B516" i="4"/>
  <c r="C516" i="4"/>
  <c r="C643" i="4" s="1"/>
  <c r="D516" i="4"/>
  <c r="E516" i="4"/>
  <c r="F516" i="4"/>
  <c r="G516" i="4"/>
  <c r="G643" i="4" s="1"/>
  <c r="H516" i="4"/>
  <c r="I516" i="4"/>
  <c r="J516" i="4"/>
  <c r="B517" i="4"/>
  <c r="C517" i="4"/>
  <c r="D517" i="4"/>
  <c r="E517" i="4"/>
  <c r="F517" i="4"/>
  <c r="G517" i="4"/>
  <c r="H517" i="4"/>
  <c r="I517" i="4"/>
  <c r="J517" i="4"/>
  <c r="B518" i="4"/>
  <c r="C518" i="4"/>
  <c r="D518" i="4"/>
  <c r="E518" i="4"/>
  <c r="E643" i="4" s="1"/>
  <c r="F518" i="4"/>
  <c r="G518" i="4"/>
  <c r="H518" i="4"/>
  <c r="I518" i="4"/>
  <c r="I643" i="4" s="1"/>
  <c r="J518" i="4"/>
  <c r="B519" i="4"/>
  <c r="C519" i="4"/>
  <c r="D519" i="4"/>
  <c r="D643" i="4" s="1"/>
  <c r="E519" i="4"/>
  <c r="F519" i="4"/>
  <c r="G519" i="4"/>
  <c r="H519" i="4"/>
  <c r="H643" i="4" s="1"/>
  <c r="I519" i="4"/>
  <c r="J519" i="4"/>
  <c r="B520" i="4"/>
  <c r="C520" i="4"/>
  <c r="D520" i="4"/>
  <c r="E520" i="4"/>
  <c r="F520" i="4"/>
  <c r="G520" i="4"/>
  <c r="H520" i="4"/>
  <c r="I520" i="4"/>
  <c r="J520" i="4"/>
  <c r="B521" i="4"/>
  <c r="C521" i="4"/>
  <c r="D521" i="4"/>
  <c r="E521" i="4"/>
  <c r="F521" i="4"/>
  <c r="G521" i="4"/>
  <c r="H521" i="4"/>
  <c r="I521" i="4"/>
  <c r="J521" i="4"/>
  <c r="B522" i="4"/>
  <c r="C522" i="4"/>
  <c r="D522" i="4"/>
  <c r="E522" i="4"/>
  <c r="F522" i="4"/>
  <c r="G522" i="4"/>
  <c r="H522" i="4"/>
  <c r="I522" i="4"/>
  <c r="J522" i="4"/>
  <c r="B523" i="4"/>
  <c r="C523" i="4"/>
  <c r="D523" i="4"/>
  <c r="E523" i="4"/>
  <c r="F523" i="4"/>
  <c r="G523" i="4"/>
  <c r="H523" i="4"/>
  <c r="I523" i="4"/>
  <c r="J523" i="4"/>
  <c r="B524" i="4"/>
  <c r="C524" i="4"/>
  <c r="D524" i="4"/>
  <c r="E524" i="4"/>
  <c r="F524" i="4"/>
  <c r="G524" i="4"/>
  <c r="H524" i="4"/>
  <c r="I524" i="4"/>
  <c r="J524" i="4"/>
  <c r="B525" i="4"/>
  <c r="C525" i="4"/>
  <c r="D525" i="4"/>
  <c r="E525" i="4"/>
  <c r="F525" i="4"/>
  <c r="G525" i="4"/>
  <c r="H525" i="4"/>
  <c r="I525" i="4"/>
  <c r="J525" i="4"/>
  <c r="B526" i="4"/>
  <c r="C526" i="4"/>
  <c r="D526" i="4"/>
  <c r="E526" i="4"/>
  <c r="F526" i="4"/>
  <c r="G526" i="4"/>
  <c r="H526" i="4"/>
  <c r="I526" i="4"/>
  <c r="J526" i="4"/>
  <c r="B527" i="4"/>
  <c r="C527" i="4"/>
  <c r="D527" i="4"/>
  <c r="E527" i="4"/>
  <c r="F527" i="4"/>
  <c r="G527" i="4"/>
  <c r="H527" i="4"/>
  <c r="I527" i="4"/>
  <c r="J527" i="4"/>
  <c r="B528" i="4"/>
  <c r="C528" i="4"/>
  <c r="C644" i="4" s="1"/>
  <c r="D528" i="4"/>
  <c r="E528" i="4"/>
  <c r="F528" i="4"/>
  <c r="G528" i="4"/>
  <c r="G644" i="4" s="1"/>
  <c r="H528" i="4"/>
  <c r="I528" i="4"/>
  <c r="J528" i="4"/>
  <c r="B529" i="4"/>
  <c r="B644" i="4" s="1"/>
  <c r="C529" i="4"/>
  <c r="D529" i="4"/>
  <c r="E529" i="4"/>
  <c r="F529" i="4"/>
  <c r="F644" i="4" s="1"/>
  <c r="G529" i="4"/>
  <c r="H529" i="4"/>
  <c r="I529" i="4"/>
  <c r="J529" i="4"/>
  <c r="B530" i="4"/>
  <c r="C530" i="4"/>
  <c r="D530" i="4"/>
  <c r="E530" i="4"/>
  <c r="E644" i="4" s="1"/>
  <c r="F530" i="4"/>
  <c r="G530" i="4"/>
  <c r="H530" i="4"/>
  <c r="I530" i="4"/>
  <c r="I644" i="4" s="1"/>
  <c r="J530" i="4"/>
  <c r="B531" i="4"/>
  <c r="C531" i="4"/>
  <c r="D531" i="4"/>
  <c r="E531" i="4"/>
  <c r="F531" i="4"/>
  <c r="G531" i="4"/>
  <c r="H531" i="4"/>
  <c r="I531" i="4"/>
  <c r="J531" i="4"/>
  <c r="B532" i="4"/>
  <c r="C532" i="4"/>
  <c r="D532" i="4"/>
  <c r="E532" i="4"/>
  <c r="F532" i="4"/>
  <c r="G532" i="4"/>
  <c r="H532" i="4"/>
  <c r="I532" i="4"/>
  <c r="J532" i="4"/>
  <c r="B533" i="4"/>
  <c r="C533" i="4"/>
  <c r="D533" i="4"/>
  <c r="E533" i="4"/>
  <c r="F533" i="4"/>
  <c r="G533" i="4"/>
  <c r="H533" i="4"/>
  <c r="I533" i="4"/>
  <c r="J533" i="4"/>
  <c r="B534" i="4"/>
  <c r="C534" i="4"/>
  <c r="D534" i="4"/>
  <c r="E534" i="4"/>
  <c r="F534" i="4"/>
  <c r="G534" i="4"/>
  <c r="H534" i="4"/>
  <c r="I534" i="4"/>
  <c r="J534" i="4"/>
  <c r="B535" i="4"/>
  <c r="C535" i="4"/>
  <c r="D535" i="4"/>
  <c r="E535" i="4"/>
  <c r="F535" i="4"/>
  <c r="G535" i="4"/>
  <c r="H535" i="4"/>
  <c r="I535" i="4"/>
  <c r="J535" i="4"/>
  <c r="B536" i="4"/>
  <c r="C536" i="4"/>
  <c r="D536" i="4"/>
  <c r="E536" i="4"/>
  <c r="F536" i="4"/>
  <c r="G536" i="4"/>
  <c r="H536" i="4"/>
  <c r="I536" i="4"/>
  <c r="J536" i="4"/>
  <c r="B537" i="4"/>
  <c r="C537" i="4"/>
  <c r="D537" i="4"/>
  <c r="E537" i="4"/>
  <c r="F537" i="4"/>
  <c r="G537" i="4"/>
  <c r="H537" i="4"/>
  <c r="I537" i="4"/>
  <c r="J537" i="4"/>
  <c r="B538" i="4"/>
  <c r="C538" i="4"/>
  <c r="D538" i="4"/>
  <c r="E538" i="4"/>
  <c r="F538" i="4"/>
  <c r="G538" i="4"/>
  <c r="H538" i="4"/>
  <c r="I538" i="4"/>
  <c r="J538" i="4"/>
  <c r="B539" i="4"/>
  <c r="C539" i="4"/>
  <c r="D539" i="4"/>
  <c r="E539" i="4"/>
  <c r="F539" i="4"/>
  <c r="G539" i="4"/>
  <c r="H539" i="4"/>
  <c r="I539" i="4"/>
  <c r="J539" i="4"/>
  <c r="B540" i="4"/>
  <c r="C540" i="4"/>
  <c r="C645" i="4" s="1"/>
  <c r="D540" i="4"/>
  <c r="E540" i="4"/>
  <c r="F540" i="4"/>
  <c r="G540" i="4"/>
  <c r="G645" i="4" s="1"/>
  <c r="H540" i="4"/>
  <c r="I540" i="4"/>
  <c r="J540" i="4"/>
  <c r="B541" i="4"/>
  <c r="C541" i="4"/>
  <c r="D541" i="4"/>
  <c r="E541" i="4"/>
  <c r="F541" i="4"/>
  <c r="G541" i="4"/>
  <c r="H541" i="4"/>
  <c r="I541" i="4"/>
  <c r="J541" i="4"/>
  <c r="B542" i="4"/>
  <c r="C542" i="4"/>
  <c r="D542" i="4"/>
  <c r="E542" i="4"/>
  <c r="E645" i="4" s="1"/>
  <c r="F542" i="4"/>
  <c r="G542" i="4"/>
  <c r="H542" i="4"/>
  <c r="I542" i="4"/>
  <c r="I645" i="4" s="1"/>
  <c r="J542" i="4"/>
  <c r="B543" i="4"/>
  <c r="C543" i="4"/>
  <c r="D543" i="4"/>
  <c r="D645" i="4" s="1"/>
  <c r="E543" i="4"/>
  <c r="F543" i="4"/>
  <c r="G543" i="4"/>
  <c r="H543" i="4"/>
  <c r="H645" i="4" s="1"/>
  <c r="I543" i="4"/>
  <c r="J543" i="4"/>
  <c r="B544" i="4"/>
  <c r="C544" i="4"/>
  <c r="D544" i="4"/>
  <c r="E544" i="4"/>
  <c r="F544" i="4"/>
  <c r="G544" i="4"/>
  <c r="H544" i="4"/>
  <c r="I544" i="4"/>
  <c r="J544" i="4"/>
  <c r="B545" i="4"/>
  <c r="C545" i="4"/>
  <c r="D545" i="4"/>
  <c r="E545" i="4"/>
  <c r="F545" i="4"/>
  <c r="G545" i="4"/>
  <c r="H545" i="4"/>
  <c r="I545" i="4"/>
  <c r="J545" i="4"/>
  <c r="B546" i="4"/>
  <c r="C546" i="4"/>
  <c r="D546" i="4"/>
  <c r="E546" i="4"/>
  <c r="F546" i="4"/>
  <c r="G546" i="4"/>
  <c r="H546" i="4"/>
  <c r="I546" i="4"/>
  <c r="J546" i="4"/>
  <c r="B547" i="4"/>
  <c r="C547" i="4"/>
  <c r="D547" i="4"/>
  <c r="E547" i="4"/>
  <c r="F547" i="4"/>
  <c r="G547" i="4"/>
  <c r="H547" i="4"/>
  <c r="I547" i="4"/>
  <c r="J547" i="4"/>
  <c r="B548" i="4"/>
  <c r="C548" i="4"/>
  <c r="D548" i="4"/>
  <c r="E548" i="4"/>
  <c r="F548" i="4"/>
  <c r="G548" i="4"/>
  <c r="H548" i="4"/>
  <c r="I548" i="4"/>
  <c r="J548" i="4"/>
  <c r="B549" i="4"/>
  <c r="C549" i="4"/>
  <c r="D549" i="4"/>
  <c r="E549" i="4"/>
  <c r="F549" i="4"/>
  <c r="G549" i="4"/>
  <c r="H549" i="4"/>
  <c r="I549" i="4"/>
  <c r="J549" i="4"/>
  <c r="B550" i="4"/>
  <c r="C550" i="4"/>
  <c r="D550" i="4"/>
  <c r="E550" i="4"/>
  <c r="F550" i="4"/>
  <c r="G550" i="4"/>
  <c r="H550" i="4"/>
  <c r="I550" i="4"/>
  <c r="J550" i="4"/>
  <c r="B551" i="4"/>
  <c r="C551" i="4"/>
  <c r="D551" i="4"/>
  <c r="E551" i="4"/>
  <c r="F551" i="4"/>
  <c r="G551" i="4"/>
  <c r="H551" i="4"/>
  <c r="I551" i="4"/>
  <c r="J551" i="4"/>
  <c r="B552" i="4"/>
  <c r="C552" i="4"/>
  <c r="C646" i="4" s="1"/>
  <c r="D552" i="4"/>
  <c r="E552" i="4"/>
  <c r="F552" i="4"/>
  <c r="G552" i="4"/>
  <c r="G646" i="4" s="1"/>
  <c r="H552" i="4"/>
  <c r="I552" i="4"/>
  <c r="J552" i="4"/>
  <c r="B553" i="4"/>
  <c r="B646" i="4" s="1"/>
  <c r="C553" i="4"/>
  <c r="D553" i="4"/>
  <c r="E553" i="4"/>
  <c r="F553" i="4"/>
  <c r="F646" i="4" s="1"/>
  <c r="G553" i="4"/>
  <c r="H553" i="4"/>
  <c r="I553" i="4"/>
  <c r="J553" i="4"/>
  <c r="B554" i="4"/>
  <c r="C554" i="4"/>
  <c r="D554" i="4"/>
  <c r="E554" i="4"/>
  <c r="E646" i="4" s="1"/>
  <c r="F554" i="4"/>
  <c r="G554" i="4"/>
  <c r="H554" i="4"/>
  <c r="I554" i="4"/>
  <c r="I646" i="4" s="1"/>
  <c r="J554" i="4"/>
  <c r="B555" i="4"/>
  <c r="C555" i="4"/>
  <c r="D555" i="4"/>
  <c r="E555" i="4"/>
  <c r="F555" i="4"/>
  <c r="G555" i="4"/>
  <c r="H555" i="4"/>
  <c r="I555" i="4"/>
  <c r="J555" i="4"/>
  <c r="B556" i="4"/>
  <c r="C556" i="4"/>
  <c r="D556" i="4"/>
  <c r="E556" i="4"/>
  <c r="F556" i="4"/>
  <c r="G556" i="4"/>
  <c r="H556" i="4"/>
  <c r="I556" i="4"/>
  <c r="J556" i="4"/>
  <c r="B557" i="4"/>
  <c r="C557" i="4"/>
  <c r="D557" i="4"/>
  <c r="E557" i="4"/>
  <c r="F557" i="4"/>
  <c r="G557" i="4"/>
  <c r="H557" i="4"/>
  <c r="I557" i="4"/>
  <c r="J557" i="4"/>
  <c r="B558" i="4"/>
  <c r="C558" i="4"/>
  <c r="D558" i="4"/>
  <c r="E558" i="4"/>
  <c r="F558" i="4"/>
  <c r="G558" i="4"/>
  <c r="H558" i="4"/>
  <c r="I558" i="4"/>
  <c r="J558" i="4"/>
  <c r="B559" i="4"/>
  <c r="C559" i="4"/>
  <c r="D559" i="4"/>
  <c r="E559" i="4"/>
  <c r="F559" i="4"/>
  <c r="G559" i="4"/>
  <c r="H559" i="4"/>
  <c r="I559" i="4"/>
  <c r="J559" i="4"/>
  <c r="B560" i="4"/>
  <c r="C560" i="4"/>
  <c r="D560" i="4"/>
  <c r="E560" i="4"/>
  <c r="F560" i="4"/>
  <c r="G560" i="4"/>
  <c r="H560" i="4"/>
  <c r="I560" i="4"/>
  <c r="J560" i="4"/>
  <c r="B561" i="4"/>
  <c r="C561" i="4"/>
  <c r="D561" i="4"/>
  <c r="E561" i="4"/>
  <c r="F561" i="4"/>
  <c r="G561" i="4"/>
  <c r="H561" i="4"/>
  <c r="I561" i="4"/>
  <c r="J561" i="4"/>
  <c r="B562" i="4"/>
  <c r="C562" i="4"/>
  <c r="D562" i="4"/>
  <c r="E562" i="4"/>
  <c r="F562" i="4"/>
  <c r="G562" i="4"/>
  <c r="H562" i="4"/>
  <c r="I562" i="4"/>
  <c r="J562" i="4"/>
  <c r="B563" i="4"/>
  <c r="C563" i="4"/>
  <c r="D563" i="4"/>
  <c r="E563" i="4"/>
  <c r="F563" i="4"/>
  <c r="G563" i="4"/>
  <c r="H563" i="4"/>
  <c r="I563" i="4"/>
  <c r="J563" i="4"/>
  <c r="B564" i="4"/>
  <c r="C564" i="4"/>
  <c r="C647" i="4" s="1"/>
  <c r="D564" i="4"/>
  <c r="E564" i="4"/>
  <c r="F564" i="4"/>
  <c r="G564" i="4"/>
  <c r="G647" i="4" s="1"/>
  <c r="H564" i="4"/>
  <c r="I564" i="4"/>
  <c r="J564" i="4"/>
  <c r="B565" i="4"/>
  <c r="C565" i="4"/>
  <c r="D565" i="4"/>
  <c r="E565" i="4"/>
  <c r="F565" i="4"/>
  <c r="G565" i="4"/>
  <c r="H565" i="4"/>
  <c r="I565" i="4"/>
  <c r="J565" i="4"/>
  <c r="B566" i="4"/>
  <c r="C566" i="4"/>
  <c r="D566" i="4"/>
  <c r="E566" i="4"/>
  <c r="E647" i="4" s="1"/>
  <c r="F566" i="4"/>
  <c r="G566" i="4"/>
  <c r="H566" i="4"/>
  <c r="I566" i="4"/>
  <c r="I647" i="4" s="1"/>
  <c r="J566" i="4"/>
  <c r="B567" i="4"/>
  <c r="C567" i="4"/>
  <c r="D567" i="4"/>
  <c r="D647" i="4" s="1"/>
  <c r="E567" i="4"/>
  <c r="F567" i="4"/>
  <c r="G567" i="4"/>
  <c r="H567" i="4"/>
  <c r="H647" i="4" s="1"/>
  <c r="I567" i="4"/>
  <c r="J567" i="4"/>
  <c r="B568" i="4"/>
  <c r="C568" i="4"/>
  <c r="D568" i="4"/>
  <c r="E568" i="4"/>
  <c r="F568" i="4"/>
  <c r="G568" i="4"/>
  <c r="H568" i="4"/>
  <c r="I568" i="4"/>
  <c r="J568" i="4"/>
  <c r="B569" i="4"/>
  <c r="C569" i="4"/>
  <c r="D569" i="4"/>
  <c r="E569" i="4"/>
  <c r="F569" i="4"/>
  <c r="G569" i="4"/>
  <c r="H569" i="4"/>
  <c r="I569" i="4"/>
  <c r="J569" i="4"/>
  <c r="B570" i="4"/>
  <c r="C570" i="4"/>
  <c r="D570" i="4"/>
  <c r="E570" i="4"/>
  <c r="F570" i="4"/>
  <c r="G570" i="4"/>
  <c r="H570" i="4"/>
  <c r="I570" i="4"/>
  <c r="J570" i="4"/>
  <c r="B571" i="4"/>
  <c r="C571" i="4"/>
  <c r="D571" i="4"/>
  <c r="E571" i="4"/>
  <c r="F571" i="4"/>
  <c r="G571" i="4"/>
  <c r="H571" i="4"/>
  <c r="I571" i="4"/>
  <c r="J571" i="4"/>
  <c r="B572" i="4"/>
  <c r="C572" i="4"/>
  <c r="D572" i="4"/>
  <c r="E572" i="4"/>
  <c r="F572" i="4"/>
  <c r="G572" i="4"/>
  <c r="H572" i="4"/>
  <c r="I572" i="4"/>
  <c r="J572" i="4"/>
  <c r="B573" i="4"/>
  <c r="C573" i="4"/>
  <c r="D573" i="4"/>
  <c r="E573" i="4"/>
  <c r="F573" i="4"/>
  <c r="G573" i="4"/>
  <c r="H573" i="4"/>
  <c r="I573" i="4"/>
  <c r="J573" i="4"/>
  <c r="B574" i="4"/>
  <c r="C574" i="4"/>
  <c r="D574" i="4"/>
  <c r="E574" i="4"/>
  <c r="F574" i="4"/>
  <c r="G574" i="4"/>
  <c r="H574" i="4"/>
  <c r="I574" i="4"/>
  <c r="J574" i="4"/>
  <c r="B575" i="4"/>
  <c r="C575" i="4"/>
  <c r="D575" i="4"/>
  <c r="E575" i="4"/>
  <c r="F575" i="4"/>
  <c r="G575" i="4"/>
  <c r="H575" i="4"/>
  <c r="I575" i="4"/>
  <c r="J575" i="4"/>
  <c r="B576" i="4"/>
  <c r="C576" i="4"/>
  <c r="C648" i="4" s="1"/>
  <c r="D576" i="4"/>
  <c r="E576" i="4"/>
  <c r="F576" i="4"/>
  <c r="G576" i="4"/>
  <c r="G648" i="4" s="1"/>
  <c r="H576" i="4"/>
  <c r="I576" i="4"/>
  <c r="J576" i="4"/>
  <c r="B577" i="4"/>
  <c r="B648" i="4" s="1"/>
  <c r="C577" i="4"/>
  <c r="D577" i="4"/>
  <c r="E577" i="4"/>
  <c r="F577" i="4"/>
  <c r="F648" i="4" s="1"/>
  <c r="G577" i="4"/>
  <c r="H577" i="4"/>
  <c r="I577" i="4"/>
  <c r="J577" i="4"/>
  <c r="B578" i="4"/>
  <c r="C578" i="4"/>
  <c r="D578" i="4"/>
  <c r="E578" i="4"/>
  <c r="E648" i="4" s="1"/>
  <c r="F578" i="4"/>
  <c r="G578" i="4"/>
  <c r="H578" i="4"/>
  <c r="I578" i="4"/>
  <c r="I648" i="4" s="1"/>
  <c r="J578" i="4"/>
  <c r="B579" i="4"/>
  <c r="C579" i="4"/>
  <c r="D579" i="4"/>
  <c r="E579" i="4"/>
  <c r="F579" i="4"/>
  <c r="G579" i="4"/>
  <c r="H579" i="4"/>
  <c r="I579" i="4"/>
  <c r="J579" i="4"/>
  <c r="B580" i="4"/>
  <c r="C580" i="4"/>
  <c r="D580" i="4"/>
  <c r="E580" i="4"/>
  <c r="F580" i="4"/>
  <c r="G580" i="4"/>
  <c r="H580" i="4"/>
  <c r="I580" i="4"/>
  <c r="J580" i="4"/>
  <c r="B581" i="4"/>
  <c r="C581" i="4"/>
  <c r="D581" i="4"/>
  <c r="E581" i="4"/>
  <c r="F581" i="4"/>
  <c r="G581" i="4"/>
  <c r="H581" i="4"/>
  <c r="I581" i="4"/>
  <c r="J581" i="4"/>
  <c r="B582" i="4"/>
  <c r="C582" i="4"/>
  <c r="D582" i="4"/>
  <c r="E582" i="4"/>
  <c r="F582" i="4"/>
  <c r="G582" i="4"/>
  <c r="H582" i="4"/>
  <c r="I582" i="4"/>
  <c r="J582" i="4"/>
  <c r="B583" i="4"/>
  <c r="C583" i="4"/>
  <c r="D583" i="4"/>
  <c r="E583" i="4"/>
  <c r="F583" i="4"/>
  <c r="G583" i="4"/>
  <c r="H583" i="4"/>
  <c r="I583" i="4"/>
  <c r="J583" i="4"/>
  <c r="B584" i="4"/>
  <c r="C584" i="4"/>
  <c r="D584" i="4"/>
  <c r="E584" i="4"/>
  <c r="F584" i="4"/>
  <c r="G584" i="4"/>
  <c r="H584" i="4"/>
  <c r="I584" i="4"/>
  <c r="J584" i="4"/>
  <c r="B585" i="4"/>
  <c r="C585" i="4"/>
  <c r="D585" i="4"/>
  <c r="E585" i="4"/>
  <c r="F585" i="4"/>
  <c r="G585" i="4"/>
  <c r="H585" i="4"/>
  <c r="I585" i="4"/>
  <c r="J585" i="4"/>
  <c r="B586" i="4"/>
  <c r="C586" i="4"/>
  <c r="D586" i="4"/>
  <c r="E586" i="4"/>
  <c r="F586" i="4"/>
  <c r="G586" i="4"/>
  <c r="H586" i="4"/>
  <c r="I586" i="4"/>
  <c r="J586" i="4"/>
  <c r="B587" i="4"/>
  <c r="C587" i="4"/>
  <c r="D587" i="4"/>
  <c r="E587" i="4"/>
  <c r="F587" i="4"/>
  <c r="G587" i="4"/>
  <c r="H587" i="4"/>
  <c r="I587" i="4"/>
  <c r="J587" i="4"/>
  <c r="B588" i="4"/>
  <c r="C588" i="4"/>
  <c r="C649" i="4" s="1"/>
  <c r="D588" i="4"/>
  <c r="E588" i="4"/>
  <c r="F588" i="4"/>
  <c r="G588" i="4"/>
  <c r="G649" i="4" s="1"/>
  <c r="H588" i="4"/>
  <c r="I588" i="4"/>
  <c r="J588" i="4"/>
  <c r="B589" i="4"/>
  <c r="C589" i="4"/>
  <c r="D589" i="4"/>
  <c r="E589" i="4"/>
  <c r="F589" i="4"/>
  <c r="G589" i="4"/>
  <c r="H589" i="4"/>
  <c r="I589" i="4"/>
  <c r="J589" i="4"/>
  <c r="B590" i="4"/>
  <c r="C590" i="4"/>
  <c r="D590" i="4"/>
  <c r="E590" i="4"/>
  <c r="E649" i="4" s="1"/>
  <c r="F590" i="4"/>
  <c r="G590" i="4"/>
  <c r="H590" i="4"/>
  <c r="I590" i="4"/>
  <c r="I649" i="4" s="1"/>
  <c r="J590" i="4"/>
  <c r="B591" i="4"/>
  <c r="C591" i="4"/>
  <c r="D591" i="4"/>
  <c r="D649" i="4" s="1"/>
  <c r="E591" i="4"/>
  <c r="F591" i="4"/>
  <c r="G591" i="4"/>
  <c r="H591" i="4"/>
  <c r="H649" i="4" s="1"/>
  <c r="I591" i="4"/>
  <c r="J591" i="4"/>
  <c r="B592" i="4"/>
  <c r="C592" i="4"/>
  <c r="D592" i="4"/>
  <c r="E592" i="4"/>
  <c r="F592" i="4"/>
  <c r="G592" i="4"/>
  <c r="H592" i="4"/>
  <c r="I592" i="4"/>
  <c r="J592" i="4"/>
  <c r="B593" i="4"/>
  <c r="C593" i="4"/>
  <c r="D593" i="4"/>
  <c r="E593" i="4"/>
  <c r="F593" i="4"/>
  <c r="G593" i="4"/>
  <c r="H593" i="4"/>
  <c r="I593" i="4"/>
  <c r="J593" i="4"/>
  <c r="B594" i="4"/>
  <c r="C594" i="4"/>
  <c r="D594" i="4"/>
  <c r="E594" i="4"/>
  <c r="F594" i="4"/>
  <c r="G594" i="4"/>
  <c r="H594" i="4"/>
  <c r="I594" i="4"/>
  <c r="J594" i="4"/>
  <c r="B595" i="4"/>
  <c r="C595" i="4"/>
  <c r="D595" i="4"/>
  <c r="E595" i="4"/>
  <c r="F595" i="4"/>
  <c r="G595" i="4"/>
  <c r="H595" i="4"/>
  <c r="I595" i="4"/>
  <c r="J595" i="4"/>
  <c r="B596" i="4"/>
  <c r="C596" i="4"/>
  <c r="D596" i="4"/>
  <c r="E596" i="4"/>
  <c r="F596" i="4"/>
  <c r="G596" i="4"/>
  <c r="H596" i="4"/>
  <c r="I596" i="4"/>
  <c r="J596" i="4"/>
  <c r="B597" i="4"/>
  <c r="C597" i="4"/>
  <c r="D597" i="4"/>
  <c r="E597" i="4"/>
  <c r="F597" i="4"/>
  <c r="G597" i="4"/>
  <c r="H597" i="4"/>
  <c r="I597" i="4"/>
  <c r="J597" i="4"/>
  <c r="B598" i="4"/>
  <c r="C598" i="4"/>
  <c r="D598" i="4"/>
  <c r="E598" i="4"/>
  <c r="F598" i="4"/>
  <c r="G598" i="4"/>
  <c r="H598" i="4"/>
  <c r="I598" i="4"/>
  <c r="J598" i="4"/>
  <c r="B599" i="4"/>
  <c r="C599" i="4"/>
  <c r="D599" i="4"/>
  <c r="E599" i="4"/>
  <c r="F599" i="4"/>
  <c r="G599" i="4"/>
  <c r="H599" i="4"/>
  <c r="I599" i="4"/>
  <c r="J599" i="4"/>
  <c r="B601" i="4"/>
  <c r="C601" i="4"/>
  <c r="D601" i="4"/>
  <c r="E601" i="4"/>
  <c r="F601" i="4"/>
  <c r="G601" i="4"/>
  <c r="H601" i="4"/>
  <c r="I601" i="4"/>
  <c r="J601" i="4"/>
  <c r="B602" i="4"/>
  <c r="C602" i="4"/>
  <c r="D602" i="4"/>
  <c r="E602" i="4"/>
  <c r="F602" i="4"/>
  <c r="G602" i="4"/>
  <c r="H602" i="4"/>
  <c r="I602" i="4"/>
  <c r="J602" i="4"/>
  <c r="B603" i="4"/>
  <c r="C603" i="4"/>
  <c r="D603" i="4"/>
  <c r="E603" i="4"/>
  <c r="F603" i="4"/>
  <c r="G603" i="4"/>
  <c r="H603" i="4"/>
  <c r="I603" i="4"/>
  <c r="J603" i="4"/>
  <c r="B604" i="4"/>
  <c r="C604" i="4"/>
  <c r="D604" i="4"/>
  <c r="E604" i="4"/>
  <c r="F604" i="4"/>
  <c r="G604" i="4"/>
  <c r="H604" i="4"/>
  <c r="I604" i="4"/>
  <c r="J604" i="4"/>
  <c r="B605" i="4"/>
  <c r="C605" i="4"/>
  <c r="D605" i="4"/>
  <c r="E605" i="4"/>
  <c r="F605" i="4"/>
  <c r="G605" i="4"/>
  <c r="H605" i="4"/>
  <c r="I605" i="4"/>
  <c r="J605" i="4"/>
  <c r="B606" i="4"/>
  <c r="C606" i="4"/>
  <c r="D606" i="4"/>
  <c r="E606" i="4"/>
  <c r="F606" i="4"/>
  <c r="G606" i="4"/>
  <c r="H606" i="4"/>
  <c r="I606" i="4"/>
  <c r="J606" i="4"/>
  <c r="B607" i="4"/>
  <c r="C607" i="4"/>
  <c r="D607" i="4"/>
  <c r="E607" i="4"/>
  <c r="F607" i="4"/>
  <c r="G607" i="4"/>
  <c r="H607" i="4"/>
  <c r="I607" i="4"/>
  <c r="J607" i="4"/>
  <c r="B608" i="4"/>
  <c r="C608" i="4"/>
  <c r="D608" i="4"/>
  <c r="E608" i="4"/>
  <c r="F608" i="4"/>
  <c r="G608" i="4"/>
  <c r="H608" i="4"/>
  <c r="I608" i="4"/>
  <c r="J608" i="4"/>
  <c r="B609" i="4"/>
  <c r="C609" i="4"/>
  <c r="D609" i="4"/>
  <c r="E609" i="4"/>
  <c r="F609" i="4"/>
  <c r="G609" i="4"/>
  <c r="H609" i="4"/>
  <c r="I609" i="4"/>
  <c r="J609" i="4"/>
  <c r="B610" i="4"/>
  <c r="C610" i="4"/>
  <c r="D610" i="4"/>
  <c r="E610" i="4"/>
  <c r="F610" i="4"/>
  <c r="G610" i="4"/>
  <c r="H610" i="4"/>
  <c r="I610" i="4"/>
  <c r="J610" i="4"/>
  <c r="B611" i="4"/>
  <c r="C611" i="4"/>
  <c r="D611" i="4"/>
  <c r="E611" i="4"/>
  <c r="F611" i="4"/>
  <c r="G611" i="4"/>
  <c r="H611" i="4"/>
  <c r="I611" i="4"/>
  <c r="J611" i="4"/>
  <c r="B612" i="4"/>
  <c r="C612" i="4"/>
  <c r="D612" i="4"/>
  <c r="E612" i="4"/>
  <c r="F612" i="4"/>
  <c r="G612" i="4"/>
  <c r="H612" i="4"/>
  <c r="I612" i="4"/>
  <c r="J612" i="4"/>
  <c r="B613" i="4"/>
  <c r="C613" i="4"/>
  <c r="D613" i="4"/>
  <c r="E613" i="4"/>
  <c r="F613" i="4"/>
  <c r="G613" i="4"/>
  <c r="H613" i="4"/>
  <c r="I613" i="4"/>
  <c r="J613" i="4"/>
  <c r="B614" i="4"/>
  <c r="C614" i="4"/>
  <c r="D614" i="4"/>
  <c r="E614" i="4"/>
  <c r="F614" i="4"/>
  <c r="G614" i="4"/>
  <c r="H614" i="4"/>
  <c r="I614" i="4"/>
  <c r="J614" i="4"/>
  <c r="B615" i="4"/>
  <c r="C615" i="4"/>
  <c r="D615" i="4"/>
  <c r="E615" i="4"/>
  <c r="F615" i="4"/>
  <c r="G615" i="4"/>
  <c r="H615" i="4"/>
  <c r="I615" i="4"/>
  <c r="J615" i="4"/>
  <c r="B616" i="4"/>
  <c r="C616" i="4"/>
  <c r="D616" i="4"/>
  <c r="F616" i="4"/>
  <c r="G616" i="4"/>
  <c r="H616" i="4"/>
  <c r="J616" i="4"/>
  <c r="C617" i="4"/>
  <c r="D617" i="4"/>
  <c r="E617" i="4"/>
  <c r="F617" i="4"/>
  <c r="G617" i="4"/>
  <c r="H617" i="4"/>
  <c r="I617" i="4"/>
  <c r="J617" i="4"/>
  <c r="D618" i="4"/>
  <c r="E618" i="4"/>
  <c r="H618" i="4"/>
  <c r="I618" i="4"/>
  <c r="J618" i="4"/>
  <c r="C619" i="4"/>
  <c r="D619" i="4"/>
  <c r="G619" i="4"/>
  <c r="H619" i="4"/>
  <c r="J619" i="4"/>
  <c r="B620" i="4"/>
  <c r="C620" i="4"/>
  <c r="F620" i="4"/>
  <c r="G620" i="4"/>
  <c r="J620" i="4"/>
  <c r="B621" i="4"/>
  <c r="F621" i="4"/>
  <c r="J621" i="4"/>
  <c r="E622" i="4"/>
  <c r="I622" i="4"/>
  <c r="J622" i="4"/>
  <c r="D623" i="4"/>
  <c r="H623" i="4"/>
  <c r="J623" i="4"/>
  <c r="C624" i="4"/>
  <c r="G624" i="4"/>
  <c r="J624" i="4"/>
  <c r="B625" i="4"/>
  <c r="F625" i="4"/>
  <c r="J625" i="4"/>
  <c r="A626" i="4"/>
  <c r="D626" i="4"/>
  <c r="H626" i="4"/>
  <c r="J626" i="4"/>
  <c r="A627" i="4"/>
  <c r="B627" i="4"/>
  <c r="F627" i="4"/>
  <c r="J627" i="4"/>
  <c r="A628" i="4"/>
  <c r="D628" i="4"/>
  <c r="H628" i="4"/>
  <c r="J628" i="4"/>
  <c r="A629" i="4"/>
  <c r="B629" i="4"/>
  <c r="F629" i="4"/>
  <c r="J629" i="4"/>
  <c r="A630" i="4"/>
  <c r="D630" i="4"/>
  <c r="H630" i="4"/>
  <c r="J630" i="4"/>
  <c r="A631" i="4"/>
  <c r="B631" i="4"/>
  <c r="F631" i="4"/>
  <c r="J631" i="4"/>
  <c r="A632" i="4"/>
  <c r="D632" i="4"/>
  <c r="H632" i="4"/>
  <c r="J632" i="4"/>
  <c r="A633" i="4"/>
  <c r="B633" i="4"/>
  <c r="F633" i="4"/>
  <c r="J633" i="4"/>
  <c r="A634" i="4"/>
  <c r="D634" i="4"/>
  <c r="H634" i="4"/>
  <c r="J634" i="4"/>
  <c r="A635" i="4"/>
  <c r="B635" i="4"/>
  <c r="F635" i="4"/>
  <c r="J635" i="4"/>
  <c r="A636" i="4"/>
  <c r="D636" i="4"/>
  <c r="H636" i="4"/>
  <c r="J636" i="4"/>
  <c r="A637" i="4"/>
  <c r="B637" i="4"/>
  <c r="F637" i="4"/>
  <c r="J637" i="4"/>
  <c r="A638" i="4"/>
  <c r="D638" i="4"/>
  <c r="H638" i="4"/>
  <c r="J638" i="4"/>
  <c r="A639" i="4"/>
  <c r="B639" i="4"/>
  <c r="F639" i="4"/>
  <c r="J639" i="4"/>
  <c r="A640" i="4"/>
  <c r="D640" i="4"/>
  <c r="H640" i="4"/>
  <c r="J640" i="4"/>
  <c r="A641" i="4"/>
  <c r="B641" i="4"/>
  <c r="F641" i="4"/>
  <c r="J641" i="4"/>
  <c r="A642" i="4"/>
  <c r="D642" i="4"/>
  <c r="H642" i="4"/>
  <c r="J642" i="4"/>
  <c r="A643" i="4"/>
  <c r="B643" i="4"/>
  <c r="F643" i="4"/>
  <c r="J643" i="4"/>
  <c r="A644" i="4"/>
  <c r="D644" i="4"/>
  <c r="H644" i="4"/>
  <c r="J644" i="4"/>
  <c r="A645" i="4"/>
  <c r="B645" i="4"/>
  <c r="F645" i="4"/>
  <c r="J645" i="4"/>
  <c r="A646" i="4"/>
  <c r="D646" i="4"/>
  <c r="H646" i="4"/>
  <c r="J646" i="4"/>
  <c r="A647" i="4"/>
  <c r="B647" i="4"/>
  <c r="F647" i="4"/>
  <c r="J647" i="4"/>
  <c r="A648" i="4"/>
  <c r="D648" i="4"/>
  <c r="H648" i="4"/>
  <c r="J648" i="4"/>
  <c r="A649" i="4"/>
  <c r="B649" i="4"/>
  <c r="F649" i="4"/>
  <c r="J649" i="4"/>
  <c r="D9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B34" i="3"/>
  <c r="C34" i="3"/>
  <c r="D34" i="3"/>
  <c r="E34" i="3"/>
  <c r="F34" i="3"/>
  <c r="G34" i="3"/>
  <c r="H34" i="3"/>
  <c r="I34" i="3"/>
  <c r="J34" i="3"/>
  <c r="K34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D40" i="3"/>
  <c r="E40" i="3"/>
  <c r="F40" i="3"/>
  <c r="G40" i="3"/>
  <c r="H40" i="3"/>
  <c r="I40" i="3"/>
  <c r="J40" i="3"/>
  <c r="K40" i="3"/>
  <c r="B41" i="3"/>
  <c r="C41" i="3"/>
  <c r="D41" i="3"/>
  <c r="E41" i="3"/>
  <c r="F41" i="3"/>
  <c r="G41" i="3"/>
  <c r="H41" i="3"/>
  <c r="I41" i="3"/>
  <c r="J41" i="3"/>
  <c r="K41" i="3"/>
  <c r="B42" i="3"/>
  <c r="C42" i="3"/>
  <c r="D42" i="3"/>
  <c r="E42" i="3"/>
  <c r="F42" i="3"/>
  <c r="G42" i="3"/>
  <c r="H42" i="3"/>
  <c r="I42" i="3"/>
  <c r="J42" i="3"/>
  <c r="K42" i="3"/>
  <c r="B43" i="3"/>
  <c r="C43" i="3"/>
  <c r="D43" i="3"/>
  <c r="E43" i="3"/>
  <c r="F43" i="3"/>
  <c r="G43" i="3"/>
  <c r="H43" i="3"/>
  <c r="I43" i="3"/>
  <c r="J43" i="3"/>
  <c r="K43" i="3"/>
  <c r="B44" i="3"/>
  <c r="C44" i="3"/>
  <c r="D44" i="3"/>
  <c r="E44" i="3"/>
  <c r="F44" i="3"/>
  <c r="G44" i="3"/>
  <c r="H44" i="3"/>
  <c r="I44" i="3"/>
  <c r="J44" i="3"/>
  <c r="K44" i="3"/>
  <c r="B45" i="3"/>
  <c r="C45" i="3"/>
  <c r="D45" i="3"/>
  <c r="E45" i="3"/>
  <c r="F45" i="3"/>
  <c r="G45" i="3"/>
  <c r="H45" i="3"/>
  <c r="I45" i="3"/>
  <c r="J45" i="3"/>
  <c r="K45" i="3"/>
  <c r="B46" i="3"/>
  <c r="C46" i="3"/>
  <c r="D46" i="3"/>
  <c r="E46" i="3"/>
  <c r="F46" i="3"/>
  <c r="G46" i="3"/>
  <c r="H46" i="3"/>
  <c r="I46" i="3"/>
  <c r="J46" i="3"/>
  <c r="K46" i="3"/>
  <c r="B47" i="3"/>
  <c r="C47" i="3"/>
  <c r="D47" i="3"/>
  <c r="E47" i="3"/>
  <c r="F47" i="3"/>
  <c r="G47" i="3"/>
  <c r="H47" i="3"/>
  <c r="I47" i="3"/>
  <c r="J47" i="3"/>
  <c r="K47" i="3"/>
  <c r="B48" i="3"/>
  <c r="C48" i="3"/>
  <c r="D48" i="3"/>
  <c r="E48" i="3"/>
  <c r="F48" i="3"/>
  <c r="G48" i="3"/>
  <c r="H48" i="3"/>
  <c r="I48" i="3"/>
  <c r="J48" i="3"/>
  <c r="K48" i="3"/>
  <c r="B49" i="3"/>
  <c r="C49" i="3"/>
  <c r="D49" i="3"/>
  <c r="E49" i="3"/>
  <c r="F49" i="3"/>
  <c r="G49" i="3"/>
  <c r="H49" i="3"/>
  <c r="I49" i="3"/>
  <c r="J49" i="3"/>
  <c r="K49" i="3"/>
  <c r="B50" i="3"/>
  <c r="C50" i="3"/>
  <c r="D50" i="3"/>
  <c r="E50" i="3"/>
  <c r="F50" i="3"/>
  <c r="G50" i="3"/>
  <c r="H50" i="3"/>
  <c r="I50" i="3"/>
  <c r="J50" i="3"/>
  <c r="K50" i="3"/>
  <c r="B51" i="3"/>
  <c r="C51" i="3"/>
  <c r="D51" i="3"/>
  <c r="E51" i="3"/>
  <c r="F51" i="3"/>
  <c r="G51" i="3"/>
  <c r="H51" i="3"/>
  <c r="I51" i="3"/>
  <c r="J51" i="3"/>
  <c r="K51" i="3"/>
  <c r="B52" i="3"/>
  <c r="C52" i="3"/>
  <c r="D52" i="3"/>
  <c r="E52" i="3"/>
  <c r="F52" i="3"/>
  <c r="G52" i="3"/>
  <c r="H52" i="3"/>
  <c r="I52" i="3"/>
  <c r="J52" i="3"/>
  <c r="K52" i="3"/>
  <c r="B53" i="3"/>
  <c r="C53" i="3"/>
  <c r="D53" i="3"/>
  <c r="E53" i="3"/>
  <c r="F53" i="3"/>
  <c r="G53" i="3"/>
  <c r="H53" i="3"/>
  <c r="I53" i="3"/>
  <c r="J53" i="3"/>
  <c r="K53" i="3"/>
  <c r="B54" i="3"/>
  <c r="C54" i="3"/>
  <c r="D54" i="3"/>
  <c r="E54" i="3"/>
  <c r="F54" i="3"/>
  <c r="G54" i="3"/>
  <c r="H54" i="3"/>
  <c r="I54" i="3"/>
  <c r="J54" i="3"/>
  <c r="K54" i="3"/>
  <c r="B55" i="3"/>
  <c r="C55" i="3"/>
  <c r="D55" i="3"/>
  <c r="E55" i="3"/>
  <c r="F55" i="3"/>
  <c r="G55" i="3"/>
  <c r="H55" i="3"/>
  <c r="I55" i="3"/>
  <c r="J55" i="3"/>
  <c r="K55" i="3"/>
  <c r="B56" i="3"/>
  <c r="C56" i="3"/>
  <c r="D56" i="3"/>
  <c r="E56" i="3"/>
  <c r="F56" i="3"/>
  <c r="G56" i="3"/>
  <c r="H56" i="3"/>
  <c r="I56" i="3"/>
  <c r="J56" i="3"/>
  <c r="K56" i="3"/>
  <c r="B57" i="3"/>
  <c r="C57" i="3"/>
  <c r="D57" i="3"/>
  <c r="E57" i="3"/>
  <c r="F57" i="3"/>
  <c r="G57" i="3"/>
  <c r="H57" i="3"/>
  <c r="I57" i="3"/>
  <c r="J57" i="3"/>
  <c r="K57" i="3"/>
  <c r="B58" i="3"/>
  <c r="C58" i="3"/>
  <c r="D58" i="3"/>
  <c r="E58" i="3"/>
  <c r="F58" i="3"/>
  <c r="G58" i="3"/>
  <c r="H58" i="3"/>
  <c r="I58" i="3"/>
  <c r="J58" i="3"/>
  <c r="K58" i="3"/>
  <c r="B59" i="3"/>
  <c r="C59" i="3"/>
  <c r="D59" i="3"/>
  <c r="E59" i="3"/>
  <c r="F59" i="3"/>
  <c r="G59" i="3"/>
  <c r="H59" i="3"/>
  <c r="I59" i="3"/>
  <c r="J59" i="3"/>
  <c r="K59" i="3"/>
  <c r="B60" i="3"/>
  <c r="C60" i="3"/>
  <c r="D60" i="3"/>
  <c r="E60" i="3"/>
  <c r="F60" i="3"/>
  <c r="G60" i="3"/>
  <c r="H60" i="3"/>
  <c r="I60" i="3"/>
  <c r="J60" i="3"/>
  <c r="K60" i="3"/>
  <c r="B61" i="3"/>
  <c r="C61" i="3"/>
  <c r="D61" i="3"/>
  <c r="E61" i="3"/>
  <c r="F61" i="3"/>
  <c r="G61" i="3"/>
  <c r="H61" i="3"/>
  <c r="I61" i="3"/>
  <c r="J61" i="3"/>
  <c r="K61" i="3"/>
  <c r="B62" i="3"/>
  <c r="C62" i="3"/>
  <c r="D62" i="3"/>
  <c r="E62" i="3"/>
  <c r="F62" i="3"/>
  <c r="G62" i="3"/>
  <c r="H62" i="3"/>
  <c r="I62" i="3"/>
  <c r="J62" i="3"/>
  <c r="K62" i="3"/>
  <c r="B63" i="3"/>
  <c r="C63" i="3"/>
  <c r="D63" i="3"/>
  <c r="E63" i="3"/>
  <c r="F63" i="3"/>
  <c r="G63" i="3"/>
  <c r="H63" i="3"/>
  <c r="I63" i="3"/>
  <c r="J63" i="3"/>
  <c r="K63" i="3"/>
  <c r="B64" i="3"/>
  <c r="C64" i="3"/>
  <c r="D64" i="3"/>
  <c r="E64" i="3"/>
  <c r="F64" i="3"/>
  <c r="G64" i="3"/>
  <c r="H64" i="3"/>
  <c r="I64" i="3"/>
  <c r="J64" i="3"/>
  <c r="K64" i="3"/>
  <c r="B65" i="3"/>
  <c r="C65" i="3"/>
  <c r="D65" i="3"/>
  <c r="E65" i="3"/>
  <c r="F65" i="3"/>
  <c r="G65" i="3"/>
  <c r="H65" i="3"/>
  <c r="I65" i="3"/>
  <c r="J65" i="3"/>
  <c r="K65" i="3"/>
  <c r="B66" i="3"/>
  <c r="C66" i="3"/>
  <c r="D66" i="3"/>
  <c r="E66" i="3"/>
  <c r="F66" i="3"/>
  <c r="G66" i="3"/>
  <c r="H66" i="3"/>
  <c r="I66" i="3"/>
  <c r="J66" i="3"/>
  <c r="K66" i="3"/>
  <c r="B67" i="3"/>
  <c r="C67" i="3"/>
  <c r="D67" i="3"/>
  <c r="E67" i="3"/>
  <c r="F67" i="3"/>
  <c r="G67" i="3"/>
  <c r="H67" i="3"/>
  <c r="I67" i="3"/>
  <c r="J67" i="3"/>
  <c r="K67" i="3"/>
  <c r="B68" i="3"/>
  <c r="C68" i="3"/>
  <c r="D68" i="3"/>
  <c r="E68" i="3"/>
  <c r="F68" i="3"/>
  <c r="G68" i="3"/>
  <c r="H68" i="3"/>
  <c r="I68" i="3"/>
  <c r="J68" i="3"/>
  <c r="K68" i="3"/>
  <c r="B69" i="3"/>
  <c r="C69" i="3"/>
  <c r="D69" i="3"/>
  <c r="E69" i="3"/>
  <c r="F69" i="3"/>
  <c r="G69" i="3"/>
  <c r="H69" i="3"/>
  <c r="I69" i="3"/>
  <c r="J69" i="3"/>
  <c r="K69" i="3"/>
  <c r="B70" i="3"/>
  <c r="C70" i="3"/>
  <c r="D70" i="3"/>
  <c r="E70" i="3"/>
  <c r="F70" i="3"/>
  <c r="G70" i="3"/>
  <c r="H70" i="3"/>
  <c r="I70" i="3"/>
  <c r="J70" i="3"/>
  <c r="K70" i="3"/>
  <c r="B71" i="3"/>
  <c r="C71" i="3"/>
  <c r="D71" i="3"/>
  <c r="E71" i="3"/>
  <c r="F71" i="3"/>
  <c r="G71" i="3"/>
  <c r="H71" i="3"/>
  <c r="I71" i="3"/>
  <c r="J71" i="3"/>
  <c r="K71" i="3"/>
  <c r="B72" i="3"/>
  <c r="C72" i="3"/>
  <c r="D72" i="3"/>
  <c r="E72" i="3"/>
  <c r="F72" i="3"/>
  <c r="G72" i="3"/>
  <c r="H72" i="3"/>
  <c r="I72" i="3"/>
  <c r="J72" i="3"/>
  <c r="K72" i="3"/>
  <c r="B73" i="3"/>
  <c r="C73" i="3"/>
  <c r="D73" i="3"/>
  <c r="E73" i="3"/>
  <c r="F73" i="3"/>
  <c r="G73" i="3"/>
  <c r="H73" i="3"/>
  <c r="I73" i="3"/>
  <c r="J73" i="3"/>
  <c r="K73" i="3"/>
  <c r="B74" i="3"/>
  <c r="C74" i="3"/>
  <c r="D74" i="3"/>
  <c r="E74" i="3"/>
  <c r="F74" i="3"/>
  <c r="G74" i="3"/>
  <c r="H74" i="3"/>
  <c r="I74" i="3"/>
  <c r="J74" i="3"/>
  <c r="K74" i="3"/>
  <c r="B75" i="3"/>
  <c r="C75" i="3"/>
  <c r="D75" i="3"/>
  <c r="E75" i="3"/>
  <c r="F75" i="3"/>
  <c r="G75" i="3"/>
  <c r="H75" i="3"/>
  <c r="I75" i="3"/>
  <c r="J75" i="3"/>
  <c r="K75" i="3"/>
  <c r="B76" i="3"/>
  <c r="C76" i="3"/>
  <c r="D76" i="3"/>
  <c r="E76" i="3"/>
  <c r="F76" i="3"/>
  <c r="G76" i="3"/>
  <c r="H76" i="3"/>
  <c r="I76" i="3"/>
  <c r="J76" i="3"/>
  <c r="K76" i="3"/>
  <c r="B77" i="3"/>
  <c r="C77" i="3"/>
  <c r="D77" i="3"/>
  <c r="E77" i="3"/>
  <c r="F77" i="3"/>
  <c r="G77" i="3"/>
  <c r="H77" i="3"/>
  <c r="I77" i="3"/>
  <c r="J77" i="3"/>
  <c r="K77" i="3"/>
  <c r="B78" i="3"/>
  <c r="C78" i="3"/>
  <c r="D78" i="3"/>
  <c r="E78" i="3"/>
  <c r="F78" i="3"/>
  <c r="G78" i="3"/>
  <c r="H78" i="3"/>
  <c r="I78" i="3"/>
  <c r="J78" i="3"/>
  <c r="K78" i="3"/>
  <c r="B79" i="3"/>
  <c r="C79" i="3"/>
  <c r="D79" i="3"/>
  <c r="E79" i="3"/>
  <c r="F79" i="3"/>
  <c r="G79" i="3"/>
  <c r="H79" i="3"/>
  <c r="I79" i="3"/>
  <c r="J79" i="3"/>
  <c r="K79" i="3"/>
  <c r="B80" i="3"/>
  <c r="C80" i="3"/>
  <c r="D80" i="3"/>
  <c r="E80" i="3"/>
  <c r="F80" i="3"/>
  <c r="G80" i="3"/>
  <c r="H80" i="3"/>
  <c r="I80" i="3"/>
  <c r="J80" i="3"/>
  <c r="K80" i="3"/>
  <c r="B81" i="3"/>
  <c r="C81" i="3"/>
  <c r="D81" i="3"/>
  <c r="E81" i="3"/>
  <c r="F81" i="3"/>
  <c r="G81" i="3"/>
  <c r="H81" i="3"/>
  <c r="I81" i="3"/>
  <c r="J81" i="3"/>
  <c r="K81" i="3"/>
  <c r="B82" i="3"/>
  <c r="C82" i="3"/>
  <c r="D82" i="3"/>
  <c r="E82" i="3"/>
  <c r="F82" i="3"/>
  <c r="G82" i="3"/>
  <c r="H82" i="3"/>
  <c r="I82" i="3"/>
  <c r="J82" i="3"/>
  <c r="K82" i="3"/>
  <c r="B83" i="3"/>
  <c r="C83" i="3"/>
  <c r="D83" i="3"/>
  <c r="E83" i="3"/>
  <c r="F83" i="3"/>
  <c r="G83" i="3"/>
  <c r="H83" i="3"/>
  <c r="I83" i="3"/>
  <c r="J83" i="3"/>
  <c r="K83" i="3"/>
  <c r="B84" i="3"/>
  <c r="C84" i="3"/>
  <c r="D84" i="3"/>
  <c r="E84" i="3"/>
  <c r="F84" i="3"/>
  <c r="G84" i="3"/>
  <c r="H84" i="3"/>
  <c r="I84" i="3"/>
  <c r="J84" i="3"/>
  <c r="K84" i="3"/>
  <c r="B85" i="3"/>
  <c r="C85" i="3"/>
  <c r="D85" i="3"/>
  <c r="E85" i="3"/>
  <c r="F85" i="3"/>
  <c r="G85" i="3"/>
  <c r="H85" i="3"/>
  <c r="I85" i="3"/>
  <c r="J85" i="3"/>
  <c r="K85" i="3"/>
  <c r="B86" i="3"/>
  <c r="C86" i="3"/>
  <c r="D86" i="3"/>
  <c r="E86" i="3"/>
  <c r="F86" i="3"/>
  <c r="G86" i="3"/>
  <c r="H86" i="3"/>
  <c r="I86" i="3"/>
  <c r="J86" i="3"/>
  <c r="K86" i="3"/>
  <c r="B87" i="3"/>
  <c r="C87" i="3"/>
  <c r="D87" i="3"/>
  <c r="E87" i="3"/>
  <c r="F87" i="3"/>
  <c r="G87" i="3"/>
  <c r="H87" i="3"/>
  <c r="I87" i="3"/>
  <c r="J87" i="3"/>
  <c r="K87" i="3"/>
  <c r="B88" i="3"/>
  <c r="C88" i="3"/>
  <c r="D88" i="3"/>
  <c r="E88" i="3"/>
  <c r="F88" i="3"/>
  <c r="G88" i="3"/>
  <c r="H88" i="3"/>
  <c r="I88" i="3"/>
  <c r="J88" i="3"/>
  <c r="K88" i="3"/>
  <c r="B89" i="3"/>
  <c r="C89" i="3"/>
  <c r="D89" i="3"/>
  <c r="E89" i="3"/>
  <c r="F89" i="3"/>
  <c r="G89" i="3"/>
  <c r="H89" i="3"/>
  <c r="I89" i="3"/>
  <c r="J89" i="3"/>
  <c r="K89" i="3"/>
  <c r="B90" i="3"/>
  <c r="C90" i="3"/>
  <c r="D90" i="3"/>
  <c r="E90" i="3"/>
  <c r="F90" i="3"/>
  <c r="G90" i="3"/>
  <c r="H90" i="3"/>
  <c r="I90" i="3"/>
  <c r="J90" i="3"/>
  <c r="K90" i="3"/>
  <c r="B91" i="3"/>
  <c r="C91" i="3"/>
  <c r="D91" i="3"/>
  <c r="E91" i="3"/>
  <c r="F91" i="3"/>
  <c r="G91" i="3"/>
  <c r="H91" i="3"/>
  <c r="I91" i="3"/>
  <c r="J91" i="3"/>
  <c r="K91" i="3"/>
  <c r="B92" i="3"/>
  <c r="C92" i="3"/>
  <c r="D92" i="3"/>
  <c r="E92" i="3"/>
  <c r="F92" i="3"/>
  <c r="G92" i="3"/>
  <c r="H92" i="3"/>
  <c r="I92" i="3"/>
  <c r="J92" i="3"/>
  <c r="K92" i="3"/>
  <c r="B93" i="3"/>
  <c r="C93" i="3"/>
  <c r="D93" i="3"/>
  <c r="E93" i="3"/>
  <c r="F93" i="3"/>
  <c r="G93" i="3"/>
  <c r="H93" i="3"/>
  <c r="I93" i="3"/>
  <c r="J93" i="3"/>
  <c r="K93" i="3"/>
  <c r="B94" i="3"/>
  <c r="C94" i="3"/>
  <c r="D94" i="3"/>
  <c r="E94" i="3"/>
  <c r="F94" i="3"/>
  <c r="G94" i="3"/>
  <c r="H94" i="3"/>
  <c r="I94" i="3"/>
  <c r="J94" i="3"/>
  <c r="K94" i="3"/>
  <c r="B95" i="3"/>
  <c r="C95" i="3"/>
  <c r="D95" i="3"/>
  <c r="E95" i="3"/>
  <c r="F95" i="3"/>
  <c r="G95" i="3"/>
  <c r="H95" i="3"/>
  <c r="I95" i="3"/>
  <c r="J95" i="3"/>
  <c r="K95" i="3"/>
  <c r="B96" i="3"/>
  <c r="C96" i="3"/>
  <c r="D96" i="3"/>
  <c r="E96" i="3"/>
  <c r="F96" i="3"/>
  <c r="G96" i="3"/>
  <c r="H96" i="3"/>
  <c r="I96" i="3"/>
  <c r="J96" i="3"/>
  <c r="K96" i="3"/>
  <c r="B97" i="3"/>
  <c r="C97" i="3"/>
  <c r="D97" i="3"/>
  <c r="E97" i="3"/>
  <c r="F97" i="3"/>
  <c r="G97" i="3"/>
  <c r="H97" i="3"/>
  <c r="I97" i="3"/>
  <c r="J97" i="3"/>
  <c r="K97" i="3"/>
  <c r="B98" i="3"/>
  <c r="C98" i="3"/>
  <c r="D98" i="3"/>
  <c r="E98" i="3"/>
  <c r="F98" i="3"/>
  <c r="G98" i="3"/>
  <c r="H98" i="3"/>
  <c r="I98" i="3"/>
  <c r="J98" i="3"/>
  <c r="K98" i="3"/>
  <c r="B99" i="3"/>
  <c r="C99" i="3"/>
  <c r="D99" i="3"/>
  <c r="E99" i="3"/>
  <c r="F99" i="3"/>
  <c r="G99" i="3"/>
  <c r="H99" i="3"/>
  <c r="I99" i="3"/>
  <c r="J99" i="3"/>
  <c r="K99" i="3"/>
  <c r="B100" i="3"/>
  <c r="C100" i="3"/>
  <c r="D100" i="3"/>
  <c r="E100" i="3"/>
  <c r="F100" i="3"/>
  <c r="G100" i="3"/>
  <c r="H100" i="3"/>
  <c r="I100" i="3"/>
  <c r="J100" i="3"/>
  <c r="K100" i="3"/>
  <c r="B101" i="3"/>
  <c r="C101" i="3"/>
  <c r="D101" i="3"/>
  <c r="E101" i="3"/>
  <c r="F101" i="3"/>
  <c r="G101" i="3"/>
  <c r="H101" i="3"/>
  <c r="I101" i="3"/>
  <c r="J101" i="3"/>
  <c r="K101" i="3"/>
  <c r="B102" i="3"/>
  <c r="C102" i="3"/>
  <c r="D102" i="3"/>
  <c r="E102" i="3"/>
  <c r="F102" i="3"/>
  <c r="G102" i="3"/>
  <c r="H102" i="3"/>
  <c r="I102" i="3"/>
  <c r="J102" i="3"/>
  <c r="K102" i="3"/>
  <c r="B103" i="3"/>
  <c r="C103" i="3"/>
  <c r="D103" i="3"/>
  <c r="E103" i="3"/>
  <c r="F103" i="3"/>
  <c r="G103" i="3"/>
  <c r="H103" i="3"/>
  <c r="I103" i="3"/>
  <c r="J103" i="3"/>
  <c r="K103" i="3"/>
  <c r="B104" i="3"/>
  <c r="C104" i="3"/>
  <c r="D104" i="3"/>
  <c r="E104" i="3"/>
  <c r="F104" i="3"/>
  <c r="G104" i="3"/>
  <c r="H104" i="3"/>
  <c r="I104" i="3"/>
  <c r="J104" i="3"/>
  <c r="K104" i="3"/>
  <c r="B105" i="3"/>
  <c r="C105" i="3"/>
  <c r="D105" i="3"/>
  <c r="E105" i="3"/>
  <c r="F105" i="3"/>
  <c r="G105" i="3"/>
  <c r="H105" i="3"/>
  <c r="I105" i="3"/>
  <c r="J105" i="3"/>
  <c r="K105" i="3"/>
  <c r="B106" i="3"/>
  <c r="C106" i="3"/>
  <c r="D106" i="3"/>
  <c r="E106" i="3"/>
  <c r="F106" i="3"/>
  <c r="G106" i="3"/>
  <c r="H106" i="3"/>
  <c r="I106" i="3"/>
  <c r="J106" i="3"/>
  <c r="K106" i="3"/>
  <c r="B107" i="3"/>
  <c r="C107" i="3"/>
  <c r="D107" i="3"/>
  <c r="E107" i="3"/>
  <c r="F107" i="3"/>
  <c r="G107" i="3"/>
  <c r="H107" i="3"/>
  <c r="I107" i="3"/>
  <c r="J107" i="3"/>
  <c r="K107" i="3"/>
  <c r="B108" i="3"/>
  <c r="C108" i="3"/>
  <c r="D108" i="3"/>
  <c r="E108" i="3"/>
  <c r="F108" i="3"/>
  <c r="G108" i="3"/>
  <c r="H108" i="3"/>
  <c r="I108" i="3"/>
  <c r="J108" i="3"/>
  <c r="K108" i="3"/>
  <c r="B109" i="3"/>
  <c r="C109" i="3"/>
  <c r="D109" i="3"/>
  <c r="E109" i="3"/>
  <c r="F109" i="3"/>
  <c r="G109" i="3"/>
  <c r="H109" i="3"/>
  <c r="I109" i="3"/>
  <c r="J109" i="3"/>
  <c r="K109" i="3"/>
  <c r="B110" i="3"/>
  <c r="C110" i="3"/>
  <c r="D110" i="3"/>
  <c r="E110" i="3"/>
  <c r="F110" i="3"/>
  <c r="G110" i="3"/>
  <c r="H110" i="3"/>
  <c r="I110" i="3"/>
  <c r="J110" i="3"/>
  <c r="K110" i="3"/>
  <c r="B111" i="3"/>
  <c r="C111" i="3"/>
  <c r="D111" i="3"/>
  <c r="E111" i="3"/>
  <c r="F111" i="3"/>
  <c r="G111" i="3"/>
  <c r="H111" i="3"/>
  <c r="I111" i="3"/>
  <c r="J111" i="3"/>
  <c r="K111" i="3"/>
  <c r="B112" i="3"/>
  <c r="C112" i="3"/>
  <c r="D112" i="3"/>
  <c r="E112" i="3"/>
  <c r="F112" i="3"/>
  <c r="G112" i="3"/>
  <c r="H112" i="3"/>
  <c r="I112" i="3"/>
  <c r="J112" i="3"/>
  <c r="K112" i="3"/>
  <c r="B113" i="3"/>
  <c r="C113" i="3"/>
  <c r="D113" i="3"/>
  <c r="E113" i="3"/>
  <c r="F113" i="3"/>
  <c r="G113" i="3"/>
  <c r="H113" i="3"/>
  <c r="I113" i="3"/>
  <c r="J113" i="3"/>
  <c r="K113" i="3"/>
  <c r="B114" i="3"/>
  <c r="C114" i="3"/>
  <c r="D114" i="3"/>
  <c r="E114" i="3"/>
  <c r="F114" i="3"/>
  <c r="G114" i="3"/>
  <c r="H114" i="3"/>
  <c r="I114" i="3"/>
  <c r="J114" i="3"/>
  <c r="K114" i="3"/>
  <c r="B115" i="3"/>
  <c r="C115" i="3"/>
  <c r="D115" i="3"/>
  <c r="E115" i="3"/>
  <c r="F115" i="3"/>
  <c r="G115" i="3"/>
  <c r="H115" i="3"/>
  <c r="I115" i="3"/>
  <c r="J115" i="3"/>
  <c r="K115" i="3"/>
  <c r="B116" i="3"/>
  <c r="C116" i="3"/>
  <c r="D116" i="3"/>
  <c r="E116" i="3"/>
  <c r="F116" i="3"/>
  <c r="G116" i="3"/>
  <c r="H116" i="3"/>
  <c r="I116" i="3"/>
  <c r="J116" i="3"/>
  <c r="K116" i="3"/>
  <c r="B117" i="3"/>
  <c r="C117" i="3"/>
  <c r="D117" i="3"/>
  <c r="E117" i="3"/>
  <c r="F117" i="3"/>
  <c r="G117" i="3"/>
  <c r="H117" i="3"/>
  <c r="I117" i="3"/>
  <c r="J117" i="3"/>
  <c r="K117" i="3"/>
  <c r="B118" i="3"/>
  <c r="C118" i="3"/>
  <c r="D118" i="3"/>
  <c r="E118" i="3"/>
  <c r="F118" i="3"/>
  <c r="G118" i="3"/>
  <c r="H118" i="3"/>
  <c r="I118" i="3"/>
  <c r="J118" i="3"/>
  <c r="K118" i="3"/>
  <c r="B119" i="3"/>
  <c r="C119" i="3"/>
  <c r="D119" i="3"/>
  <c r="E119" i="3"/>
  <c r="F119" i="3"/>
  <c r="G119" i="3"/>
  <c r="H119" i="3"/>
  <c r="I119" i="3"/>
  <c r="J119" i="3"/>
  <c r="K119" i="3"/>
  <c r="B120" i="3"/>
  <c r="C120" i="3"/>
  <c r="D120" i="3"/>
  <c r="E120" i="3"/>
  <c r="F120" i="3"/>
  <c r="G120" i="3"/>
  <c r="H120" i="3"/>
  <c r="I120" i="3"/>
  <c r="J120" i="3"/>
  <c r="K120" i="3"/>
  <c r="B121" i="3"/>
  <c r="C121" i="3"/>
  <c r="D121" i="3"/>
  <c r="E121" i="3"/>
  <c r="F121" i="3"/>
  <c r="G121" i="3"/>
  <c r="H121" i="3"/>
  <c r="I121" i="3"/>
  <c r="J121" i="3"/>
  <c r="K121" i="3"/>
  <c r="B122" i="3"/>
  <c r="C122" i="3"/>
  <c r="D122" i="3"/>
  <c r="E122" i="3"/>
  <c r="F122" i="3"/>
  <c r="G122" i="3"/>
  <c r="H122" i="3"/>
  <c r="I122" i="3"/>
  <c r="J122" i="3"/>
  <c r="K122" i="3"/>
  <c r="B123" i="3"/>
  <c r="C123" i="3"/>
  <c r="D123" i="3"/>
  <c r="E123" i="3"/>
  <c r="F123" i="3"/>
  <c r="G123" i="3"/>
  <c r="H123" i="3"/>
  <c r="I123" i="3"/>
  <c r="J123" i="3"/>
  <c r="K123" i="3"/>
  <c r="B124" i="3"/>
  <c r="C124" i="3"/>
  <c r="D124" i="3"/>
  <c r="E124" i="3"/>
  <c r="F124" i="3"/>
  <c r="G124" i="3"/>
  <c r="H124" i="3"/>
  <c r="I124" i="3"/>
  <c r="J124" i="3"/>
  <c r="K124" i="3"/>
  <c r="B125" i="3"/>
  <c r="C125" i="3"/>
  <c r="D125" i="3"/>
  <c r="E125" i="3"/>
  <c r="F125" i="3"/>
  <c r="G125" i="3"/>
  <c r="H125" i="3"/>
  <c r="I125" i="3"/>
  <c r="J125" i="3"/>
  <c r="K125" i="3"/>
  <c r="B126" i="3"/>
  <c r="C126" i="3"/>
  <c r="D126" i="3"/>
  <c r="E126" i="3"/>
  <c r="F126" i="3"/>
  <c r="G126" i="3"/>
  <c r="H126" i="3"/>
  <c r="I126" i="3"/>
  <c r="J126" i="3"/>
  <c r="K126" i="3"/>
  <c r="B127" i="3"/>
  <c r="C127" i="3"/>
  <c r="D127" i="3"/>
  <c r="E127" i="3"/>
  <c r="F127" i="3"/>
  <c r="G127" i="3"/>
  <c r="H127" i="3"/>
  <c r="I127" i="3"/>
  <c r="J127" i="3"/>
  <c r="K127" i="3"/>
  <c r="B128" i="3"/>
  <c r="C128" i="3"/>
  <c r="D128" i="3"/>
  <c r="E128" i="3"/>
  <c r="F128" i="3"/>
  <c r="G128" i="3"/>
  <c r="H128" i="3"/>
  <c r="I128" i="3"/>
  <c r="J128" i="3"/>
  <c r="K128" i="3"/>
  <c r="B129" i="3"/>
  <c r="C129" i="3"/>
  <c r="D129" i="3"/>
  <c r="E129" i="3"/>
  <c r="F129" i="3"/>
  <c r="G129" i="3"/>
  <c r="H129" i="3"/>
  <c r="I129" i="3"/>
  <c r="J129" i="3"/>
  <c r="K129" i="3"/>
  <c r="B130" i="3"/>
  <c r="C130" i="3"/>
  <c r="D130" i="3"/>
  <c r="E130" i="3"/>
  <c r="F130" i="3"/>
  <c r="G130" i="3"/>
  <c r="H130" i="3"/>
  <c r="I130" i="3"/>
  <c r="J130" i="3"/>
  <c r="K130" i="3"/>
  <c r="B131" i="3"/>
  <c r="C131" i="3"/>
  <c r="D131" i="3"/>
  <c r="E131" i="3"/>
  <c r="F131" i="3"/>
  <c r="G131" i="3"/>
  <c r="H131" i="3"/>
  <c r="I131" i="3"/>
  <c r="J131" i="3"/>
  <c r="K131" i="3"/>
  <c r="B132" i="3"/>
  <c r="C132" i="3"/>
  <c r="D132" i="3"/>
  <c r="E132" i="3"/>
  <c r="F132" i="3"/>
  <c r="G132" i="3"/>
  <c r="H132" i="3"/>
  <c r="I132" i="3"/>
  <c r="J132" i="3"/>
  <c r="K132" i="3"/>
  <c r="B133" i="3"/>
  <c r="C133" i="3"/>
  <c r="D133" i="3"/>
  <c r="E133" i="3"/>
  <c r="F133" i="3"/>
  <c r="G133" i="3"/>
  <c r="H133" i="3"/>
  <c r="I133" i="3"/>
  <c r="J133" i="3"/>
  <c r="K133" i="3"/>
  <c r="B134" i="3"/>
  <c r="C134" i="3"/>
  <c r="D134" i="3"/>
  <c r="E134" i="3"/>
  <c r="F134" i="3"/>
  <c r="G134" i="3"/>
  <c r="H134" i="3"/>
  <c r="I134" i="3"/>
  <c r="J134" i="3"/>
  <c r="K134" i="3"/>
  <c r="B135" i="3"/>
  <c r="C135" i="3"/>
  <c r="D135" i="3"/>
  <c r="E135" i="3"/>
  <c r="F135" i="3"/>
  <c r="G135" i="3"/>
  <c r="H135" i="3"/>
  <c r="I135" i="3"/>
  <c r="J135" i="3"/>
  <c r="K135" i="3"/>
  <c r="B136" i="3"/>
  <c r="C136" i="3"/>
  <c r="D136" i="3"/>
  <c r="E136" i="3"/>
  <c r="F136" i="3"/>
  <c r="G136" i="3"/>
  <c r="H136" i="3"/>
  <c r="I136" i="3"/>
  <c r="J136" i="3"/>
  <c r="K136" i="3"/>
  <c r="B137" i="3"/>
  <c r="C137" i="3"/>
  <c r="D137" i="3"/>
  <c r="E137" i="3"/>
  <c r="F137" i="3"/>
  <c r="G137" i="3"/>
  <c r="H137" i="3"/>
  <c r="I137" i="3"/>
  <c r="J137" i="3"/>
  <c r="K137" i="3"/>
  <c r="B138" i="3"/>
  <c r="C138" i="3"/>
  <c r="D138" i="3"/>
  <c r="E138" i="3"/>
  <c r="F138" i="3"/>
  <c r="G138" i="3"/>
  <c r="H138" i="3"/>
  <c r="I138" i="3"/>
  <c r="J138" i="3"/>
  <c r="K138" i="3"/>
  <c r="B139" i="3"/>
  <c r="C139" i="3"/>
  <c r="D139" i="3"/>
  <c r="E139" i="3"/>
  <c r="F139" i="3"/>
  <c r="G139" i="3"/>
  <c r="H139" i="3"/>
  <c r="I139" i="3"/>
  <c r="J139" i="3"/>
  <c r="K139" i="3"/>
  <c r="B140" i="3"/>
  <c r="C140" i="3"/>
  <c r="D140" i="3"/>
  <c r="E140" i="3"/>
  <c r="F140" i="3"/>
  <c r="G140" i="3"/>
  <c r="H140" i="3"/>
  <c r="I140" i="3"/>
  <c r="J140" i="3"/>
  <c r="K140" i="3"/>
  <c r="B141" i="3"/>
  <c r="C141" i="3"/>
  <c r="D141" i="3"/>
  <c r="E141" i="3"/>
  <c r="F141" i="3"/>
  <c r="G141" i="3"/>
  <c r="H141" i="3"/>
  <c r="I141" i="3"/>
  <c r="J141" i="3"/>
  <c r="K141" i="3"/>
  <c r="B142" i="3"/>
  <c r="C142" i="3"/>
  <c r="D142" i="3"/>
  <c r="E142" i="3"/>
  <c r="F142" i="3"/>
  <c r="G142" i="3"/>
  <c r="H142" i="3"/>
  <c r="I142" i="3"/>
  <c r="J142" i="3"/>
  <c r="K142" i="3"/>
  <c r="B143" i="3"/>
  <c r="C143" i="3"/>
  <c r="D143" i="3"/>
  <c r="E143" i="3"/>
  <c r="F143" i="3"/>
  <c r="G143" i="3"/>
  <c r="H143" i="3"/>
  <c r="I143" i="3"/>
  <c r="J143" i="3"/>
  <c r="K143" i="3"/>
  <c r="B144" i="3"/>
  <c r="C144" i="3"/>
  <c r="D144" i="3"/>
  <c r="E144" i="3"/>
  <c r="F144" i="3"/>
  <c r="G144" i="3"/>
  <c r="H144" i="3"/>
  <c r="I144" i="3"/>
  <c r="J144" i="3"/>
  <c r="K144" i="3"/>
  <c r="B145" i="3"/>
  <c r="C145" i="3"/>
  <c r="D145" i="3"/>
  <c r="E145" i="3"/>
  <c r="F145" i="3"/>
  <c r="G145" i="3"/>
  <c r="H145" i="3"/>
  <c r="I145" i="3"/>
  <c r="J145" i="3"/>
  <c r="K145" i="3"/>
  <c r="B146" i="3"/>
  <c r="C146" i="3"/>
  <c r="D146" i="3"/>
  <c r="E146" i="3"/>
  <c r="F146" i="3"/>
  <c r="G146" i="3"/>
  <c r="H146" i="3"/>
  <c r="I146" i="3"/>
  <c r="J146" i="3"/>
  <c r="K146" i="3"/>
  <c r="B147" i="3"/>
  <c r="C147" i="3"/>
  <c r="D147" i="3"/>
  <c r="E147" i="3"/>
  <c r="F147" i="3"/>
  <c r="G147" i="3"/>
  <c r="H147" i="3"/>
  <c r="I147" i="3"/>
  <c r="J147" i="3"/>
  <c r="K147" i="3"/>
  <c r="B148" i="3"/>
  <c r="C148" i="3"/>
  <c r="D148" i="3"/>
  <c r="E148" i="3"/>
  <c r="F148" i="3"/>
  <c r="G148" i="3"/>
  <c r="H148" i="3"/>
  <c r="I148" i="3"/>
  <c r="J148" i="3"/>
  <c r="K148" i="3"/>
  <c r="B149" i="3"/>
  <c r="C149" i="3"/>
  <c r="D149" i="3"/>
  <c r="E149" i="3"/>
  <c r="F149" i="3"/>
  <c r="G149" i="3"/>
  <c r="H149" i="3"/>
  <c r="I149" i="3"/>
  <c r="J149" i="3"/>
  <c r="K149" i="3"/>
  <c r="B150" i="3"/>
  <c r="C150" i="3"/>
  <c r="D150" i="3"/>
  <c r="E150" i="3"/>
  <c r="F150" i="3"/>
  <c r="G150" i="3"/>
  <c r="H150" i="3"/>
  <c r="I150" i="3"/>
  <c r="J150" i="3"/>
  <c r="K150" i="3"/>
  <c r="B151" i="3"/>
  <c r="C151" i="3"/>
  <c r="D151" i="3"/>
  <c r="E151" i="3"/>
  <c r="F151" i="3"/>
  <c r="G151" i="3"/>
  <c r="H151" i="3"/>
  <c r="I151" i="3"/>
  <c r="J151" i="3"/>
  <c r="K151" i="3"/>
  <c r="B152" i="3"/>
  <c r="C152" i="3"/>
  <c r="D152" i="3"/>
  <c r="E152" i="3"/>
  <c r="F152" i="3"/>
  <c r="G152" i="3"/>
  <c r="H152" i="3"/>
  <c r="I152" i="3"/>
  <c r="J152" i="3"/>
  <c r="K152" i="3"/>
  <c r="B153" i="3"/>
  <c r="C153" i="3"/>
  <c r="D153" i="3"/>
  <c r="E153" i="3"/>
  <c r="F153" i="3"/>
  <c r="G153" i="3"/>
  <c r="H153" i="3"/>
  <c r="I153" i="3"/>
  <c r="J153" i="3"/>
  <c r="K153" i="3"/>
  <c r="B154" i="3"/>
  <c r="C154" i="3"/>
  <c r="D154" i="3"/>
  <c r="E154" i="3"/>
  <c r="F154" i="3"/>
  <c r="G154" i="3"/>
  <c r="H154" i="3"/>
  <c r="I154" i="3"/>
  <c r="J154" i="3"/>
  <c r="K154" i="3"/>
  <c r="B155" i="3"/>
  <c r="C155" i="3"/>
  <c r="D155" i="3"/>
  <c r="E155" i="3"/>
  <c r="F155" i="3"/>
  <c r="G155" i="3"/>
  <c r="H155" i="3"/>
  <c r="I155" i="3"/>
  <c r="J155" i="3"/>
  <c r="K155" i="3"/>
  <c r="B156" i="3"/>
  <c r="C156" i="3"/>
  <c r="D156" i="3"/>
  <c r="E156" i="3"/>
  <c r="F156" i="3"/>
  <c r="G156" i="3"/>
  <c r="H156" i="3"/>
  <c r="I156" i="3"/>
  <c r="J156" i="3"/>
  <c r="K156" i="3"/>
  <c r="B157" i="3"/>
  <c r="C157" i="3"/>
  <c r="D157" i="3"/>
  <c r="E157" i="3"/>
  <c r="F157" i="3"/>
  <c r="G157" i="3"/>
  <c r="H157" i="3"/>
  <c r="I157" i="3"/>
  <c r="J157" i="3"/>
  <c r="K157" i="3"/>
  <c r="B158" i="3"/>
  <c r="C158" i="3"/>
  <c r="D158" i="3"/>
  <c r="E158" i="3"/>
  <c r="F158" i="3"/>
  <c r="G158" i="3"/>
  <c r="H158" i="3"/>
  <c r="I158" i="3"/>
  <c r="J158" i="3"/>
  <c r="K158" i="3"/>
  <c r="B159" i="3"/>
  <c r="C159" i="3"/>
  <c r="D159" i="3"/>
  <c r="E159" i="3"/>
  <c r="F159" i="3"/>
  <c r="G159" i="3"/>
  <c r="H159" i="3"/>
  <c r="I159" i="3"/>
  <c r="J159" i="3"/>
  <c r="K159" i="3"/>
  <c r="B160" i="3"/>
  <c r="C160" i="3"/>
  <c r="D160" i="3"/>
  <c r="E160" i="3"/>
  <c r="F160" i="3"/>
  <c r="G160" i="3"/>
  <c r="H160" i="3"/>
  <c r="I160" i="3"/>
  <c r="J160" i="3"/>
  <c r="K160" i="3"/>
  <c r="B161" i="3"/>
  <c r="C161" i="3"/>
  <c r="D161" i="3"/>
  <c r="E161" i="3"/>
  <c r="F161" i="3"/>
  <c r="G161" i="3"/>
  <c r="H161" i="3"/>
  <c r="I161" i="3"/>
  <c r="J161" i="3"/>
  <c r="K161" i="3"/>
  <c r="B162" i="3"/>
  <c r="C162" i="3"/>
  <c r="D162" i="3"/>
  <c r="E162" i="3"/>
  <c r="F162" i="3"/>
  <c r="G162" i="3"/>
  <c r="H162" i="3"/>
  <c r="I162" i="3"/>
  <c r="J162" i="3"/>
  <c r="K162" i="3"/>
  <c r="B163" i="3"/>
  <c r="C163" i="3"/>
  <c r="D163" i="3"/>
  <c r="E163" i="3"/>
  <c r="F163" i="3"/>
  <c r="G163" i="3"/>
  <c r="H163" i="3"/>
  <c r="I163" i="3"/>
  <c r="J163" i="3"/>
  <c r="K163" i="3"/>
  <c r="B164" i="3"/>
  <c r="C164" i="3"/>
  <c r="D164" i="3"/>
  <c r="E164" i="3"/>
  <c r="F164" i="3"/>
  <c r="G164" i="3"/>
  <c r="H164" i="3"/>
  <c r="I164" i="3"/>
  <c r="J164" i="3"/>
  <c r="K164" i="3"/>
  <c r="B165" i="3"/>
  <c r="C165" i="3"/>
  <c r="D165" i="3"/>
  <c r="E165" i="3"/>
  <c r="F165" i="3"/>
  <c r="G165" i="3"/>
  <c r="H165" i="3"/>
  <c r="I165" i="3"/>
  <c r="J165" i="3"/>
  <c r="K165" i="3"/>
  <c r="B166" i="3"/>
  <c r="C166" i="3"/>
  <c r="D166" i="3"/>
  <c r="E166" i="3"/>
  <c r="F166" i="3"/>
  <c r="G166" i="3"/>
  <c r="H166" i="3"/>
  <c r="I166" i="3"/>
  <c r="J166" i="3"/>
  <c r="K166" i="3"/>
  <c r="B167" i="3"/>
  <c r="C167" i="3"/>
  <c r="D167" i="3"/>
  <c r="E167" i="3"/>
  <c r="F167" i="3"/>
  <c r="G167" i="3"/>
  <c r="H167" i="3"/>
  <c r="I167" i="3"/>
  <c r="J167" i="3"/>
  <c r="K167" i="3"/>
  <c r="B168" i="3"/>
  <c r="C168" i="3"/>
  <c r="D168" i="3"/>
  <c r="E168" i="3"/>
  <c r="F168" i="3"/>
  <c r="G168" i="3"/>
  <c r="H168" i="3"/>
  <c r="I168" i="3"/>
  <c r="J168" i="3"/>
  <c r="K168" i="3"/>
  <c r="B169" i="3"/>
  <c r="C169" i="3"/>
  <c r="D169" i="3"/>
  <c r="E169" i="3"/>
  <c r="F169" i="3"/>
  <c r="G169" i="3"/>
  <c r="H169" i="3"/>
  <c r="I169" i="3"/>
  <c r="J169" i="3"/>
  <c r="K169" i="3"/>
  <c r="B170" i="3"/>
  <c r="C170" i="3"/>
  <c r="D170" i="3"/>
  <c r="E170" i="3"/>
  <c r="F170" i="3"/>
  <c r="G170" i="3"/>
  <c r="H170" i="3"/>
  <c r="I170" i="3"/>
  <c r="J170" i="3"/>
  <c r="K170" i="3"/>
  <c r="B171" i="3"/>
  <c r="C171" i="3"/>
  <c r="D171" i="3"/>
  <c r="E171" i="3"/>
  <c r="F171" i="3"/>
  <c r="G171" i="3"/>
  <c r="H171" i="3"/>
  <c r="I171" i="3"/>
  <c r="J171" i="3"/>
  <c r="K171" i="3"/>
  <c r="B172" i="3"/>
  <c r="C172" i="3"/>
  <c r="D172" i="3"/>
  <c r="E172" i="3"/>
  <c r="F172" i="3"/>
  <c r="G172" i="3"/>
  <c r="H172" i="3"/>
  <c r="I172" i="3"/>
  <c r="J172" i="3"/>
  <c r="K172" i="3"/>
  <c r="B173" i="3"/>
  <c r="C173" i="3"/>
  <c r="D173" i="3"/>
  <c r="E173" i="3"/>
  <c r="F173" i="3"/>
  <c r="G173" i="3"/>
  <c r="H173" i="3"/>
  <c r="I173" i="3"/>
  <c r="J173" i="3"/>
  <c r="K173" i="3"/>
  <c r="B174" i="3"/>
  <c r="C174" i="3"/>
  <c r="D174" i="3"/>
  <c r="E174" i="3"/>
  <c r="F174" i="3"/>
  <c r="G174" i="3"/>
  <c r="H174" i="3"/>
  <c r="I174" i="3"/>
  <c r="J174" i="3"/>
  <c r="K174" i="3"/>
  <c r="B175" i="3"/>
  <c r="C175" i="3"/>
  <c r="D175" i="3"/>
  <c r="E175" i="3"/>
  <c r="F175" i="3"/>
  <c r="G175" i="3"/>
  <c r="H175" i="3"/>
  <c r="I175" i="3"/>
  <c r="J175" i="3"/>
  <c r="K175" i="3"/>
  <c r="B176" i="3"/>
  <c r="C176" i="3"/>
  <c r="D176" i="3"/>
  <c r="E176" i="3"/>
  <c r="F176" i="3"/>
  <c r="G176" i="3"/>
  <c r="H176" i="3"/>
  <c r="I176" i="3"/>
  <c r="J176" i="3"/>
  <c r="K176" i="3"/>
  <c r="B177" i="3"/>
  <c r="C177" i="3"/>
  <c r="D177" i="3"/>
  <c r="E177" i="3"/>
  <c r="F177" i="3"/>
  <c r="G177" i="3"/>
  <c r="H177" i="3"/>
  <c r="I177" i="3"/>
  <c r="J177" i="3"/>
  <c r="K177" i="3"/>
  <c r="B178" i="3"/>
  <c r="C178" i="3"/>
  <c r="D178" i="3"/>
  <c r="E178" i="3"/>
  <c r="F178" i="3"/>
  <c r="G178" i="3"/>
  <c r="H178" i="3"/>
  <c r="I178" i="3"/>
  <c r="J178" i="3"/>
  <c r="K178" i="3"/>
  <c r="B179" i="3"/>
  <c r="C179" i="3"/>
  <c r="D179" i="3"/>
  <c r="E179" i="3"/>
  <c r="F179" i="3"/>
  <c r="G179" i="3"/>
  <c r="H179" i="3"/>
  <c r="I179" i="3"/>
  <c r="J179" i="3"/>
  <c r="K179" i="3"/>
  <c r="B180" i="3"/>
  <c r="C180" i="3"/>
  <c r="D180" i="3"/>
  <c r="E180" i="3"/>
  <c r="F180" i="3"/>
  <c r="G180" i="3"/>
  <c r="H180" i="3"/>
  <c r="I180" i="3"/>
  <c r="J180" i="3"/>
  <c r="K180" i="3"/>
  <c r="B181" i="3"/>
  <c r="C181" i="3"/>
  <c r="D181" i="3"/>
  <c r="E181" i="3"/>
  <c r="F181" i="3"/>
  <c r="G181" i="3"/>
  <c r="H181" i="3"/>
  <c r="I181" i="3"/>
  <c r="J181" i="3"/>
  <c r="K181" i="3"/>
  <c r="B182" i="3"/>
  <c r="C182" i="3"/>
  <c r="D182" i="3"/>
  <c r="E182" i="3"/>
  <c r="F182" i="3"/>
  <c r="G182" i="3"/>
  <c r="H182" i="3"/>
  <c r="I182" i="3"/>
  <c r="J182" i="3"/>
  <c r="K182" i="3"/>
  <c r="B183" i="3"/>
  <c r="C183" i="3"/>
  <c r="D183" i="3"/>
  <c r="E183" i="3"/>
  <c r="F183" i="3"/>
  <c r="G183" i="3"/>
  <c r="H183" i="3"/>
  <c r="I183" i="3"/>
  <c r="J183" i="3"/>
  <c r="K183" i="3"/>
  <c r="B184" i="3"/>
  <c r="C184" i="3"/>
  <c r="D184" i="3"/>
  <c r="E184" i="3"/>
  <c r="F184" i="3"/>
  <c r="G184" i="3"/>
  <c r="H184" i="3"/>
  <c r="I184" i="3"/>
  <c r="J184" i="3"/>
  <c r="K184" i="3"/>
  <c r="B185" i="3"/>
  <c r="C185" i="3"/>
  <c r="D185" i="3"/>
  <c r="E185" i="3"/>
  <c r="F185" i="3"/>
  <c r="G185" i="3"/>
  <c r="H185" i="3"/>
  <c r="I185" i="3"/>
  <c r="J185" i="3"/>
  <c r="K185" i="3"/>
  <c r="B186" i="3"/>
  <c r="C186" i="3"/>
  <c r="D186" i="3"/>
  <c r="E186" i="3"/>
  <c r="F186" i="3"/>
  <c r="G186" i="3"/>
  <c r="H186" i="3"/>
  <c r="I186" i="3"/>
  <c r="J186" i="3"/>
  <c r="K186" i="3"/>
  <c r="B187" i="3"/>
  <c r="C187" i="3"/>
  <c r="D187" i="3"/>
  <c r="E187" i="3"/>
  <c r="F187" i="3"/>
  <c r="G187" i="3"/>
  <c r="H187" i="3"/>
  <c r="I187" i="3"/>
  <c r="J187" i="3"/>
  <c r="K187" i="3"/>
  <c r="B188" i="3"/>
  <c r="C188" i="3"/>
  <c r="D188" i="3"/>
  <c r="E188" i="3"/>
  <c r="F188" i="3"/>
  <c r="G188" i="3"/>
  <c r="H188" i="3"/>
  <c r="I188" i="3"/>
  <c r="J188" i="3"/>
  <c r="K188" i="3"/>
  <c r="B189" i="3"/>
  <c r="C189" i="3"/>
  <c r="D189" i="3"/>
  <c r="E189" i="3"/>
  <c r="F189" i="3"/>
  <c r="G189" i="3"/>
  <c r="H189" i="3"/>
  <c r="I189" i="3"/>
  <c r="J189" i="3"/>
  <c r="K189" i="3"/>
  <c r="B190" i="3"/>
  <c r="C190" i="3"/>
  <c r="D190" i="3"/>
  <c r="E190" i="3"/>
  <c r="F190" i="3"/>
  <c r="G190" i="3"/>
  <c r="H190" i="3"/>
  <c r="I190" i="3"/>
  <c r="J190" i="3"/>
  <c r="K190" i="3"/>
  <c r="B191" i="3"/>
  <c r="C191" i="3"/>
  <c r="D191" i="3"/>
  <c r="E191" i="3"/>
  <c r="F191" i="3"/>
  <c r="G191" i="3"/>
  <c r="H191" i="3"/>
  <c r="I191" i="3"/>
  <c r="J191" i="3"/>
  <c r="K191" i="3"/>
  <c r="B192" i="3"/>
  <c r="C192" i="3"/>
  <c r="D192" i="3"/>
  <c r="E192" i="3"/>
  <c r="F192" i="3"/>
  <c r="G192" i="3"/>
  <c r="H192" i="3"/>
  <c r="I192" i="3"/>
  <c r="J192" i="3"/>
  <c r="K192" i="3"/>
  <c r="B193" i="3"/>
  <c r="C193" i="3"/>
  <c r="D193" i="3"/>
  <c r="E193" i="3"/>
  <c r="F193" i="3"/>
  <c r="G193" i="3"/>
  <c r="H193" i="3"/>
  <c r="I193" i="3"/>
  <c r="J193" i="3"/>
  <c r="K193" i="3"/>
  <c r="B194" i="3"/>
  <c r="C194" i="3"/>
  <c r="D194" i="3"/>
  <c r="E194" i="3"/>
  <c r="F194" i="3"/>
  <c r="G194" i="3"/>
  <c r="H194" i="3"/>
  <c r="I194" i="3"/>
  <c r="J194" i="3"/>
  <c r="K194" i="3"/>
  <c r="B195" i="3"/>
  <c r="C195" i="3"/>
  <c r="D195" i="3"/>
  <c r="E195" i="3"/>
  <c r="F195" i="3"/>
  <c r="G195" i="3"/>
  <c r="H195" i="3"/>
  <c r="I195" i="3"/>
  <c r="J195" i="3"/>
  <c r="K195" i="3"/>
  <c r="B196" i="3"/>
  <c r="C196" i="3"/>
  <c r="D196" i="3"/>
  <c r="E196" i="3"/>
  <c r="F196" i="3"/>
  <c r="G196" i="3"/>
  <c r="H196" i="3"/>
  <c r="I196" i="3"/>
  <c r="J196" i="3"/>
  <c r="K196" i="3"/>
  <c r="B197" i="3"/>
  <c r="C197" i="3"/>
  <c r="D197" i="3"/>
  <c r="E197" i="3"/>
  <c r="F197" i="3"/>
  <c r="G197" i="3"/>
  <c r="H197" i="3"/>
  <c r="I197" i="3"/>
  <c r="J197" i="3"/>
  <c r="K197" i="3"/>
  <c r="B198" i="3"/>
  <c r="C198" i="3"/>
  <c r="D198" i="3"/>
  <c r="E198" i="3"/>
  <c r="F198" i="3"/>
  <c r="G198" i="3"/>
  <c r="H198" i="3"/>
  <c r="I198" i="3"/>
  <c r="J198" i="3"/>
  <c r="K198" i="3"/>
  <c r="B199" i="3"/>
  <c r="C199" i="3"/>
  <c r="D199" i="3"/>
  <c r="E199" i="3"/>
  <c r="F199" i="3"/>
  <c r="G199" i="3"/>
  <c r="H199" i="3"/>
  <c r="I199" i="3"/>
  <c r="J199" i="3"/>
  <c r="K199" i="3"/>
  <c r="B200" i="3"/>
  <c r="C200" i="3"/>
  <c r="D200" i="3"/>
  <c r="E200" i="3"/>
  <c r="F200" i="3"/>
  <c r="G200" i="3"/>
  <c r="H200" i="3"/>
  <c r="I200" i="3"/>
  <c r="J200" i="3"/>
  <c r="K200" i="3"/>
  <c r="B201" i="3"/>
  <c r="C201" i="3"/>
  <c r="D201" i="3"/>
  <c r="E201" i="3"/>
  <c r="F201" i="3"/>
  <c r="G201" i="3"/>
  <c r="H201" i="3"/>
  <c r="I201" i="3"/>
  <c r="J201" i="3"/>
  <c r="K201" i="3"/>
  <c r="B202" i="3"/>
  <c r="C202" i="3"/>
  <c r="D202" i="3"/>
  <c r="E202" i="3"/>
  <c r="F202" i="3"/>
  <c r="G202" i="3"/>
  <c r="H202" i="3"/>
  <c r="I202" i="3"/>
  <c r="J202" i="3"/>
  <c r="K202" i="3"/>
  <c r="B203" i="3"/>
  <c r="C203" i="3"/>
  <c r="D203" i="3"/>
  <c r="E203" i="3"/>
  <c r="F203" i="3"/>
  <c r="G203" i="3"/>
  <c r="H203" i="3"/>
  <c r="I203" i="3"/>
  <c r="J203" i="3"/>
  <c r="K203" i="3"/>
  <c r="B204" i="3"/>
  <c r="C204" i="3"/>
  <c r="D204" i="3"/>
  <c r="E204" i="3"/>
  <c r="F204" i="3"/>
  <c r="G204" i="3"/>
  <c r="H204" i="3"/>
  <c r="I204" i="3"/>
  <c r="J204" i="3"/>
  <c r="K204" i="3"/>
  <c r="B205" i="3"/>
  <c r="C205" i="3"/>
  <c r="D205" i="3"/>
  <c r="E205" i="3"/>
  <c r="F205" i="3"/>
  <c r="G205" i="3"/>
  <c r="H205" i="3"/>
  <c r="I205" i="3"/>
  <c r="J205" i="3"/>
  <c r="K205" i="3"/>
  <c r="B206" i="3"/>
  <c r="C206" i="3"/>
  <c r="D206" i="3"/>
  <c r="E206" i="3"/>
  <c r="F206" i="3"/>
  <c r="G206" i="3"/>
  <c r="H206" i="3"/>
  <c r="I206" i="3"/>
  <c r="J206" i="3"/>
  <c r="K206" i="3"/>
  <c r="B207" i="3"/>
  <c r="C207" i="3"/>
  <c r="D207" i="3"/>
  <c r="E207" i="3"/>
  <c r="F207" i="3"/>
  <c r="G207" i="3"/>
  <c r="H207" i="3"/>
  <c r="I207" i="3"/>
  <c r="J207" i="3"/>
  <c r="K207" i="3"/>
  <c r="B208" i="3"/>
  <c r="C208" i="3"/>
  <c r="D208" i="3"/>
  <c r="E208" i="3"/>
  <c r="F208" i="3"/>
  <c r="G208" i="3"/>
  <c r="H208" i="3"/>
  <c r="I208" i="3"/>
  <c r="J208" i="3"/>
  <c r="K208" i="3"/>
  <c r="B209" i="3"/>
  <c r="C209" i="3"/>
  <c r="D209" i="3"/>
  <c r="E209" i="3"/>
  <c r="F209" i="3"/>
  <c r="G209" i="3"/>
  <c r="H209" i="3"/>
  <c r="I209" i="3"/>
  <c r="J209" i="3"/>
  <c r="K209" i="3"/>
  <c r="B210" i="3"/>
  <c r="C210" i="3"/>
  <c r="D210" i="3"/>
  <c r="E210" i="3"/>
  <c r="F210" i="3"/>
  <c r="G210" i="3"/>
  <c r="H210" i="3"/>
  <c r="I210" i="3"/>
  <c r="J210" i="3"/>
  <c r="K210" i="3"/>
  <c r="B211" i="3"/>
  <c r="C211" i="3"/>
  <c r="D211" i="3"/>
  <c r="E211" i="3"/>
  <c r="F211" i="3"/>
  <c r="G211" i="3"/>
  <c r="H211" i="3"/>
  <c r="I211" i="3"/>
  <c r="J211" i="3"/>
  <c r="K211" i="3"/>
  <c r="B212" i="3"/>
  <c r="C212" i="3"/>
  <c r="D212" i="3"/>
  <c r="E212" i="3"/>
  <c r="F212" i="3"/>
  <c r="G212" i="3"/>
  <c r="H212" i="3"/>
  <c r="I212" i="3"/>
  <c r="J212" i="3"/>
  <c r="K212" i="3"/>
  <c r="B213" i="3"/>
  <c r="C213" i="3"/>
  <c r="D213" i="3"/>
  <c r="E213" i="3"/>
  <c r="F213" i="3"/>
  <c r="G213" i="3"/>
  <c r="H213" i="3"/>
  <c r="I213" i="3"/>
  <c r="J213" i="3"/>
  <c r="K213" i="3"/>
  <c r="B214" i="3"/>
  <c r="C214" i="3"/>
  <c r="D214" i="3"/>
  <c r="E214" i="3"/>
  <c r="F214" i="3"/>
  <c r="G214" i="3"/>
  <c r="H214" i="3"/>
  <c r="I214" i="3"/>
  <c r="J214" i="3"/>
  <c r="K214" i="3"/>
  <c r="B215" i="3"/>
  <c r="C215" i="3"/>
  <c r="D215" i="3"/>
  <c r="E215" i="3"/>
  <c r="F215" i="3"/>
  <c r="G215" i="3"/>
  <c r="H215" i="3"/>
  <c r="I215" i="3"/>
  <c r="J215" i="3"/>
  <c r="K215" i="3"/>
  <c r="B216" i="3"/>
  <c r="C216" i="3"/>
  <c r="D216" i="3"/>
  <c r="E216" i="3"/>
  <c r="F216" i="3"/>
  <c r="G216" i="3"/>
  <c r="H216" i="3"/>
  <c r="I216" i="3"/>
  <c r="J216" i="3"/>
  <c r="K216" i="3"/>
  <c r="B217" i="3"/>
  <c r="C217" i="3"/>
  <c r="D217" i="3"/>
  <c r="E217" i="3"/>
  <c r="F217" i="3"/>
  <c r="G217" i="3"/>
  <c r="H217" i="3"/>
  <c r="I217" i="3"/>
  <c r="J217" i="3"/>
  <c r="K217" i="3"/>
  <c r="B218" i="3"/>
  <c r="C218" i="3"/>
  <c r="D218" i="3"/>
  <c r="E218" i="3"/>
  <c r="F218" i="3"/>
  <c r="G218" i="3"/>
  <c r="H218" i="3"/>
  <c r="I218" i="3"/>
  <c r="J218" i="3"/>
  <c r="K218" i="3"/>
  <c r="B219" i="3"/>
  <c r="C219" i="3"/>
  <c r="D219" i="3"/>
  <c r="E219" i="3"/>
  <c r="F219" i="3"/>
  <c r="G219" i="3"/>
  <c r="H219" i="3"/>
  <c r="I219" i="3"/>
  <c r="J219" i="3"/>
  <c r="K219" i="3"/>
  <c r="B220" i="3"/>
  <c r="C220" i="3"/>
  <c r="D220" i="3"/>
  <c r="E220" i="3"/>
  <c r="F220" i="3"/>
  <c r="G220" i="3"/>
  <c r="H220" i="3"/>
  <c r="I220" i="3"/>
  <c r="J220" i="3"/>
  <c r="K220" i="3"/>
  <c r="B221" i="3"/>
  <c r="C221" i="3"/>
  <c r="D221" i="3"/>
  <c r="E221" i="3"/>
  <c r="F221" i="3"/>
  <c r="G221" i="3"/>
  <c r="H221" i="3"/>
  <c r="I221" i="3"/>
  <c r="J221" i="3"/>
  <c r="K221" i="3"/>
  <c r="B222" i="3"/>
  <c r="C222" i="3"/>
  <c r="D222" i="3"/>
  <c r="E222" i="3"/>
  <c r="F222" i="3"/>
  <c r="G222" i="3"/>
  <c r="H222" i="3"/>
  <c r="I222" i="3"/>
  <c r="J222" i="3"/>
  <c r="K222" i="3"/>
  <c r="B223" i="3"/>
  <c r="C223" i="3"/>
  <c r="D223" i="3"/>
  <c r="E223" i="3"/>
  <c r="F223" i="3"/>
  <c r="G223" i="3"/>
  <c r="H223" i="3"/>
  <c r="I223" i="3"/>
  <c r="J223" i="3"/>
  <c r="K223" i="3"/>
  <c r="B224" i="3"/>
  <c r="C224" i="3"/>
  <c r="D224" i="3"/>
  <c r="E224" i="3"/>
  <c r="F224" i="3"/>
  <c r="G224" i="3"/>
  <c r="H224" i="3"/>
  <c r="I224" i="3"/>
  <c r="J224" i="3"/>
  <c r="K224" i="3"/>
  <c r="B225" i="3"/>
  <c r="C225" i="3"/>
  <c r="D225" i="3"/>
  <c r="E225" i="3"/>
  <c r="F225" i="3"/>
  <c r="G225" i="3"/>
  <c r="H225" i="3"/>
  <c r="I225" i="3"/>
  <c r="J225" i="3"/>
  <c r="K225" i="3"/>
  <c r="B226" i="3"/>
  <c r="C226" i="3"/>
  <c r="D226" i="3"/>
  <c r="E226" i="3"/>
  <c r="F226" i="3"/>
  <c r="G226" i="3"/>
  <c r="H226" i="3"/>
  <c r="I226" i="3"/>
  <c r="J226" i="3"/>
  <c r="K226" i="3"/>
  <c r="B227" i="3"/>
  <c r="C227" i="3"/>
  <c r="D227" i="3"/>
  <c r="E227" i="3"/>
  <c r="F227" i="3"/>
  <c r="G227" i="3"/>
  <c r="H227" i="3"/>
  <c r="I227" i="3"/>
  <c r="J227" i="3"/>
  <c r="K227" i="3"/>
  <c r="B228" i="3"/>
  <c r="C228" i="3"/>
  <c r="D228" i="3"/>
  <c r="E228" i="3"/>
  <c r="F228" i="3"/>
  <c r="G228" i="3"/>
  <c r="H228" i="3"/>
  <c r="I228" i="3"/>
  <c r="J228" i="3"/>
  <c r="K228" i="3"/>
  <c r="B229" i="3"/>
  <c r="C229" i="3"/>
  <c r="D229" i="3"/>
  <c r="E229" i="3"/>
  <c r="F229" i="3"/>
  <c r="G229" i="3"/>
  <c r="H229" i="3"/>
  <c r="I229" i="3"/>
  <c r="J229" i="3"/>
  <c r="K229" i="3"/>
  <c r="B230" i="3"/>
  <c r="C230" i="3"/>
  <c r="D230" i="3"/>
  <c r="E230" i="3"/>
  <c r="F230" i="3"/>
  <c r="G230" i="3"/>
  <c r="H230" i="3"/>
  <c r="I230" i="3"/>
  <c r="J230" i="3"/>
  <c r="K230" i="3"/>
  <c r="B231" i="3"/>
  <c r="C231" i="3"/>
  <c r="D231" i="3"/>
  <c r="E231" i="3"/>
  <c r="F231" i="3"/>
  <c r="G231" i="3"/>
  <c r="H231" i="3"/>
  <c r="I231" i="3"/>
  <c r="J231" i="3"/>
  <c r="K231" i="3"/>
  <c r="B232" i="3"/>
  <c r="C232" i="3"/>
  <c r="D232" i="3"/>
  <c r="E232" i="3"/>
  <c r="F232" i="3"/>
  <c r="G232" i="3"/>
  <c r="H232" i="3"/>
  <c r="I232" i="3"/>
  <c r="J232" i="3"/>
  <c r="K232" i="3"/>
  <c r="B233" i="3"/>
  <c r="C233" i="3"/>
  <c r="D233" i="3"/>
  <c r="E233" i="3"/>
  <c r="F233" i="3"/>
  <c r="G233" i="3"/>
  <c r="H233" i="3"/>
  <c r="I233" i="3"/>
  <c r="J233" i="3"/>
  <c r="K233" i="3"/>
  <c r="B234" i="3"/>
  <c r="C234" i="3"/>
  <c r="D234" i="3"/>
  <c r="E234" i="3"/>
  <c r="F234" i="3"/>
  <c r="G234" i="3"/>
  <c r="H234" i="3"/>
  <c r="I234" i="3"/>
  <c r="J234" i="3"/>
  <c r="K234" i="3"/>
  <c r="B235" i="3"/>
  <c r="C235" i="3"/>
  <c r="D235" i="3"/>
  <c r="E235" i="3"/>
  <c r="F235" i="3"/>
  <c r="G235" i="3"/>
  <c r="H235" i="3"/>
  <c r="I235" i="3"/>
  <c r="J235" i="3"/>
  <c r="K235" i="3"/>
  <c r="B236" i="3"/>
  <c r="C236" i="3"/>
  <c r="D236" i="3"/>
  <c r="E236" i="3"/>
  <c r="F236" i="3"/>
  <c r="G236" i="3"/>
  <c r="H236" i="3"/>
  <c r="I236" i="3"/>
  <c r="J236" i="3"/>
  <c r="K236" i="3"/>
  <c r="B237" i="3"/>
  <c r="C237" i="3"/>
  <c r="D237" i="3"/>
  <c r="E237" i="3"/>
  <c r="F237" i="3"/>
  <c r="G237" i="3"/>
  <c r="H237" i="3"/>
  <c r="I237" i="3"/>
  <c r="J237" i="3"/>
  <c r="K237" i="3"/>
  <c r="B238" i="3"/>
  <c r="C238" i="3"/>
  <c r="D238" i="3"/>
  <c r="E238" i="3"/>
  <c r="F238" i="3"/>
  <c r="G238" i="3"/>
  <c r="H238" i="3"/>
  <c r="I238" i="3"/>
  <c r="J238" i="3"/>
  <c r="K238" i="3"/>
  <c r="B239" i="3"/>
  <c r="C239" i="3"/>
  <c r="D239" i="3"/>
  <c r="E239" i="3"/>
  <c r="F239" i="3"/>
  <c r="G239" i="3"/>
  <c r="H239" i="3"/>
  <c r="I239" i="3"/>
  <c r="J239" i="3"/>
  <c r="K239" i="3"/>
  <c r="B240" i="3"/>
  <c r="C240" i="3"/>
  <c r="D240" i="3"/>
  <c r="E240" i="3"/>
  <c r="F240" i="3"/>
  <c r="G240" i="3"/>
  <c r="H240" i="3"/>
  <c r="I240" i="3"/>
  <c r="J240" i="3"/>
  <c r="K240" i="3"/>
  <c r="B241" i="3"/>
  <c r="C241" i="3"/>
  <c r="D241" i="3"/>
  <c r="E241" i="3"/>
  <c r="F241" i="3"/>
  <c r="G241" i="3"/>
  <c r="H241" i="3"/>
  <c r="I241" i="3"/>
  <c r="J241" i="3"/>
  <c r="K241" i="3"/>
  <c r="B242" i="3"/>
  <c r="C242" i="3"/>
  <c r="D242" i="3"/>
  <c r="E242" i="3"/>
  <c r="F242" i="3"/>
  <c r="G242" i="3"/>
  <c r="H242" i="3"/>
  <c r="I242" i="3"/>
  <c r="J242" i="3"/>
  <c r="K242" i="3"/>
  <c r="B243" i="3"/>
  <c r="C243" i="3"/>
  <c r="D243" i="3"/>
  <c r="E243" i="3"/>
  <c r="F243" i="3"/>
  <c r="G243" i="3"/>
  <c r="H243" i="3"/>
  <c r="I243" i="3"/>
  <c r="J243" i="3"/>
  <c r="K243" i="3"/>
  <c r="B244" i="3"/>
  <c r="C244" i="3"/>
  <c r="D244" i="3"/>
  <c r="E244" i="3"/>
  <c r="F244" i="3"/>
  <c r="G244" i="3"/>
  <c r="H244" i="3"/>
  <c r="I244" i="3"/>
  <c r="J244" i="3"/>
  <c r="K244" i="3"/>
  <c r="B245" i="3"/>
  <c r="C245" i="3"/>
  <c r="D245" i="3"/>
  <c r="E245" i="3"/>
  <c r="F245" i="3"/>
  <c r="G245" i="3"/>
  <c r="H245" i="3"/>
  <c r="I245" i="3"/>
  <c r="J245" i="3"/>
  <c r="K245" i="3"/>
  <c r="B246" i="3"/>
  <c r="C246" i="3"/>
  <c r="D246" i="3"/>
  <c r="E246" i="3"/>
  <c r="F246" i="3"/>
  <c r="G246" i="3"/>
  <c r="H246" i="3"/>
  <c r="I246" i="3"/>
  <c r="J246" i="3"/>
  <c r="K246" i="3"/>
  <c r="B247" i="3"/>
  <c r="C247" i="3"/>
  <c r="D247" i="3"/>
  <c r="E247" i="3"/>
  <c r="F247" i="3"/>
  <c r="G247" i="3"/>
  <c r="H247" i="3"/>
  <c r="I247" i="3"/>
  <c r="J247" i="3"/>
  <c r="K247" i="3"/>
  <c r="B248" i="3"/>
  <c r="C248" i="3"/>
  <c r="D248" i="3"/>
  <c r="E248" i="3"/>
  <c r="F248" i="3"/>
  <c r="G248" i="3"/>
  <c r="H248" i="3"/>
  <c r="I248" i="3"/>
  <c r="J248" i="3"/>
  <c r="K248" i="3"/>
  <c r="B249" i="3"/>
  <c r="C249" i="3"/>
  <c r="D249" i="3"/>
  <c r="E249" i="3"/>
  <c r="F249" i="3"/>
  <c r="G249" i="3"/>
  <c r="H249" i="3"/>
  <c r="I249" i="3"/>
  <c r="J249" i="3"/>
  <c r="K249" i="3"/>
  <c r="B250" i="3"/>
  <c r="C250" i="3"/>
  <c r="D250" i="3"/>
  <c r="E250" i="3"/>
  <c r="F250" i="3"/>
  <c r="G250" i="3"/>
  <c r="H250" i="3"/>
  <c r="I250" i="3"/>
  <c r="J250" i="3"/>
  <c r="K250" i="3"/>
  <c r="B251" i="3"/>
  <c r="C251" i="3"/>
  <c r="D251" i="3"/>
  <c r="E251" i="3"/>
  <c r="F251" i="3"/>
  <c r="G251" i="3"/>
  <c r="H251" i="3"/>
  <c r="I251" i="3"/>
  <c r="J251" i="3"/>
  <c r="K251" i="3"/>
  <c r="B252" i="3"/>
  <c r="C252" i="3"/>
  <c r="D252" i="3"/>
  <c r="E252" i="3"/>
  <c r="F252" i="3"/>
  <c r="G252" i="3"/>
  <c r="H252" i="3"/>
  <c r="I252" i="3"/>
  <c r="J252" i="3"/>
  <c r="K252" i="3"/>
  <c r="B253" i="3"/>
  <c r="C253" i="3"/>
  <c r="D253" i="3"/>
  <c r="E253" i="3"/>
  <c r="F253" i="3"/>
  <c r="G253" i="3"/>
  <c r="H253" i="3"/>
  <c r="I253" i="3"/>
  <c r="J253" i="3"/>
  <c r="K253" i="3"/>
  <c r="B254" i="3"/>
  <c r="C254" i="3"/>
  <c r="D254" i="3"/>
  <c r="E254" i="3"/>
  <c r="F254" i="3"/>
  <c r="G254" i="3"/>
  <c r="H254" i="3"/>
  <c r="I254" i="3"/>
  <c r="J254" i="3"/>
  <c r="K254" i="3"/>
  <c r="B255" i="3"/>
  <c r="C255" i="3"/>
  <c r="D255" i="3"/>
  <c r="E255" i="3"/>
  <c r="F255" i="3"/>
  <c r="G255" i="3"/>
  <c r="H255" i="3"/>
  <c r="I255" i="3"/>
  <c r="J255" i="3"/>
  <c r="K255" i="3"/>
  <c r="B256" i="3"/>
  <c r="C256" i="3"/>
  <c r="D256" i="3"/>
  <c r="E256" i="3"/>
  <c r="F256" i="3"/>
  <c r="G256" i="3"/>
  <c r="H256" i="3"/>
  <c r="I256" i="3"/>
  <c r="J256" i="3"/>
  <c r="K256" i="3"/>
  <c r="B257" i="3"/>
  <c r="C257" i="3"/>
  <c r="D257" i="3"/>
  <c r="E257" i="3"/>
  <c r="F257" i="3"/>
  <c r="G257" i="3"/>
  <c r="H257" i="3"/>
  <c r="I257" i="3"/>
  <c r="J257" i="3"/>
  <c r="K257" i="3"/>
  <c r="B258" i="3"/>
  <c r="C258" i="3"/>
  <c r="D258" i="3"/>
  <c r="E258" i="3"/>
  <c r="F258" i="3"/>
  <c r="G258" i="3"/>
  <c r="H258" i="3"/>
  <c r="I258" i="3"/>
  <c r="J258" i="3"/>
  <c r="K258" i="3"/>
  <c r="B259" i="3"/>
  <c r="C259" i="3"/>
  <c r="D259" i="3"/>
  <c r="E259" i="3"/>
  <c r="F259" i="3"/>
  <c r="G259" i="3"/>
  <c r="H259" i="3"/>
  <c r="I259" i="3"/>
  <c r="J259" i="3"/>
  <c r="K259" i="3"/>
  <c r="B260" i="3"/>
  <c r="C260" i="3"/>
  <c r="D260" i="3"/>
  <c r="E260" i="3"/>
  <c r="F260" i="3"/>
  <c r="G260" i="3"/>
  <c r="H260" i="3"/>
  <c r="I260" i="3"/>
  <c r="J260" i="3"/>
  <c r="K260" i="3"/>
  <c r="B261" i="3"/>
  <c r="C261" i="3"/>
  <c r="D261" i="3"/>
  <c r="E261" i="3"/>
  <c r="F261" i="3"/>
  <c r="G261" i="3"/>
  <c r="H261" i="3"/>
  <c r="I261" i="3"/>
  <c r="J261" i="3"/>
  <c r="K261" i="3"/>
  <c r="B262" i="3"/>
  <c r="C262" i="3"/>
  <c r="D262" i="3"/>
  <c r="E262" i="3"/>
  <c r="F262" i="3"/>
  <c r="G262" i="3"/>
  <c r="H262" i="3"/>
  <c r="I262" i="3"/>
  <c r="J262" i="3"/>
  <c r="K262" i="3"/>
  <c r="B263" i="3"/>
  <c r="C263" i="3"/>
  <c r="D263" i="3"/>
  <c r="E263" i="3"/>
  <c r="F263" i="3"/>
  <c r="G263" i="3"/>
  <c r="H263" i="3"/>
  <c r="I263" i="3"/>
  <c r="J263" i="3"/>
  <c r="K263" i="3"/>
  <c r="B264" i="3"/>
  <c r="C264" i="3"/>
  <c r="D264" i="3"/>
  <c r="E264" i="3"/>
  <c r="F264" i="3"/>
  <c r="G264" i="3"/>
  <c r="H264" i="3"/>
  <c r="I264" i="3"/>
  <c r="J264" i="3"/>
  <c r="K264" i="3"/>
  <c r="B265" i="3"/>
  <c r="C265" i="3"/>
  <c r="D265" i="3"/>
  <c r="E265" i="3"/>
  <c r="F265" i="3"/>
  <c r="G265" i="3"/>
  <c r="H265" i="3"/>
  <c r="I265" i="3"/>
  <c r="J265" i="3"/>
  <c r="K265" i="3"/>
  <c r="B266" i="3"/>
  <c r="C266" i="3"/>
  <c r="D266" i="3"/>
  <c r="E266" i="3"/>
  <c r="F266" i="3"/>
  <c r="G266" i="3"/>
  <c r="H266" i="3"/>
  <c r="I266" i="3"/>
  <c r="J266" i="3"/>
  <c r="K266" i="3"/>
  <c r="B267" i="3"/>
  <c r="C267" i="3"/>
  <c r="D267" i="3"/>
  <c r="E267" i="3"/>
  <c r="F267" i="3"/>
  <c r="G267" i="3"/>
  <c r="H267" i="3"/>
  <c r="I267" i="3"/>
  <c r="J267" i="3"/>
  <c r="K267" i="3"/>
  <c r="B268" i="3"/>
  <c r="C268" i="3"/>
  <c r="D268" i="3"/>
  <c r="E268" i="3"/>
  <c r="F268" i="3"/>
  <c r="G268" i="3"/>
  <c r="H268" i="3"/>
  <c r="I268" i="3"/>
  <c r="J268" i="3"/>
  <c r="K268" i="3"/>
  <c r="B269" i="3"/>
  <c r="C269" i="3"/>
  <c r="D269" i="3"/>
  <c r="E269" i="3"/>
  <c r="F269" i="3"/>
  <c r="G269" i="3"/>
  <c r="H269" i="3"/>
  <c r="I269" i="3"/>
  <c r="J269" i="3"/>
  <c r="K269" i="3"/>
  <c r="B270" i="3"/>
  <c r="C270" i="3"/>
  <c r="D270" i="3"/>
  <c r="E270" i="3"/>
  <c r="F270" i="3"/>
  <c r="G270" i="3"/>
  <c r="H270" i="3"/>
  <c r="I270" i="3"/>
  <c r="J270" i="3"/>
  <c r="K270" i="3"/>
  <c r="B271" i="3"/>
  <c r="C271" i="3"/>
  <c r="D271" i="3"/>
  <c r="E271" i="3"/>
  <c r="F271" i="3"/>
  <c r="G271" i="3"/>
  <c r="H271" i="3"/>
  <c r="I271" i="3"/>
  <c r="J271" i="3"/>
  <c r="K271" i="3"/>
  <c r="B272" i="3"/>
  <c r="C272" i="3"/>
  <c r="D272" i="3"/>
  <c r="E272" i="3"/>
  <c r="F272" i="3"/>
  <c r="G272" i="3"/>
  <c r="H272" i="3"/>
  <c r="I272" i="3"/>
  <c r="J272" i="3"/>
  <c r="K272" i="3"/>
  <c r="B273" i="3"/>
  <c r="C273" i="3"/>
  <c r="D273" i="3"/>
  <c r="E273" i="3"/>
  <c r="F273" i="3"/>
  <c r="G273" i="3"/>
  <c r="H273" i="3"/>
  <c r="I273" i="3"/>
  <c r="J273" i="3"/>
  <c r="K273" i="3"/>
  <c r="B274" i="3"/>
  <c r="C274" i="3"/>
  <c r="D274" i="3"/>
  <c r="E274" i="3"/>
  <c r="F274" i="3"/>
  <c r="G274" i="3"/>
  <c r="H274" i="3"/>
  <c r="I274" i="3"/>
  <c r="J274" i="3"/>
  <c r="K274" i="3"/>
  <c r="B275" i="3"/>
  <c r="C275" i="3"/>
  <c r="D275" i="3"/>
  <c r="E275" i="3"/>
  <c r="F275" i="3"/>
  <c r="G275" i="3"/>
  <c r="H275" i="3"/>
  <c r="I275" i="3"/>
  <c r="J275" i="3"/>
  <c r="K275" i="3"/>
  <c r="B276" i="3"/>
  <c r="C276" i="3"/>
  <c r="D276" i="3"/>
  <c r="E276" i="3"/>
  <c r="F276" i="3"/>
  <c r="G276" i="3"/>
  <c r="H276" i="3"/>
  <c r="I276" i="3"/>
  <c r="J276" i="3"/>
  <c r="K276" i="3"/>
  <c r="B277" i="3"/>
  <c r="C277" i="3"/>
  <c r="D277" i="3"/>
  <c r="E277" i="3"/>
  <c r="F277" i="3"/>
  <c r="G277" i="3"/>
  <c r="H277" i="3"/>
  <c r="I277" i="3"/>
  <c r="J277" i="3"/>
  <c r="K277" i="3"/>
  <c r="B278" i="3"/>
  <c r="C278" i="3"/>
  <c r="D278" i="3"/>
  <c r="E278" i="3"/>
  <c r="F278" i="3"/>
  <c r="G278" i="3"/>
  <c r="H278" i="3"/>
  <c r="I278" i="3"/>
  <c r="J278" i="3"/>
  <c r="K278" i="3"/>
  <c r="B279" i="3"/>
  <c r="C279" i="3"/>
  <c r="D279" i="3"/>
  <c r="E279" i="3"/>
  <c r="F279" i="3"/>
  <c r="G279" i="3"/>
  <c r="H279" i="3"/>
  <c r="I279" i="3"/>
  <c r="J279" i="3"/>
  <c r="K279" i="3"/>
  <c r="B280" i="3"/>
  <c r="C280" i="3"/>
  <c r="D280" i="3"/>
  <c r="E280" i="3"/>
  <c r="F280" i="3"/>
  <c r="G280" i="3"/>
  <c r="H280" i="3"/>
  <c r="I280" i="3"/>
  <c r="J280" i="3"/>
  <c r="K280" i="3"/>
  <c r="B281" i="3"/>
  <c r="C281" i="3"/>
  <c r="D281" i="3"/>
  <c r="E281" i="3"/>
  <c r="F281" i="3"/>
  <c r="G281" i="3"/>
  <c r="H281" i="3"/>
  <c r="I281" i="3"/>
  <c r="J281" i="3"/>
  <c r="K281" i="3"/>
  <c r="B282" i="3"/>
  <c r="C282" i="3"/>
  <c r="D282" i="3"/>
  <c r="E282" i="3"/>
  <c r="F282" i="3"/>
  <c r="G282" i="3"/>
  <c r="H282" i="3"/>
  <c r="I282" i="3"/>
  <c r="J282" i="3"/>
  <c r="K282" i="3"/>
  <c r="B283" i="3"/>
  <c r="C283" i="3"/>
  <c r="D283" i="3"/>
  <c r="E283" i="3"/>
  <c r="F283" i="3"/>
  <c r="G283" i="3"/>
  <c r="H283" i="3"/>
  <c r="I283" i="3"/>
  <c r="J283" i="3"/>
  <c r="K283" i="3"/>
  <c r="B284" i="3"/>
  <c r="C284" i="3"/>
  <c r="D284" i="3"/>
  <c r="E284" i="3"/>
  <c r="F284" i="3"/>
  <c r="G284" i="3"/>
  <c r="H284" i="3"/>
  <c r="I284" i="3"/>
  <c r="J284" i="3"/>
  <c r="K284" i="3"/>
  <c r="B285" i="3"/>
  <c r="C285" i="3"/>
  <c r="D285" i="3"/>
  <c r="E285" i="3"/>
  <c r="F285" i="3"/>
  <c r="G285" i="3"/>
  <c r="H285" i="3"/>
  <c r="I285" i="3"/>
  <c r="J285" i="3"/>
  <c r="K285" i="3"/>
  <c r="B286" i="3"/>
  <c r="C286" i="3"/>
  <c r="D286" i="3"/>
  <c r="E286" i="3"/>
  <c r="F286" i="3"/>
  <c r="G286" i="3"/>
  <c r="H286" i="3"/>
  <c r="I286" i="3"/>
  <c r="J286" i="3"/>
  <c r="K286" i="3"/>
  <c r="B287" i="3"/>
  <c r="C287" i="3"/>
  <c r="D287" i="3"/>
  <c r="E287" i="3"/>
  <c r="F287" i="3"/>
  <c r="G287" i="3"/>
  <c r="H287" i="3"/>
  <c r="I287" i="3"/>
  <c r="J287" i="3"/>
  <c r="K287" i="3"/>
  <c r="B288" i="3"/>
  <c r="C288" i="3"/>
  <c r="D288" i="3"/>
  <c r="E288" i="3"/>
  <c r="F288" i="3"/>
  <c r="G288" i="3"/>
  <c r="H288" i="3"/>
  <c r="I288" i="3"/>
  <c r="J288" i="3"/>
  <c r="K288" i="3"/>
  <c r="B289" i="3"/>
  <c r="C289" i="3"/>
  <c r="D289" i="3"/>
  <c r="E289" i="3"/>
  <c r="F289" i="3"/>
  <c r="G289" i="3"/>
  <c r="H289" i="3"/>
  <c r="I289" i="3"/>
  <c r="J289" i="3"/>
  <c r="K289" i="3"/>
  <c r="B290" i="3"/>
  <c r="C290" i="3"/>
  <c r="D290" i="3"/>
  <c r="E290" i="3"/>
  <c r="F290" i="3"/>
  <c r="G290" i="3"/>
  <c r="H290" i="3"/>
  <c r="I290" i="3"/>
  <c r="J290" i="3"/>
  <c r="K290" i="3"/>
  <c r="B291" i="3"/>
  <c r="C291" i="3"/>
  <c r="D291" i="3"/>
  <c r="E291" i="3"/>
  <c r="F291" i="3"/>
  <c r="G291" i="3"/>
  <c r="H291" i="3"/>
  <c r="I291" i="3"/>
  <c r="J291" i="3"/>
  <c r="K291" i="3"/>
  <c r="B292" i="3"/>
  <c r="C292" i="3"/>
  <c r="D292" i="3"/>
  <c r="E292" i="3"/>
  <c r="F292" i="3"/>
  <c r="G292" i="3"/>
  <c r="H292" i="3"/>
  <c r="I292" i="3"/>
  <c r="J292" i="3"/>
  <c r="K292" i="3"/>
  <c r="B293" i="3"/>
  <c r="C293" i="3"/>
  <c r="D293" i="3"/>
  <c r="E293" i="3"/>
  <c r="F293" i="3"/>
  <c r="G293" i="3"/>
  <c r="H293" i="3"/>
  <c r="I293" i="3"/>
  <c r="J293" i="3"/>
  <c r="K293" i="3"/>
  <c r="B294" i="3"/>
  <c r="C294" i="3"/>
  <c r="D294" i="3"/>
  <c r="E294" i="3"/>
  <c r="F294" i="3"/>
  <c r="G294" i="3"/>
  <c r="H294" i="3"/>
  <c r="I294" i="3"/>
  <c r="J294" i="3"/>
  <c r="K294" i="3"/>
  <c r="B295" i="3"/>
  <c r="C295" i="3"/>
  <c r="D295" i="3"/>
  <c r="E295" i="3"/>
  <c r="F295" i="3"/>
  <c r="G295" i="3"/>
  <c r="H295" i="3"/>
  <c r="I295" i="3"/>
  <c r="J295" i="3"/>
  <c r="K295" i="3"/>
  <c r="B296" i="3"/>
  <c r="C296" i="3"/>
  <c r="D296" i="3"/>
  <c r="E296" i="3"/>
  <c r="F296" i="3"/>
  <c r="G296" i="3"/>
  <c r="H296" i="3"/>
  <c r="I296" i="3"/>
  <c r="J296" i="3"/>
  <c r="K296" i="3"/>
  <c r="B297" i="3"/>
  <c r="C297" i="3"/>
  <c r="D297" i="3"/>
  <c r="E297" i="3"/>
  <c r="F297" i="3"/>
  <c r="G297" i="3"/>
  <c r="H297" i="3"/>
  <c r="I297" i="3"/>
  <c r="J297" i="3"/>
  <c r="K297" i="3"/>
  <c r="B298" i="3"/>
  <c r="C298" i="3"/>
  <c r="D298" i="3"/>
  <c r="E298" i="3"/>
  <c r="F298" i="3"/>
  <c r="G298" i="3"/>
  <c r="H298" i="3"/>
  <c r="I298" i="3"/>
  <c r="J298" i="3"/>
  <c r="K298" i="3"/>
  <c r="B299" i="3"/>
  <c r="C299" i="3"/>
  <c r="D299" i="3"/>
  <c r="E299" i="3"/>
  <c r="F299" i="3"/>
  <c r="G299" i="3"/>
  <c r="H299" i="3"/>
  <c r="I299" i="3"/>
  <c r="J299" i="3"/>
  <c r="K299" i="3"/>
  <c r="B300" i="3"/>
  <c r="C300" i="3"/>
  <c r="D300" i="3"/>
  <c r="E300" i="3"/>
  <c r="F300" i="3"/>
  <c r="G300" i="3"/>
  <c r="H300" i="3"/>
  <c r="I300" i="3"/>
  <c r="J300" i="3"/>
  <c r="K300" i="3"/>
  <c r="B301" i="3"/>
  <c r="C301" i="3"/>
  <c r="D301" i="3"/>
  <c r="E301" i="3"/>
  <c r="F301" i="3"/>
  <c r="G301" i="3"/>
  <c r="H301" i="3"/>
  <c r="I301" i="3"/>
  <c r="J301" i="3"/>
  <c r="K301" i="3"/>
  <c r="B302" i="3"/>
  <c r="C302" i="3"/>
  <c r="D302" i="3"/>
  <c r="E302" i="3"/>
  <c r="F302" i="3"/>
  <c r="G302" i="3"/>
  <c r="H302" i="3"/>
  <c r="I302" i="3"/>
  <c r="J302" i="3"/>
  <c r="K302" i="3"/>
  <c r="B303" i="3"/>
  <c r="C303" i="3"/>
  <c r="D303" i="3"/>
  <c r="E303" i="3"/>
  <c r="F303" i="3"/>
  <c r="G303" i="3"/>
  <c r="H303" i="3"/>
  <c r="I303" i="3"/>
  <c r="J303" i="3"/>
  <c r="K303" i="3"/>
  <c r="B304" i="3"/>
  <c r="C304" i="3"/>
  <c r="D304" i="3"/>
  <c r="E304" i="3"/>
  <c r="F304" i="3"/>
  <c r="G304" i="3"/>
  <c r="H304" i="3"/>
  <c r="I304" i="3"/>
  <c r="J304" i="3"/>
  <c r="K304" i="3"/>
  <c r="B305" i="3"/>
  <c r="C305" i="3"/>
  <c r="D305" i="3"/>
  <c r="E305" i="3"/>
  <c r="F305" i="3"/>
  <c r="G305" i="3"/>
  <c r="H305" i="3"/>
  <c r="I305" i="3"/>
  <c r="J305" i="3"/>
  <c r="K305" i="3"/>
  <c r="B306" i="3"/>
  <c r="C306" i="3"/>
  <c r="D306" i="3"/>
  <c r="E306" i="3"/>
  <c r="F306" i="3"/>
  <c r="G306" i="3"/>
  <c r="H306" i="3"/>
  <c r="I306" i="3"/>
  <c r="J306" i="3"/>
  <c r="K306" i="3"/>
  <c r="B307" i="3"/>
  <c r="C307" i="3"/>
  <c r="D307" i="3"/>
  <c r="E307" i="3"/>
  <c r="F307" i="3"/>
  <c r="G307" i="3"/>
  <c r="H307" i="3"/>
  <c r="I307" i="3"/>
  <c r="J307" i="3"/>
  <c r="K307" i="3"/>
  <c r="B308" i="3"/>
  <c r="C308" i="3"/>
  <c r="D308" i="3"/>
  <c r="E308" i="3"/>
  <c r="F308" i="3"/>
  <c r="G308" i="3"/>
  <c r="H308" i="3"/>
  <c r="I308" i="3"/>
  <c r="J308" i="3"/>
  <c r="K308" i="3"/>
  <c r="B309" i="3"/>
  <c r="C309" i="3"/>
  <c r="D309" i="3"/>
  <c r="E309" i="3"/>
  <c r="F309" i="3"/>
  <c r="G309" i="3"/>
  <c r="H309" i="3"/>
  <c r="I309" i="3"/>
  <c r="J309" i="3"/>
  <c r="K309" i="3"/>
  <c r="B310" i="3"/>
  <c r="C310" i="3"/>
  <c r="D310" i="3"/>
  <c r="E310" i="3"/>
  <c r="F310" i="3"/>
  <c r="G310" i="3"/>
  <c r="H310" i="3"/>
  <c r="I310" i="3"/>
  <c r="J310" i="3"/>
  <c r="K310" i="3"/>
  <c r="B311" i="3"/>
  <c r="C311" i="3"/>
  <c r="D311" i="3"/>
  <c r="E311" i="3"/>
  <c r="F311" i="3"/>
  <c r="G311" i="3"/>
  <c r="H311" i="3"/>
  <c r="I311" i="3"/>
  <c r="J311" i="3"/>
  <c r="K311" i="3"/>
  <c r="B312" i="3"/>
  <c r="C312" i="3"/>
  <c r="D312" i="3"/>
  <c r="E312" i="3"/>
  <c r="F312" i="3"/>
  <c r="G312" i="3"/>
  <c r="H312" i="3"/>
  <c r="I312" i="3"/>
  <c r="J312" i="3"/>
  <c r="K312" i="3"/>
  <c r="B313" i="3"/>
  <c r="C313" i="3"/>
  <c r="D313" i="3"/>
  <c r="E313" i="3"/>
  <c r="F313" i="3"/>
  <c r="G313" i="3"/>
  <c r="H313" i="3"/>
  <c r="I313" i="3"/>
  <c r="J313" i="3"/>
  <c r="K313" i="3"/>
  <c r="B314" i="3"/>
  <c r="C314" i="3"/>
  <c r="D314" i="3"/>
  <c r="E314" i="3"/>
  <c r="F314" i="3"/>
  <c r="G314" i="3"/>
  <c r="H314" i="3"/>
  <c r="I314" i="3"/>
  <c r="J314" i="3"/>
  <c r="K314" i="3"/>
  <c r="B315" i="3"/>
  <c r="C315" i="3"/>
  <c r="D315" i="3"/>
  <c r="E315" i="3"/>
  <c r="F315" i="3"/>
  <c r="G315" i="3"/>
  <c r="H315" i="3"/>
  <c r="I315" i="3"/>
  <c r="J315" i="3"/>
  <c r="K315" i="3"/>
  <c r="B316" i="3"/>
  <c r="C316" i="3"/>
  <c r="D316" i="3"/>
  <c r="E316" i="3"/>
  <c r="F316" i="3"/>
  <c r="G316" i="3"/>
  <c r="H316" i="3"/>
  <c r="I316" i="3"/>
  <c r="J316" i="3"/>
  <c r="K316" i="3"/>
  <c r="B317" i="3"/>
  <c r="C317" i="3"/>
  <c r="D317" i="3"/>
  <c r="E317" i="3"/>
  <c r="F317" i="3"/>
  <c r="G317" i="3"/>
  <c r="H317" i="3"/>
  <c r="I317" i="3"/>
  <c r="J317" i="3"/>
  <c r="K317" i="3"/>
  <c r="B318" i="3"/>
  <c r="C318" i="3"/>
  <c r="D318" i="3"/>
  <c r="E318" i="3"/>
  <c r="F318" i="3"/>
  <c r="G318" i="3"/>
  <c r="H318" i="3"/>
  <c r="I318" i="3"/>
  <c r="J318" i="3"/>
  <c r="K318" i="3"/>
  <c r="B319" i="3"/>
  <c r="C319" i="3"/>
  <c r="D319" i="3"/>
  <c r="E319" i="3"/>
  <c r="F319" i="3"/>
  <c r="G319" i="3"/>
  <c r="H319" i="3"/>
  <c r="I319" i="3"/>
  <c r="J319" i="3"/>
  <c r="K319" i="3"/>
  <c r="B320" i="3"/>
  <c r="C320" i="3"/>
  <c r="D320" i="3"/>
  <c r="E320" i="3"/>
  <c r="F320" i="3"/>
  <c r="G320" i="3"/>
  <c r="H320" i="3"/>
  <c r="I320" i="3"/>
  <c r="J320" i="3"/>
  <c r="K320" i="3"/>
  <c r="B321" i="3"/>
  <c r="C321" i="3"/>
  <c r="D321" i="3"/>
  <c r="E321" i="3"/>
  <c r="F321" i="3"/>
  <c r="G321" i="3"/>
  <c r="H321" i="3"/>
  <c r="I321" i="3"/>
  <c r="J321" i="3"/>
  <c r="K321" i="3"/>
  <c r="B322" i="3"/>
  <c r="C322" i="3"/>
  <c r="D322" i="3"/>
  <c r="E322" i="3"/>
  <c r="F322" i="3"/>
  <c r="G322" i="3"/>
  <c r="H322" i="3"/>
  <c r="I322" i="3"/>
  <c r="J322" i="3"/>
  <c r="K322" i="3"/>
  <c r="B323" i="3"/>
  <c r="C323" i="3"/>
  <c r="D323" i="3"/>
  <c r="E323" i="3"/>
  <c r="F323" i="3"/>
  <c r="G323" i="3"/>
  <c r="H323" i="3"/>
  <c r="I323" i="3"/>
  <c r="J323" i="3"/>
  <c r="K323" i="3"/>
  <c r="B324" i="3"/>
  <c r="C324" i="3"/>
  <c r="D324" i="3"/>
  <c r="E324" i="3"/>
  <c r="F324" i="3"/>
  <c r="G324" i="3"/>
  <c r="H324" i="3"/>
  <c r="I324" i="3"/>
  <c r="J324" i="3"/>
  <c r="K324" i="3"/>
  <c r="B325" i="3"/>
  <c r="C325" i="3"/>
  <c r="D325" i="3"/>
  <c r="E325" i="3"/>
  <c r="F325" i="3"/>
  <c r="G325" i="3"/>
  <c r="H325" i="3"/>
  <c r="I325" i="3"/>
  <c r="J325" i="3"/>
  <c r="K325" i="3"/>
  <c r="B326" i="3"/>
  <c r="C326" i="3"/>
  <c r="D326" i="3"/>
  <c r="E326" i="3"/>
  <c r="F326" i="3"/>
  <c r="G326" i="3"/>
  <c r="H326" i="3"/>
  <c r="I326" i="3"/>
  <c r="J326" i="3"/>
  <c r="K326" i="3"/>
  <c r="B327" i="3"/>
  <c r="C327" i="3"/>
  <c r="D327" i="3"/>
  <c r="E327" i="3"/>
  <c r="F327" i="3"/>
  <c r="G327" i="3"/>
  <c r="H327" i="3"/>
  <c r="I327" i="3"/>
  <c r="J327" i="3"/>
  <c r="K327" i="3"/>
  <c r="B328" i="3"/>
  <c r="C328" i="3"/>
  <c r="D328" i="3"/>
  <c r="E328" i="3"/>
  <c r="F328" i="3"/>
  <c r="G328" i="3"/>
  <c r="H328" i="3"/>
  <c r="I328" i="3"/>
  <c r="J328" i="3"/>
  <c r="K328" i="3"/>
  <c r="B329" i="3"/>
  <c r="C329" i="3"/>
  <c r="D329" i="3"/>
  <c r="E329" i="3"/>
  <c r="F329" i="3"/>
  <c r="G329" i="3"/>
  <c r="H329" i="3"/>
  <c r="I329" i="3"/>
  <c r="J329" i="3"/>
  <c r="K329" i="3"/>
  <c r="B330" i="3"/>
  <c r="C330" i="3"/>
  <c r="D330" i="3"/>
  <c r="E330" i="3"/>
  <c r="F330" i="3"/>
  <c r="G330" i="3"/>
  <c r="H330" i="3"/>
  <c r="I330" i="3"/>
  <c r="J330" i="3"/>
  <c r="K330" i="3"/>
  <c r="B331" i="3"/>
  <c r="C331" i="3"/>
  <c r="D331" i="3"/>
  <c r="E331" i="3"/>
  <c r="F331" i="3"/>
  <c r="G331" i="3"/>
  <c r="H331" i="3"/>
  <c r="I331" i="3"/>
  <c r="J331" i="3"/>
  <c r="K331" i="3"/>
  <c r="B332" i="3"/>
  <c r="C332" i="3"/>
  <c r="D332" i="3"/>
  <c r="E332" i="3"/>
  <c r="F332" i="3"/>
  <c r="G332" i="3"/>
  <c r="H332" i="3"/>
  <c r="I332" i="3"/>
  <c r="J332" i="3"/>
  <c r="K332" i="3"/>
  <c r="B333" i="3"/>
  <c r="C333" i="3"/>
  <c r="D333" i="3"/>
  <c r="E333" i="3"/>
  <c r="F333" i="3"/>
  <c r="G333" i="3"/>
  <c r="H333" i="3"/>
  <c r="I333" i="3"/>
  <c r="J333" i="3"/>
  <c r="K333" i="3"/>
  <c r="B334" i="3"/>
  <c r="C334" i="3"/>
  <c r="D334" i="3"/>
  <c r="E334" i="3"/>
  <c r="F334" i="3"/>
  <c r="G334" i="3"/>
  <c r="H334" i="3"/>
  <c r="I334" i="3"/>
  <c r="J334" i="3"/>
  <c r="K334" i="3"/>
  <c r="B335" i="3"/>
  <c r="C335" i="3"/>
  <c r="D335" i="3"/>
  <c r="E335" i="3"/>
  <c r="F335" i="3"/>
  <c r="G335" i="3"/>
  <c r="H335" i="3"/>
  <c r="I335" i="3"/>
  <c r="J335" i="3"/>
  <c r="K335" i="3"/>
  <c r="B336" i="3"/>
  <c r="C336" i="3"/>
  <c r="D336" i="3"/>
  <c r="E336" i="3"/>
  <c r="F336" i="3"/>
  <c r="G336" i="3"/>
  <c r="H336" i="3"/>
  <c r="I336" i="3"/>
  <c r="J336" i="3"/>
  <c r="K336" i="3"/>
  <c r="B337" i="3"/>
  <c r="C337" i="3"/>
  <c r="D337" i="3"/>
  <c r="E337" i="3"/>
  <c r="F337" i="3"/>
  <c r="G337" i="3"/>
  <c r="H337" i="3"/>
  <c r="I337" i="3"/>
  <c r="J337" i="3"/>
  <c r="K337" i="3"/>
  <c r="B338" i="3"/>
  <c r="C338" i="3"/>
  <c r="D338" i="3"/>
  <c r="E338" i="3"/>
  <c r="F338" i="3"/>
  <c r="G338" i="3"/>
  <c r="H338" i="3"/>
  <c r="I338" i="3"/>
  <c r="J338" i="3"/>
  <c r="K338" i="3"/>
  <c r="B339" i="3"/>
  <c r="C339" i="3"/>
  <c r="D339" i="3"/>
  <c r="E339" i="3"/>
  <c r="F339" i="3"/>
  <c r="G339" i="3"/>
  <c r="H339" i="3"/>
  <c r="I339" i="3"/>
  <c r="J339" i="3"/>
  <c r="K339" i="3"/>
  <c r="B340" i="3"/>
  <c r="C340" i="3"/>
  <c r="D340" i="3"/>
  <c r="E340" i="3"/>
  <c r="F340" i="3"/>
  <c r="G340" i="3"/>
  <c r="H340" i="3"/>
  <c r="I340" i="3"/>
  <c r="J340" i="3"/>
  <c r="K340" i="3"/>
  <c r="B341" i="3"/>
  <c r="C341" i="3"/>
  <c r="D341" i="3"/>
  <c r="E341" i="3"/>
  <c r="F341" i="3"/>
  <c r="G341" i="3"/>
  <c r="H341" i="3"/>
  <c r="I341" i="3"/>
  <c r="J341" i="3"/>
  <c r="K341" i="3"/>
  <c r="B342" i="3"/>
  <c r="C342" i="3"/>
  <c r="D342" i="3"/>
  <c r="E342" i="3"/>
  <c r="F342" i="3"/>
  <c r="G342" i="3"/>
  <c r="H342" i="3"/>
  <c r="I342" i="3"/>
  <c r="J342" i="3"/>
  <c r="K342" i="3"/>
  <c r="B343" i="3"/>
  <c r="C343" i="3"/>
  <c r="D343" i="3"/>
  <c r="E343" i="3"/>
  <c r="F343" i="3"/>
  <c r="G343" i="3"/>
  <c r="H343" i="3"/>
  <c r="I343" i="3"/>
  <c r="J343" i="3"/>
  <c r="K343" i="3"/>
  <c r="B344" i="3"/>
  <c r="C344" i="3"/>
  <c r="D344" i="3"/>
  <c r="E344" i="3"/>
  <c r="F344" i="3"/>
  <c r="G344" i="3"/>
  <c r="H344" i="3"/>
  <c r="I344" i="3"/>
  <c r="J344" i="3"/>
  <c r="K344" i="3"/>
  <c r="B345" i="3"/>
  <c r="C345" i="3"/>
  <c r="D345" i="3"/>
  <c r="E345" i="3"/>
  <c r="F345" i="3"/>
  <c r="G345" i="3"/>
  <c r="H345" i="3"/>
  <c r="I345" i="3"/>
  <c r="J345" i="3"/>
  <c r="K345" i="3"/>
  <c r="B346" i="3"/>
  <c r="C346" i="3"/>
  <c r="D346" i="3"/>
  <c r="E346" i="3"/>
  <c r="F346" i="3"/>
  <c r="G346" i="3"/>
  <c r="H346" i="3"/>
  <c r="I346" i="3"/>
  <c r="J346" i="3"/>
  <c r="K346" i="3"/>
  <c r="B347" i="3"/>
  <c r="C347" i="3"/>
  <c r="D347" i="3"/>
  <c r="E347" i="3"/>
  <c r="F347" i="3"/>
  <c r="G347" i="3"/>
  <c r="H347" i="3"/>
  <c r="I347" i="3"/>
  <c r="J347" i="3"/>
  <c r="K347" i="3"/>
  <c r="B348" i="3"/>
  <c r="C348" i="3"/>
  <c r="D348" i="3"/>
  <c r="E348" i="3"/>
  <c r="F348" i="3"/>
  <c r="G348" i="3"/>
  <c r="H348" i="3"/>
  <c r="I348" i="3"/>
  <c r="J348" i="3"/>
  <c r="K348" i="3"/>
  <c r="B349" i="3"/>
  <c r="C349" i="3"/>
  <c r="D349" i="3"/>
  <c r="E349" i="3"/>
  <c r="F349" i="3"/>
  <c r="G349" i="3"/>
  <c r="H349" i="3"/>
  <c r="I349" i="3"/>
  <c r="J349" i="3"/>
  <c r="K349" i="3"/>
  <c r="B350" i="3"/>
  <c r="C350" i="3"/>
  <c r="D350" i="3"/>
  <c r="E350" i="3"/>
  <c r="F350" i="3"/>
  <c r="G350" i="3"/>
  <c r="H350" i="3"/>
  <c r="I350" i="3"/>
  <c r="J350" i="3"/>
  <c r="K350" i="3"/>
  <c r="B351" i="3"/>
  <c r="C351" i="3"/>
  <c r="D351" i="3"/>
  <c r="E351" i="3"/>
  <c r="F351" i="3"/>
  <c r="G351" i="3"/>
  <c r="H351" i="3"/>
  <c r="I351" i="3"/>
  <c r="J351" i="3"/>
  <c r="K351" i="3"/>
  <c r="B352" i="3"/>
  <c r="C352" i="3"/>
  <c r="D352" i="3"/>
  <c r="E352" i="3"/>
  <c r="F352" i="3"/>
  <c r="G352" i="3"/>
  <c r="H352" i="3"/>
  <c r="I352" i="3"/>
  <c r="J352" i="3"/>
  <c r="K352" i="3"/>
  <c r="B353" i="3"/>
  <c r="C353" i="3"/>
  <c r="D353" i="3"/>
  <c r="E353" i="3"/>
  <c r="F353" i="3"/>
  <c r="G353" i="3"/>
  <c r="H353" i="3"/>
  <c r="I353" i="3"/>
  <c r="J353" i="3"/>
  <c r="K353" i="3"/>
  <c r="B354" i="3"/>
  <c r="C354" i="3"/>
  <c r="D354" i="3"/>
  <c r="E354" i="3"/>
  <c r="F354" i="3"/>
  <c r="G354" i="3"/>
  <c r="H354" i="3"/>
  <c r="I354" i="3"/>
  <c r="J354" i="3"/>
  <c r="K354" i="3"/>
  <c r="B355" i="3"/>
  <c r="C355" i="3"/>
  <c r="D355" i="3"/>
  <c r="E355" i="3"/>
  <c r="F355" i="3"/>
  <c r="G355" i="3"/>
  <c r="H355" i="3"/>
  <c r="I355" i="3"/>
  <c r="J355" i="3"/>
  <c r="K355" i="3"/>
  <c r="B356" i="3"/>
  <c r="C356" i="3"/>
  <c r="D356" i="3"/>
  <c r="E356" i="3"/>
  <c r="F356" i="3"/>
  <c r="G356" i="3"/>
  <c r="H356" i="3"/>
  <c r="I356" i="3"/>
  <c r="J356" i="3"/>
  <c r="K356" i="3"/>
  <c r="B357" i="3"/>
  <c r="C357" i="3"/>
  <c r="D357" i="3"/>
  <c r="E357" i="3"/>
  <c r="F357" i="3"/>
  <c r="G357" i="3"/>
  <c r="H357" i="3"/>
  <c r="I357" i="3"/>
  <c r="J357" i="3"/>
  <c r="K357" i="3"/>
  <c r="B358" i="3"/>
  <c r="C358" i="3"/>
  <c r="D358" i="3"/>
  <c r="E358" i="3"/>
  <c r="F358" i="3"/>
  <c r="G358" i="3"/>
  <c r="H358" i="3"/>
  <c r="I358" i="3"/>
  <c r="J358" i="3"/>
  <c r="K358" i="3"/>
  <c r="B359" i="3"/>
  <c r="C359" i="3"/>
  <c r="D359" i="3"/>
  <c r="E359" i="3"/>
  <c r="F359" i="3"/>
  <c r="G359" i="3"/>
  <c r="H359" i="3"/>
  <c r="I359" i="3"/>
  <c r="J359" i="3"/>
  <c r="K359" i="3"/>
  <c r="B360" i="3"/>
  <c r="C360" i="3"/>
  <c r="D360" i="3"/>
  <c r="E360" i="3"/>
  <c r="F360" i="3"/>
  <c r="G360" i="3"/>
  <c r="H360" i="3"/>
  <c r="I360" i="3"/>
  <c r="J360" i="3"/>
  <c r="K360" i="3"/>
  <c r="B361" i="3"/>
  <c r="C361" i="3"/>
  <c r="D361" i="3"/>
  <c r="E361" i="3"/>
  <c r="F361" i="3"/>
  <c r="G361" i="3"/>
  <c r="H361" i="3"/>
  <c r="I361" i="3"/>
  <c r="J361" i="3"/>
  <c r="K361" i="3"/>
  <c r="B362" i="3"/>
  <c r="C362" i="3"/>
  <c r="D362" i="3"/>
  <c r="E362" i="3"/>
  <c r="F362" i="3"/>
  <c r="G362" i="3"/>
  <c r="H362" i="3"/>
  <c r="I362" i="3"/>
  <c r="J362" i="3"/>
  <c r="K362" i="3"/>
  <c r="B363" i="3"/>
  <c r="C363" i="3"/>
  <c r="D363" i="3"/>
  <c r="E363" i="3"/>
  <c r="F363" i="3"/>
  <c r="G363" i="3"/>
  <c r="H363" i="3"/>
  <c r="I363" i="3"/>
  <c r="J363" i="3"/>
  <c r="K363" i="3"/>
  <c r="B364" i="3"/>
  <c r="C364" i="3"/>
  <c r="D364" i="3"/>
  <c r="E364" i="3"/>
  <c r="F364" i="3"/>
  <c r="G364" i="3"/>
  <c r="H364" i="3"/>
  <c r="I364" i="3"/>
  <c r="J364" i="3"/>
  <c r="K364" i="3"/>
  <c r="B365" i="3"/>
  <c r="C365" i="3"/>
  <c r="D365" i="3"/>
  <c r="E365" i="3"/>
  <c r="F365" i="3"/>
  <c r="G365" i="3"/>
  <c r="H365" i="3"/>
  <c r="I365" i="3"/>
  <c r="J365" i="3"/>
  <c r="K365" i="3"/>
  <c r="B366" i="3"/>
  <c r="C366" i="3"/>
  <c r="D366" i="3"/>
  <c r="E366" i="3"/>
  <c r="F366" i="3"/>
  <c r="G366" i="3"/>
  <c r="H366" i="3"/>
  <c r="I366" i="3"/>
  <c r="J366" i="3"/>
  <c r="K366" i="3"/>
  <c r="B367" i="3"/>
  <c r="C367" i="3"/>
  <c r="D367" i="3"/>
  <c r="E367" i="3"/>
  <c r="F367" i="3"/>
  <c r="G367" i="3"/>
  <c r="H367" i="3"/>
  <c r="I367" i="3"/>
  <c r="J367" i="3"/>
  <c r="K367" i="3"/>
  <c r="B368" i="3"/>
  <c r="C368" i="3"/>
  <c r="D368" i="3"/>
  <c r="E368" i="3"/>
  <c r="F368" i="3"/>
  <c r="G368" i="3"/>
  <c r="H368" i="3"/>
  <c r="I368" i="3"/>
  <c r="J368" i="3"/>
  <c r="K368" i="3"/>
  <c r="B369" i="3"/>
  <c r="C369" i="3"/>
  <c r="D369" i="3"/>
  <c r="E369" i="3"/>
  <c r="F369" i="3"/>
  <c r="G369" i="3"/>
  <c r="H369" i="3"/>
  <c r="I369" i="3"/>
  <c r="J369" i="3"/>
  <c r="K369" i="3"/>
  <c r="B370" i="3"/>
  <c r="C370" i="3"/>
  <c r="D370" i="3"/>
  <c r="E370" i="3"/>
  <c r="F370" i="3"/>
  <c r="G370" i="3"/>
  <c r="H370" i="3"/>
  <c r="I370" i="3"/>
  <c r="J370" i="3"/>
  <c r="K370" i="3"/>
  <c r="B371" i="3"/>
  <c r="C371" i="3"/>
  <c r="D371" i="3"/>
  <c r="E371" i="3"/>
  <c r="F371" i="3"/>
  <c r="G371" i="3"/>
  <c r="H371" i="3"/>
  <c r="I371" i="3"/>
  <c r="J371" i="3"/>
  <c r="K371" i="3"/>
  <c r="B372" i="3"/>
  <c r="C372" i="3"/>
  <c r="D372" i="3"/>
  <c r="E372" i="3"/>
  <c r="F372" i="3"/>
  <c r="G372" i="3"/>
  <c r="H372" i="3"/>
  <c r="I372" i="3"/>
  <c r="J372" i="3"/>
  <c r="K372" i="3"/>
  <c r="B373" i="3"/>
  <c r="C373" i="3"/>
  <c r="D373" i="3"/>
  <c r="E373" i="3"/>
  <c r="F373" i="3"/>
  <c r="G373" i="3"/>
  <c r="H373" i="3"/>
  <c r="I373" i="3"/>
  <c r="J373" i="3"/>
  <c r="K373" i="3"/>
  <c r="B374" i="3"/>
  <c r="C374" i="3"/>
  <c r="D374" i="3"/>
  <c r="E374" i="3"/>
  <c r="F374" i="3"/>
  <c r="G374" i="3"/>
  <c r="H374" i="3"/>
  <c r="I374" i="3"/>
  <c r="J374" i="3"/>
  <c r="K374" i="3"/>
  <c r="B375" i="3"/>
  <c r="C375" i="3"/>
  <c r="D375" i="3"/>
  <c r="E375" i="3"/>
  <c r="F375" i="3"/>
  <c r="G375" i="3"/>
  <c r="H375" i="3"/>
  <c r="I375" i="3"/>
  <c r="J375" i="3"/>
  <c r="K375" i="3"/>
  <c r="B376" i="3"/>
  <c r="C376" i="3"/>
  <c r="D376" i="3"/>
  <c r="E376" i="3"/>
  <c r="F376" i="3"/>
  <c r="G376" i="3"/>
  <c r="H376" i="3"/>
  <c r="I376" i="3"/>
  <c r="J376" i="3"/>
  <c r="K376" i="3"/>
  <c r="B377" i="3"/>
  <c r="C377" i="3"/>
  <c r="D377" i="3"/>
  <c r="E377" i="3"/>
  <c r="F377" i="3"/>
  <c r="G377" i="3"/>
  <c r="H377" i="3"/>
  <c r="I377" i="3"/>
  <c r="J377" i="3"/>
  <c r="K377" i="3"/>
  <c r="B378" i="3"/>
  <c r="C378" i="3"/>
  <c r="D378" i="3"/>
  <c r="E378" i="3"/>
  <c r="F378" i="3"/>
  <c r="G378" i="3"/>
  <c r="H378" i="3"/>
  <c r="I378" i="3"/>
  <c r="J378" i="3"/>
  <c r="K378" i="3"/>
  <c r="B379" i="3"/>
  <c r="C379" i="3"/>
  <c r="D379" i="3"/>
  <c r="E379" i="3"/>
  <c r="F379" i="3"/>
  <c r="G379" i="3"/>
  <c r="H379" i="3"/>
  <c r="I379" i="3"/>
  <c r="J379" i="3"/>
  <c r="K379" i="3"/>
  <c r="B380" i="3"/>
  <c r="C380" i="3"/>
  <c r="D380" i="3"/>
  <c r="E380" i="3"/>
  <c r="F380" i="3"/>
  <c r="G380" i="3"/>
  <c r="H380" i="3"/>
  <c r="I380" i="3"/>
  <c r="J380" i="3"/>
  <c r="K380" i="3"/>
  <c r="B381" i="3"/>
  <c r="C381" i="3"/>
  <c r="D381" i="3"/>
  <c r="E381" i="3"/>
  <c r="F381" i="3"/>
  <c r="G381" i="3"/>
  <c r="H381" i="3"/>
  <c r="I381" i="3"/>
  <c r="J381" i="3"/>
  <c r="K381" i="3"/>
  <c r="B382" i="3"/>
  <c r="C382" i="3"/>
  <c r="D382" i="3"/>
  <c r="E382" i="3"/>
  <c r="F382" i="3"/>
  <c r="G382" i="3"/>
  <c r="H382" i="3"/>
  <c r="I382" i="3"/>
  <c r="J382" i="3"/>
  <c r="K382" i="3"/>
  <c r="B383" i="3"/>
  <c r="C383" i="3"/>
  <c r="D383" i="3"/>
  <c r="E383" i="3"/>
  <c r="F383" i="3"/>
  <c r="G383" i="3"/>
  <c r="H383" i="3"/>
  <c r="I383" i="3"/>
  <c r="J383" i="3"/>
  <c r="K383" i="3"/>
  <c r="B384" i="3"/>
  <c r="C384" i="3"/>
  <c r="D384" i="3"/>
  <c r="E384" i="3"/>
  <c r="F384" i="3"/>
  <c r="G384" i="3"/>
  <c r="H384" i="3"/>
  <c r="I384" i="3"/>
  <c r="J384" i="3"/>
  <c r="K384" i="3"/>
  <c r="B385" i="3"/>
  <c r="C385" i="3"/>
  <c r="D385" i="3"/>
  <c r="E385" i="3"/>
  <c r="F385" i="3"/>
  <c r="G385" i="3"/>
  <c r="H385" i="3"/>
  <c r="I385" i="3"/>
  <c r="J385" i="3"/>
  <c r="K385" i="3"/>
  <c r="B386" i="3"/>
  <c r="C386" i="3"/>
  <c r="D386" i="3"/>
  <c r="E386" i="3"/>
  <c r="F386" i="3"/>
  <c r="G386" i="3"/>
  <c r="H386" i="3"/>
  <c r="I386" i="3"/>
  <c r="J386" i="3"/>
  <c r="K386" i="3"/>
  <c r="B387" i="3"/>
  <c r="C387" i="3"/>
  <c r="D387" i="3"/>
  <c r="E387" i="3"/>
  <c r="F387" i="3"/>
  <c r="G387" i="3"/>
  <c r="H387" i="3"/>
  <c r="I387" i="3"/>
  <c r="J387" i="3"/>
  <c r="K387" i="3"/>
  <c r="B388" i="3"/>
  <c r="C388" i="3"/>
  <c r="D388" i="3"/>
  <c r="E388" i="3"/>
  <c r="F388" i="3"/>
  <c r="G388" i="3"/>
  <c r="H388" i="3"/>
  <c r="I388" i="3"/>
  <c r="J388" i="3"/>
  <c r="K388" i="3"/>
  <c r="B389" i="3"/>
  <c r="C389" i="3"/>
  <c r="D389" i="3"/>
  <c r="E389" i="3"/>
  <c r="F389" i="3"/>
  <c r="G389" i="3"/>
  <c r="H389" i="3"/>
  <c r="I389" i="3"/>
  <c r="J389" i="3"/>
  <c r="K389" i="3"/>
  <c r="B390" i="3"/>
  <c r="C390" i="3"/>
  <c r="D390" i="3"/>
  <c r="E390" i="3"/>
  <c r="F390" i="3"/>
  <c r="G390" i="3"/>
  <c r="H390" i="3"/>
  <c r="I390" i="3"/>
  <c r="J390" i="3"/>
  <c r="K390" i="3"/>
  <c r="B391" i="3"/>
  <c r="C391" i="3"/>
  <c r="D391" i="3"/>
  <c r="E391" i="3"/>
  <c r="F391" i="3"/>
  <c r="G391" i="3"/>
  <c r="H391" i="3"/>
  <c r="I391" i="3"/>
  <c r="J391" i="3"/>
  <c r="K391" i="3"/>
  <c r="B392" i="3"/>
  <c r="C392" i="3"/>
  <c r="D392" i="3"/>
  <c r="E392" i="3"/>
  <c r="F392" i="3"/>
  <c r="G392" i="3"/>
  <c r="H392" i="3"/>
  <c r="I392" i="3"/>
  <c r="J392" i="3"/>
  <c r="K392" i="3"/>
  <c r="B393" i="3"/>
  <c r="C393" i="3"/>
  <c r="D393" i="3"/>
  <c r="E393" i="3"/>
  <c r="F393" i="3"/>
  <c r="G393" i="3"/>
  <c r="H393" i="3"/>
  <c r="I393" i="3"/>
  <c r="J393" i="3"/>
  <c r="K393" i="3"/>
  <c r="B394" i="3"/>
  <c r="C394" i="3"/>
  <c r="D394" i="3"/>
  <c r="E394" i="3"/>
  <c r="F394" i="3"/>
  <c r="G394" i="3"/>
  <c r="H394" i="3"/>
  <c r="I394" i="3"/>
  <c r="J394" i="3"/>
  <c r="K394" i="3"/>
  <c r="B395" i="3"/>
  <c r="C395" i="3"/>
  <c r="D395" i="3"/>
  <c r="E395" i="3"/>
  <c r="F395" i="3"/>
  <c r="G395" i="3"/>
  <c r="H395" i="3"/>
  <c r="I395" i="3"/>
  <c r="J395" i="3"/>
  <c r="K395" i="3"/>
  <c r="B396" i="3"/>
  <c r="C396" i="3"/>
  <c r="D396" i="3"/>
  <c r="E396" i="3"/>
  <c r="F396" i="3"/>
  <c r="G396" i="3"/>
  <c r="H396" i="3"/>
  <c r="I396" i="3"/>
  <c r="J396" i="3"/>
  <c r="K396" i="3"/>
  <c r="B397" i="3"/>
  <c r="C397" i="3"/>
  <c r="D397" i="3"/>
  <c r="E397" i="3"/>
  <c r="F397" i="3"/>
  <c r="G397" i="3"/>
  <c r="H397" i="3"/>
  <c r="I397" i="3"/>
  <c r="J397" i="3"/>
  <c r="K397" i="3"/>
  <c r="B398" i="3"/>
  <c r="C398" i="3"/>
  <c r="D398" i="3"/>
  <c r="E398" i="3"/>
  <c r="F398" i="3"/>
  <c r="G398" i="3"/>
  <c r="H398" i="3"/>
  <c r="I398" i="3"/>
  <c r="J398" i="3"/>
  <c r="K398" i="3"/>
  <c r="B399" i="3"/>
  <c r="C399" i="3"/>
  <c r="D399" i="3"/>
  <c r="E399" i="3"/>
  <c r="F399" i="3"/>
  <c r="G399" i="3"/>
  <c r="H399" i="3"/>
  <c r="I399" i="3"/>
  <c r="J399" i="3"/>
  <c r="K399" i="3"/>
  <c r="B400" i="3"/>
  <c r="C400" i="3"/>
  <c r="D400" i="3"/>
  <c r="E400" i="3"/>
  <c r="F400" i="3"/>
  <c r="G400" i="3"/>
  <c r="H400" i="3"/>
  <c r="I400" i="3"/>
  <c r="J400" i="3"/>
  <c r="K400" i="3"/>
  <c r="B401" i="3"/>
  <c r="C401" i="3"/>
  <c r="D401" i="3"/>
  <c r="E401" i="3"/>
  <c r="F401" i="3"/>
  <c r="G401" i="3"/>
  <c r="H401" i="3"/>
  <c r="I401" i="3"/>
  <c r="J401" i="3"/>
  <c r="K401" i="3"/>
  <c r="B402" i="3"/>
  <c r="C402" i="3"/>
  <c r="D402" i="3"/>
  <c r="E402" i="3"/>
  <c r="F402" i="3"/>
  <c r="G402" i="3"/>
  <c r="H402" i="3"/>
  <c r="I402" i="3"/>
  <c r="J402" i="3"/>
  <c r="K402" i="3"/>
  <c r="B403" i="3"/>
  <c r="C403" i="3"/>
  <c r="D403" i="3"/>
  <c r="E403" i="3"/>
  <c r="F403" i="3"/>
  <c r="G403" i="3"/>
  <c r="H403" i="3"/>
  <c r="I403" i="3"/>
  <c r="J403" i="3"/>
  <c r="K403" i="3"/>
  <c r="B404" i="3"/>
  <c r="C404" i="3"/>
  <c r="D404" i="3"/>
  <c r="E404" i="3"/>
  <c r="F404" i="3"/>
  <c r="G404" i="3"/>
  <c r="H404" i="3"/>
  <c r="I404" i="3"/>
  <c r="J404" i="3"/>
  <c r="K404" i="3"/>
  <c r="B405" i="3"/>
  <c r="C405" i="3"/>
  <c r="D405" i="3"/>
  <c r="E405" i="3"/>
  <c r="F405" i="3"/>
  <c r="G405" i="3"/>
  <c r="H405" i="3"/>
  <c r="I405" i="3"/>
  <c r="J405" i="3"/>
  <c r="K405" i="3"/>
  <c r="B406" i="3"/>
  <c r="C406" i="3"/>
  <c r="D406" i="3"/>
  <c r="E406" i="3"/>
  <c r="F406" i="3"/>
  <c r="G406" i="3"/>
  <c r="H406" i="3"/>
  <c r="I406" i="3"/>
  <c r="J406" i="3"/>
  <c r="K406" i="3"/>
  <c r="B407" i="3"/>
  <c r="C407" i="3"/>
  <c r="D407" i="3"/>
  <c r="E407" i="3"/>
  <c r="F407" i="3"/>
  <c r="G407" i="3"/>
  <c r="H407" i="3"/>
  <c r="I407" i="3"/>
  <c r="J407" i="3"/>
  <c r="K407" i="3"/>
  <c r="B408" i="3"/>
  <c r="C408" i="3"/>
  <c r="D408" i="3"/>
  <c r="E408" i="3"/>
  <c r="F408" i="3"/>
  <c r="G408" i="3"/>
  <c r="H408" i="3"/>
  <c r="I408" i="3"/>
  <c r="J408" i="3"/>
  <c r="K408" i="3"/>
  <c r="B409" i="3"/>
  <c r="C409" i="3"/>
  <c r="D409" i="3"/>
  <c r="E409" i="3"/>
  <c r="F409" i="3"/>
  <c r="G409" i="3"/>
  <c r="H409" i="3"/>
  <c r="I409" i="3"/>
  <c r="J409" i="3"/>
  <c r="K409" i="3"/>
  <c r="B410" i="3"/>
  <c r="C410" i="3"/>
  <c r="D410" i="3"/>
  <c r="E410" i="3"/>
  <c r="F410" i="3"/>
  <c r="G410" i="3"/>
  <c r="H410" i="3"/>
  <c r="I410" i="3"/>
  <c r="J410" i="3"/>
  <c r="K410" i="3"/>
  <c r="B411" i="3"/>
  <c r="C411" i="3"/>
  <c r="D411" i="3"/>
  <c r="E411" i="3"/>
  <c r="F411" i="3"/>
  <c r="G411" i="3"/>
  <c r="H411" i="3"/>
  <c r="I411" i="3"/>
  <c r="J411" i="3"/>
  <c r="K411" i="3"/>
  <c r="B412" i="3"/>
  <c r="C412" i="3"/>
  <c r="D412" i="3"/>
  <c r="E412" i="3"/>
  <c r="F412" i="3"/>
  <c r="G412" i="3"/>
  <c r="H412" i="3"/>
  <c r="I412" i="3"/>
  <c r="J412" i="3"/>
  <c r="K412" i="3"/>
  <c r="B413" i="3"/>
  <c r="C413" i="3"/>
  <c r="D413" i="3"/>
  <c r="E413" i="3"/>
  <c r="F413" i="3"/>
  <c r="G413" i="3"/>
  <c r="H413" i="3"/>
  <c r="I413" i="3"/>
  <c r="J413" i="3"/>
  <c r="K413" i="3"/>
  <c r="B414" i="3"/>
  <c r="C414" i="3"/>
  <c r="D414" i="3"/>
  <c r="E414" i="3"/>
  <c r="F414" i="3"/>
  <c r="G414" i="3"/>
  <c r="H414" i="3"/>
  <c r="I414" i="3"/>
  <c r="J414" i="3"/>
  <c r="K414" i="3"/>
  <c r="B415" i="3"/>
  <c r="C415" i="3"/>
  <c r="D415" i="3"/>
  <c r="E415" i="3"/>
  <c r="F415" i="3"/>
  <c r="G415" i="3"/>
  <c r="H415" i="3"/>
  <c r="I415" i="3"/>
  <c r="J415" i="3"/>
  <c r="K415" i="3"/>
  <c r="B416" i="3"/>
  <c r="C416" i="3"/>
  <c r="D416" i="3"/>
  <c r="E416" i="3"/>
  <c r="F416" i="3"/>
  <c r="G416" i="3"/>
  <c r="H416" i="3"/>
  <c r="I416" i="3"/>
  <c r="J416" i="3"/>
  <c r="K416" i="3"/>
  <c r="B417" i="3"/>
  <c r="C417" i="3"/>
  <c r="D417" i="3"/>
  <c r="E417" i="3"/>
  <c r="F417" i="3"/>
  <c r="G417" i="3"/>
  <c r="H417" i="3"/>
  <c r="I417" i="3"/>
  <c r="J417" i="3"/>
  <c r="K417" i="3"/>
  <c r="B418" i="3"/>
  <c r="C418" i="3"/>
  <c r="D418" i="3"/>
  <c r="E418" i="3"/>
  <c r="F418" i="3"/>
  <c r="G418" i="3"/>
  <c r="H418" i="3"/>
  <c r="I418" i="3"/>
  <c r="J418" i="3"/>
  <c r="K418" i="3"/>
  <c r="B419" i="3"/>
  <c r="C419" i="3"/>
  <c r="D419" i="3"/>
  <c r="E419" i="3"/>
  <c r="F419" i="3"/>
  <c r="G419" i="3"/>
  <c r="H419" i="3"/>
  <c r="I419" i="3"/>
  <c r="J419" i="3"/>
  <c r="K419" i="3"/>
  <c r="B420" i="3"/>
  <c r="C420" i="3"/>
  <c r="D420" i="3"/>
  <c r="E420" i="3"/>
  <c r="F420" i="3"/>
  <c r="G420" i="3"/>
  <c r="H420" i="3"/>
  <c r="I420" i="3"/>
  <c r="J420" i="3"/>
  <c r="K420" i="3"/>
  <c r="B421" i="3"/>
  <c r="C421" i="3"/>
  <c r="D421" i="3"/>
  <c r="E421" i="3"/>
  <c r="F421" i="3"/>
  <c r="G421" i="3"/>
  <c r="H421" i="3"/>
  <c r="I421" i="3"/>
  <c r="J421" i="3"/>
  <c r="K421" i="3"/>
  <c r="B422" i="3"/>
  <c r="C422" i="3"/>
  <c r="D422" i="3"/>
  <c r="E422" i="3"/>
  <c r="F422" i="3"/>
  <c r="G422" i="3"/>
  <c r="H422" i="3"/>
  <c r="I422" i="3"/>
  <c r="J422" i="3"/>
  <c r="K422" i="3"/>
  <c r="B423" i="3"/>
  <c r="C423" i="3"/>
  <c r="D423" i="3"/>
  <c r="E423" i="3"/>
  <c r="F423" i="3"/>
  <c r="G423" i="3"/>
  <c r="H423" i="3"/>
  <c r="I423" i="3"/>
  <c r="J423" i="3"/>
  <c r="K423" i="3"/>
  <c r="B424" i="3"/>
  <c r="C424" i="3"/>
  <c r="D424" i="3"/>
  <c r="E424" i="3"/>
  <c r="F424" i="3"/>
  <c r="G424" i="3"/>
  <c r="H424" i="3"/>
  <c r="I424" i="3"/>
  <c r="J424" i="3"/>
  <c r="K424" i="3"/>
  <c r="B425" i="3"/>
  <c r="C425" i="3"/>
  <c r="D425" i="3"/>
  <c r="E425" i="3"/>
  <c r="F425" i="3"/>
  <c r="G425" i="3"/>
  <c r="H425" i="3"/>
  <c r="I425" i="3"/>
  <c r="J425" i="3"/>
  <c r="K425" i="3"/>
  <c r="B426" i="3"/>
  <c r="C426" i="3"/>
  <c r="D426" i="3"/>
  <c r="E426" i="3"/>
  <c r="F426" i="3"/>
  <c r="G426" i="3"/>
  <c r="H426" i="3"/>
  <c r="I426" i="3"/>
  <c r="J426" i="3"/>
  <c r="K426" i="3"/>
  <c r="B427" i="3"/>
  <c r="C427" i="3"/>
  <c r="D427" i="3"/>
  <c r="E427" i="3"/>
  <c r="F427" i="3"/>
  <c r="G427" i="3"/>
  <c r="H427" i="3"/>
  <c r="I427" i="3"/>
  <c r="J427" i="3"/>
  <c r="K427" i="3"/>
  <c r="B428" i="3"/>
  <c r="C428" i="3"/>
  <c r="D428" i="3"/>
  <c r="E428" i="3"/>
  <c r="F428" i="3"/>
  <c r="G428" i="3"/>
  <c r="H428" i="3"/>
  <c r="I428" i="3"/>
  <c r="J428" i="3"/>
  <c r="K428" i="3"/>
  <c r="B429" i="3"/>
  <c r="C429" i="3"/>
  <c r="D429" i="3"/>
  <c r="E429" i="3"/>
  <c r="F429" i="3"/>
  <c r="G429" i="3"/>
  <c r="H429" i="3"/>
  <c r="I429" i="3"/>
  <c r="J429" i="3"/>
  <c r="K429" i="3"/>
  <c r="B430" i="3"/>
  <c r="C430" i="3"/>
  <c r="D430" i="3"/>
  <c r="E430" i="3"/>
  <c r="F430" i="3"/>
  <c r="G430" i="3"/>
  <c r="H430" i="3"/>
  <c r="I430" i="3"/>
  <c r="J430" i="3"/>
  <c r="K430" i="3"/>
  <c r="B431" i="3"/>
  <c r="C431" i="3"/>
  <c r="D431" i="3"/>
  <c r="E431" i="3"/>
  <c r="F431" i="3"/>
  <c r="G431" i="3"/>
  <c r="H431" i="3"/>
  <c r="I431" i="3"/>
  <c r="J431" i="3"/>
  <c r="K431" i="3"/>
  <c r="B432" i="3"/>
  <c r="C432" i="3"/>
  <c r="D432" i="3"/>
  <c r="E432" i="3"/>
  <c r="F432" i="3"/>
  <c r="G432" i="3"/>
  <c r="H432" i="3"/>
  <c r="I432" i="3"/>
  <c r="J432" i="3"/>
  <c r="K432" i="3"/>
  <c r="B433" i="3"/>
  <c r="C433" i="3"/>
  <c r="D433" i="3"/>
  <c r="E433" i="3"/>
  <c r="F433" i="3"/>
  <c r="G433" i="3"/>
  <c r="H433" i="3"/>
  <c r="I433" i="3"/>
  <c r="J433" i="3"/>
  <c r="K433" i="3"/>
  <c r="B434" i="3"/>
  <c r="C434" i="3"/>
  <c r="D434" i="3"/>
  <c r="E434" i="3"/>
  <c r="F434" i="3"/>
  <c r="G434" i="3"/>
  <c r="H434" i="3"/>
  <c r="I434" i="3"/>
  <c r="J434" i="3"/>
  <c r="K434" i="3"/>
  <c r="B435" i="3"/>
  <c r="C435" i="3"/>
  <c r="D435" i="3"/>
  <c r="E435" i="3"/>
  <c r="F435" i="3"/>
  <c r="G435" i="3"/>
  <c r="H435" i="3"/>
  <c r="I435" i="3"/>
  <c r="J435" i="3"/>
  <c r="K435" i="3"/>
  <c r="B436" i="3"/>
  <c r="C436" i="3"/>
  <c r="D436" i="3"/>
  <c r="E436" i="3"/>
  <c r="F436" i="3"/>
  <c r="G436" i="3"/>
  <c r="H436" i="3"/>
  <c r="I436" i="3"/>
  <c r="J436" i="3"/>
  <c r="K436" i="3"/>
  <c r="B437" i="3"/>
  <c r="C437" i="3"/>
  <c r="D437" i="3"/>
  <c r="E437" i="3"/>
  <c r="F437" i="3"/>
  <c r="G437" i="3"/>
  <c r="H437" i="3"/>
  <c r="I437" i="3"/>
  <c r="J437" i="3"/>
  <c r="K437" i="3"/>
  <c r="B438" i="3"/>
  <c r="C438" i="3"/>
  <c r="D438" i="3"/>
  <c r="E438" i="3"/>
  <c r="F438" i="3"/>
  <c r="G438" i="3"/>
  <c r="H438" i="3"/>
  <c r="I438" i="3"/>
  <c r="J438" i="3"/>
  <c r="K438" i="3"/>
  <c r="B439" i="3"/>
  <c r="C439" i="3"/>
  <c r="D439" i="3"/>
  <c r="E439" i="3"/>
  <c r="F439" i="3"/>
  <c r="G439" i="3"/>
  <c r="H439" i="3"/>
  <c r="I439" i="3"/>
  <c r="J439" i="3"/>
  <c r="K439" i="3"/>
  <c r="B440" i="3"/>
  <c r="C440" i="3"/>
  <c r="D440" i="3"/>
  <c r="E440" i="3"/>
  <c r="F440" i="3"/>
  <c r="G440" i="3"/>
  <c r="H440" i="3"/>
  <c r="I440" i="3"/>
  <c r="J440" i="3"/>
  <c r="K440" i="3"/>
  <c r="B441" i="3"/>
  <c r="C441" i="3"/>
  <c r="D441" i="3"/>
  <c r="E441" i="3"/>
  <c r="F441" i="3"/>
  <c r="G441" i="3"/>
  <c r="H441" i="3"/>
  <c r="I441" i="3"/>
  <c r="J441" i="3"/>
  <c r="K441" i="3"/>
  <c r="B442" i="3"/>
  <c r="C442" i="3"/>
  <c r="D442" i="3"/>
  <c r="E442" i="3"/>
  <c r="F442" i="3"/>
  <c r="G442" i="3"/>
  <c r="H442" i="3"/>
  <c r="I442" i="3"/>
  <c r="J442" i="3"/>
  <c r="K442" i="3"/>
  <c r="B443" i="3"/>
  <c r="C443" i="3"/>
  <c r="D443" i="3"/>
  <c r="E443" i="3"/>
  <c r="F443" i="3"/>
  <c r="F636" i="3" s="1"/>
  <c r="G443" i="3"/>
  <c r="H443" i="3"/>
  <c r="I443" i="3"/>
  <c r="J443" i="3"/>
  <c r="J636" i="3" s="1"/>
  <c r="K443" i="3"/>
  <c r="B444" i="3"/>
  <c r="C444" i="3"/>
  <c r="D444" i="3"/>
  <c r="E444" i="3"/>
  <c r="F444" i="3"/>
  <c r="G444" i="3"/>
  <c r="H444" i="3"/>
  <c r="H637" i="3" s="1"/>
  <c r="I444" i="3"/>
  <c r="J444" i="3"/>
  <c r="K444" i="3"/>
  <c r="B445" i="3"/>
  <c r="B637" i="3" s="1"/>
  <c r="C445" i="3"/>
  <c r="D445" i="3"/>
  <c r="E445" i="3"/>
  <c r="F445" i="3"/>
  <c r="F637" i="3" s="1"/>
  <c r="G445" i="3"/>
  <c r="H445" i="3"/>
  <c r="I445" i="3"/>
  <c r="J445" i="3"/>
  <c r="J637" i="3" s="1"/>
  <c r="K445" i="3"/>
  <c r="B446" i="3"/>
  <c r="C446" i="3"/>
  <c r="D446" i="3"/>
  <c r="E446" i="3"/>
  <c r="F446" i="3"/>
  <c r="G446" i="3"/>
  <c r="H446" i="3"/>
  <c r="I446" i="3"/>
  <c r="J446" i="3"/>
  <c r="K446" i="3"/>
  <c r="B447" i="3"/>
  <c r="C447" i="3"/>
  <c r="D447" i="3"/>
  <c r="E447" i="3"/>
  <c r="F447" i="3"/>
  <c r="G447" i="3"/>
  <c r="H447" i="3"/>
  <c r="I447" i="3"/>
  <c r="J447" i="3"/>
  <c r="K447" i="3"/>
  <c r="B448" i="3"/>
  <c r="C448" i="3"/>
  <c r="D448" i="3"/>
  <c r="E448" i="3"/>
  <c r="F448" i="3"/>
  <c r="G448" i="3"/>
  <c r="H448" i="3"/>
  <c r="I448" i="3"/>
  <c r="J448" i="3"/>
  <c r="K448" i="3"/>
  <c r="B449" i="3"/>
  <c r="C449" i="3"/>
  <c r="D449" i="3"/>
  <c r="E449" i="3"/>
  <c r="F449" i="3"/>
  <c r="G449" i="3"/>
  <c r="H449" i="3"/>
  <c r="I449" i="3"/>
  <c r="J449" i="3"/>
  <c r="K449" i="3"/>
  <c r="B450" i="3"/>
  <c r="C450" i="3"/>
  <c r="D450" i="3"/>
  <c r="E450" i="3"/>
  <c r="F450" i="3"/>
  <c r="G450" i="3"/>
  <c r="H450" i="3"/>
  <c r="I450" i="3"/>
  <c r="J450" i="3"/>
  <c r="K450" i="3"/>
  <c r="B451" i="3"/>
  <c r="C451" i="3"/>
  <c r="D451" i="3"/>
  <c r="E451" i="3"/>
  <c r="F451" i="3"/>
  <c r="G451" i="3"/>
  <c r="H451" i="3"/>
  <c r="I451" i="3"/>
  <c r="J451" i="3"/>
  <c r="K451" i="3"/>
  <c r="B452" i="3"/>
  <c r="C452" i="3"/>
  <c r="D452" i="3"/>
  <c r="E452" i="3"/>
  <c r="F452" i="3"/>
  <c r="G452" i="3"/>
  <c r="H452" i="3"/>
  <c r="I452" i="3"/>
  <c r="J452" i="3"/>
  <c r="K452" i="3"/>
  <c r="B453" i="3"/>
  <c r="C453" i="3"/>
  <c r="D453" i="3"/>
  <c r="E453" i="3"/>
  <c r="F453" i="3"/>
  <c r="G453" i="3"/>
  <c r="H453" i="3"/>
  <c r="I453" i="3"/>
  <c r="J453" i="3"/>
  <c r="K453" i="3"/>
  <c r="B454" i="3"/>
  <c r="C454" i="3"/>
  <c r="D454" i="3"/>
  <c r="E454" i="3"/>
  <c r="F454" i="3"/>
  <c r="G454" i="3"/>
  <c r="H454" i="3"/>
  <c r="I454" i="3"/>
  <c r="J454" i="3"/>
  <c r="K454" i="3"/>
  <c r="B455" i="3"/>
  <c r="C455" i="3"/>
  <c r="D455" i="3"/>
  <c r="E455" i="3"/>
  <c r="F455" i="3"/>
  <c r="G455" i="3"/>
  <c r="H455" i="3"/>
  <c r="I455" i="3"/>
  <c r="J455" i="3"/>
  <c r="K455" i="3"/>
  <c r="B456" i="3"/>
  <c r="C456" i="3"/>
  <c r="D456" i="3"/>
  <c r="E456" i="3"/>
  <c r="F456" i="3"/>
  <c r="G456" i="3"/>
  <c r="H456" i="3"/>
  <c r="H638" i="3" s="1"/>
  <c r="I456" i="3"/>
  <c r="J456" i="3"/>
  <c r="K456" i="3"/>
  <c r="B457" i="3"/>
  <c r="C457" i="3"/>
  <c r="D457" i="3"/>
  <c r="E457" i="3"/>
  <c r="F457" i="3"/>
  <c r="F638" i="3" s="1"/>
  <c r="G457" i="3"/>
  <c r="H457" i="3"/>
  <c r="I457" i="3"/>
  <c r="J457" i="3"/>
  <c r="J638" i="3" s="1"/>
  <c r="K457" i="3"/>
  <c r="B458" i="3"/>
  <c r="C458" i="3"/>
  <c r="D458" i="3"/>
  <c r="E458" i="3"/>
  <c r="F458" i="3"/>
  <c r="G458" i="3"/>
  <c r="H458" i="3"/>
  <c r="I458" i="3"/>
  <c r="J458" i="3"/>
  <c r="K458" i="3"/>
  <c r="B459" i="3"/>
  <c r="C459" i="3"/>
  <c r="D459" i="3"/>
  <c r="E459" i="3"/>
  <c r="F459" i="3"/>
  <c r="G459" i="3"/>
  <c r="H459" i="3"/>
  <c r="I459" i="3"/>
  <c r="J459" i="3"/>
  <c r="K459" i="3"/>
  <c r="B460" i="3"/>
  <c r="C460" i="3"/>
  <c r="D460" i="3"/>
  <c r="E460" i="3"/>
  <c r="F460" i="3"/>
  <c r="G460" i="3"/>
  <c r="H460" i="3"/>
  <c r="I460" i="3"/>
  <c r="J460" i="3"/>
  <c r="K460" i="3"/>
  <c r="B461" i="3"/>
  <c r="C461" i="3"/>
  <c r="D461" i="3"/>
  <c r="E461" i="3"/>
  <c r="F461" i="3"/>
  <c r="G461" i="3"/>
  <c r="H461" i="3"/>
  <c r="I461" i="3"/>
  <c r="J461" i="3"/>
  <c r="K461" i="3"/>
  <c r="B462" i="3"/>
  <c r="C462" i="3"/>
  <c r="D462" i="3"/>
  <c r="E462" i="3"/>
  <c r="F462" i="3"/>
  <c r="G462" i="3"/>
  <c r="H462" i="3"/>
  <c r="I462" i="3"/>
  <c r="J462" i="3"/>
  <c r="K462" i="3"/>
  <c r="B463" i="3"/>
  <c r="C463" i="3"/>
  <c r="D463" i="3"/>
  <c r="E463" i="3"/>
  <c r="F463" i="3"/>
  <c r="G463" i="3"/>
  <c r="H463" i="3"/>
  <c r="I463" i="3"/>
  <c r="J463" i="3"/>
  <c r="K463" i="3"/>
  <c r="B464" i="3"/>
  <c r="C464" i="3"/>
  <c r="D464" i="3"/>
  <c r="E464" i="3"/>
  <c r="F464" i="3"/>
  <c r="G464" i="3"/>
  <c r="H464" i="3"/>
  <c r="I464" i="3"/>
  <c r="J464" i="3"/>
  <c r="K464" i="3"/>
  <c r="B465" i="3"/>
  <c r="C465" i="3"/>
  <c r="D465" i="3"/>
  <c r="E465" i="3"/>
  <c r="F465" i="3"/>
  <c r="G465" i="3"/>
  <c r="H465" i="3"/>
  <c r="I465" i="3"/>
  <c r="J465" i="3"/>
  <c r="K465" i="3"/>
  <c r="B466" i="3"/>
  <c r="C466" i="3"/>
  <c r="D466" i="3"/>
  <c r="E466" i="3"/>
  <c r="F466" i="3"/>
  <c r="G466" i="3"/>
  <c r="H466" i="3"/>
  <c r="I466" i="3"/>
  <c r="J466" i="3"/>
  <c r="K466" i="3"/>
  <c r="B467" i="3"/>
  <c r="C467" i="3"/>
  <c r="D467" i="3"/>
  <c r="E467" i="3"/>
  <c r="F467" i="3"/>
  <c r="G467" i="3"/>
  <c r="H467" i="3"/>
  <c r="I467" i="3"/>
  <c r="J467" i="3"/>
  <c r="K467" i="3"/>
  <c r="B468" i="3"/>
  <c r="C468" i="3"/>
  <c r="D468" i="3"/>
  <c r="E468" i="3"/>
  <c r="F468" i="3"/>
  <c r="G468" i="3"/>
  <c r="H468" i="3"/>
  <c r="H639" i="3" s="1"/>
  <c r="I468" i="3"/>
  <c r="J468" i="3"/>
  <c r="K468" i="3"/>
  <c r="B469" i="3"/>
  <c r="B639" i="3" s="1"/>
  <c r="C469" i="3"/>
  <c r="D469" i="3"/>
  <c r="E469" i="3"/>
  <c r="F469" i="3"/>
  <c r="F639" i="3" s="1"/>
  <c r="G469" i="3"/>
  <c r="H469" i="3"/>
  <c r="I469" i="3"/>
  <c r="J469" i="3"/>
  <c r="J639" i="3" s="1"/>
  <c r="K469" i="3"/>
  <c r="B470" i="3"/>
  <c r="C470" i="3"/>
  <c r="D470" i="3"/>
  <c r="E470" i="3"/>
  <c r="F470" i="3"/>
  <c r="G470" i="3"/>
  <c r="H470" i="3"/>
  <c r="I470" i="3"/>
  <c r="J470" i="3"/>
  <c r="K470" i="3"/>
  <c r="B471" i="3"/>
  <c r="C471" i="3"/>
  <c r="D471" i="3"/>
  <c r="E471" i="3"/>
  <c r="F471" i="3"/>
  <c r="G471" i="3"/>
  <c r="H471" i="3"/>
  <c r="I471" i="3"/>
  <c r="J471" i="3"/>
  <c r="K471" i="3"/>
  <c r="B472" i="3"/>
  <c r="C472" i="3"/>
  <c r="D472" i="3"/>
  <c r="E472" i="3"/>
  <c r="F472" i="3"/>
  <c r="G472" i="3"/>
  <c r="H472" i="3"/>
  <c r="I472" i="3"/>
  <c r="J472" i="3"/>
  <c r="K472" i="3"/>
  <c r="B473" i="3"/>
  <c r="C473" i="3"/>
  <c r="D473" i="3"/>
  <c r="E473" i="3"/>
  <c r="F473" i="3"/>
  <c r="G473" i="3"/>
  <c r="H473" i="3"/>
  <c r="I473" i="3"/>
  <c r="J473" i="3"/>
  <c r="K473" i="3"/>
  <c r="B474" i="3"/>
  <c r="C474" i="3"/>
  <c r="D474" i="3"/>
  <c r="E474" i="3"/>
  <c r="F474" i="3"/>
  <c r="G474" i="3"/>
  <c r="H474" i="3"/>
  <c r="I474" i="3"/>
  <c r="J474" i="3"/>
  <c r="K474" i="3"/>
  <c r="B475" i="3"/>
  <c r="C475" i="3"/>
  <c r="D475" i="3"/>
  <c r="E475" i="3"/>
  <c r="F475" i="3"/>
  <c r="G475" i="3"/>
  <c r="H475" i="3"/>
  <c r="I475" i="3"/>
  <c r="J475" i="3"/>
  <c r="K475" i="3"/>
  <c r="B476" i="3"/>
  <c r="C476" i="3"/>
  <c r="D476" i="3"/>
  <c r="E476" i="3"/>
  <c r="F476" i="3"/>
  <c r="G476" i="3"/>
  <c r="H476" i="3"/>
  <c r="I476" i="3"/>
  <c r="J476" i="3"/>
  <c r="K476" i="3"/>
  <c r="B477" i="3"/>
  <c r="C477" i="3"/>
  <c r="D477" i="3"/>
  <c r="E477" i="3"/>
  <c r="F477" i="3"/>
  <c r="G477" i="3"/>
  <c r="H477" i="3"/>
  <c r="I477" i="3"/>
  <c r="J477" i="3"/>
  <c r="K477" i="3"/>
  <c r="B478" i="3"/>
  <c r="C478" i="3"/>
  <c r="D478" i="3"/>
  <c r="E478" i="3"/>
  <c r="F478" i="3"/>
  <c r="G478" i="3"/>
  <c r="H478" i="3"/>
  <c r="I478" i="3"/>
  <c r="J478" i="3"/>
  <c r="K478" i="3"/>
  <c r="B479" i="3"/>
  <c r="C479" i="3"/>
  <c r="D479" i="3"/>
  <c r="E479" i="3"/>
  <c r="F479" i="3"/>
  <c r="G479" i="3"/>
  <c r="H479" i="3"/>
  <c r="I479" i="3"/>
  <c r="J479" i="3"/>
  <c r="K479" i="3"/>
  <c r="B480" i="3"/>
  <c r="C480" i="3"/>
  <c r="D480" i="3"/>
  <c r="E480" i="3"/>
  <c r="F480" i="3"/>
  <c r="G480" i="3"/>
  <c r="H480" i="3"/>
  <c r="H640" i="3" s="1"/>
  <c r="I480" i="3"/>
  <c r="J480" i="3"/>
  <c r="K480" i="3"/>
  <c r="B481" i="3"/>
  <c r="C481" i="3"/>
  <c r="D481" i="3"/>
  <c r="E481" i="3"/>
  <c r="F481" i="3"/>
  <c r="F640" i="3" s="1"/>
  <c r="G481" i="3"/>
  <c r="H481" i="3"/>
  <c r="I481" i="3"/>
  <c r="J481" i="3"/>
  <c r="J640" i="3" s="1"/>
  <c r="K481" i="3"/>
  <c r="B482" i="3"/>
  <c r="C482" i="3"/>
  <c r="D482" i="3"/>
  <c r="E482" i="3"/>
  <c r="F482" i="3"/>
  <c r="G482" i="3"/>
  <c r="H482" i="3"/>
  <c r="I482" i="3"/>
  <c r="J482" i="3"/>
  <c r="K482" i="3"/>
  <c r="B483" i="3"/>
  <c r="C483" i="3"/>
  <c r="D483" i="3"/>
  <c r="E483" i="3"/>
  <c r="F483" i="3"/>
  <c r="G483" i="3"/>
  <c r="H483" i="3"/>
  <c r="I483" i="3"/>
  <c r="J483" i="3"/>
  <c r="K483" i="3"/>
  <c r="B484" i="3"/>
  <c r="C484" i="3"/>
  <c r="D484" i="3"/>
  <c r="E484" i="3"/>
  <c r="F484" i="3"/>
  <c r="G484" i="3"/>
  <c r="H484" i="3"/>
  <c r="I484" i="3"/>
  <c r="J484" i="3"/>
  <c r="K484" i="3"/>
  <c r="B485" i="3"/>
  <c r="C485" i="3"/>
  <c r="D485" i="3"/>
  <c r="E485" i="3"/>
  <c r="F485" i="3"/>
  <c r="G485" i="3"/>
  <c r="H485" i="3"/>
  <c r="I485" i="3"/>
  <c r="J485" i="3"/>
  <c r="K485" i="3"/>
  <c r="B486" i="3"/>
  <c r="C486" i="3"/>
  <c r="D486" i="3"/>
  <c r="E486" i="3"/>
  <c r="F486" i="3"/>
  <c r="G486" i="3"/>
  <c r="H486" i="3"/>
  <c r="I486" i="3"/>
  <c r="J486" i="3"/>
  <c r="K486" i="3"/>
  <c r="B487" i="3"/>
  <c r="C487" i="3"/>
  <c r="D487" i="3"/>
  <c r="E487" i="3"/>
  <c r="F487" i="3"/>
  <c r="G487" i="3"/>
  <c r="H487" i="3"/>
  <c r="I487" i="3"/>
  <c r="J487" i="3"/>
  <c r="K487" i="3"/>
  <c r="B488" i="3"/>
  <c r="C488" i="3"/>
  <c r="D488" i="3"/>
  <c r="E488" i="3"/>
  <c r="F488" i="3"/>
  <c r="G488" i="3"/>
  <c r="H488" i="3"/>
  <c r="I488" i="3"/>
  <c r="J488" i="3"/>
  <c r="K488" i="3"/>
  <c r="B489" i="3"/>
  <c r="C489" i="3"/>
  <c r="D489" i="3"/>
  <c r="E489" i="3"/>
  <c r="F489" i="3"/>
  <c r="G489" i="3"/>
  <c r="H489" i="3"/>
  <c r="I489" i="3"/>
  <c r="J489" i="3"/>
  <c r="K489" i="3"/>
  <c r="B490" i="3"/>
  <c r="C490" i="3"/>
  <c r="D490" i="3"/>
  <c r="E490" i="3"/>
  <c r="F490" i="3"/>
  <c r="G490" i="3"/>
  <c r="H490" i="3"/>
  <c r="I490" i="3"/>
  <c r="J490" i="3"/>
  <c r="K490" i="3"/>
  <c r="B491" i="3"/>
  <c r="C491" i="3"/>
  <c r="D491" i="3"/>
  <c r="E491" i="3"/>
  <c r="F491" i="3"/>
  <c r="G491" i="3"/>
  <c r="H491" i="3"/>
  <c r="I491" i="3"/>
  <c r="J491" i="3"/>
  <c r="K491" i="3"/>
  <c r="B492" i="3"/>
  <c r="C492" i="3"/>
  <c r="D492" i="3"/>
  <c r="E492" i="3"/>
  <c r="F492" i="3"/>
  <c r="G492" i="3"/>
  <c r="H492" i="3"/>
  <c r="H641" i="3" s="1"/>
  <c r="I492" i="3"/>
  <c r="J492" i="3"/>
  <c r="K492" i="3"/>
  <c r="B493" i="3"/>
  <c r="B641" i="3" s="1"/>
  <c r="C493" i="3"/>
  <c r="D493" i="3"/>
  <c r="E493" i="3"/>
  <c r="F493" i="3"/>
  <c r="F641" i="3" s="1"/>
  <c r="G493" i="3"/>
  <c r="H493" i="3"/>
  <c r="I493" i="3"/>
  <c r="J493" i="3"/>
  <c r="J641" i="3" s="1"/>
  <c r="K493" i="3"/>
  <c r="B494" i="3"/>
  <c r="C494" i="3"/>
  <c r="D494" i="3"/>
  <c r="E494" i="3"/>
  <c r="F494" i="3"/>
  <c r="G494" i="3"/>
  <c r="H494" i="3"/>
  <c r="I494" i="3"/>
  <c r="J494" i="3"/>
  <c r="K494" i="3"/>
  <c r="B495" i="3"/>
  <c r="C495" i="3"/>
  <c r="D495" i="3"/>
  <c r="E495" i="3"/>
  <c r="F495" i="3"/>
  <c r="G495" i="3"/>
  <c r="H495" i="3"/>
  <c r="I495" i="3"/>
  <c r="J495" i="3"/>
  <c r="K495" i="3"/>
  <c r="B496" i="3"/>
  <c r="C496" i="3"/>
  <c r="D496" i="3"/>
  <c r="E496" i="3"/>
  <c r="F496" i="3"/>
  <c r="G496" i="3"/>
  <c r="H496" i="3"/>
  <c r="I496" i="3"/>
  <c r="J496" i="3"/>
  <c r="K496" i="3"/>
  <c r="B497" i="3"/>
  <c r="C497" i="3"/>
  <c r="D497" i="3"/>
  <c r="E497" i="3"/>
  <c r="F497" i="3"/>
  <c r="G497" i="3"/>
  <c r="H497" i="3"/>
  <c r="I497" i="3"/>
  <c r="J497" i="3"/>
  <c r="K497" i="3"/>
  <c r="B498" i="3"/>
  <c r="C498" i="3"/>
  <c r="D498" i="3"/>
  <c r="E498" i="3"/>
  <c r="F498" i="3"/>
  <c r="G498" i="3"/>
  <c r="H498" i="3"/>
  <c r="I498" i="3"/>
  <c r="J498" i="3"/>
  <c r="K498" i="3"/>
  <c r="B499" i="3"/>
  <c r="C499" i="3"/>
  <c r="D499" i="3"/>
  <c r="E499" i="3"/>
  <c r="F499" i="3"/>
  <c r="G499" i="3"/>
  <c r="H499" i="3"/>
  <c r="I499" i="3"/>
  <c r="J499" i="3"/>
  <c r="K499" i="3"/>
  <c r="B500" i="3"/>
  <c r="C500" i="3"/>
  <c r="D500" i="3"/>
  <c r="E500" i="3"/>
  <c r="F500" i="3"/>
  <c r="G500" i="3"/>
  <c r="H500" i="3"/>
  <c r="I500" i="3"/>
  <c r="J500" i="3"/>
  <c r="K500" i="3"/>
  <c r="B501" i="3"/>
  <c r="C501" i="3"/>
  <c r="D501" i="3"/>
  <c r="E501" i="3"/>
  <c r="F501" i="3"/>
  <c r="G501" i="3"/>
  <c r="H501" i="3"/>
  <c r="I501" i="3"/>
  <c r="J501" i="3"/>
  <c r="K501" i="3"/>
  <c r="B502" i="3"/>
  <c r="C502" i="3"/>
  <c r="D502" i="3"/>
  <c r="E502" i="3"/>
  <c r="F502" i="3"/>
  <c r="G502" i="3"/>
  <c r="H502" i="3"/>
  <c r="I502" i="3"/>
  <c r="J502" i="3"/>
  <c r="K502" i="3"/>
  <c r="B503" i="3"/>
  <c r="C503" i="3"/>
  <c r="D503" i="3"/>
  <c r="E503" i="3"/>
  <c r="F503" i="3"/>
  <c r="G503" i="3"/>
  <c r="H503" i="3"/>
  <c r="I503" i="3"/>
  <c r="J503" i="3"/>
  <c r="K503" i="3"/>
  <c r="B504" i="3"/>
  <c r="C504" i="3"/>
  <c r="D504" i="3"/>
  <c r="E504" i="3"/>
  <c r="F504" i="3"/>
  <c r="G504" i="3"/>
  <c r="H504" i="3"/>
  <c r="H642" i="3" s="1"/>
  <c r="I504" i="3"/>
  <c r="J504" i="3"/>
  <c r="K504" i="3"/>
  <c r="B505" i="3"/>
  <c r="C505" i="3"/>
  <c r="D505" i="3"/>
  <c r="E505" i="3"/>
  <c r="F505" i="3"/>
  <c r="F642" i="3" s="1"/>
  <c r="G505" i="3"/>
  <c r="H505" i="3"/>
  <c r="I505" i="3"/>
  <c r="J505" i="3"/>
  <c r="J642" i="3" s="1"/>
  <c r="K505" i="3"/>
  <c r="B506" i="3"/>
  <c r="C506" i="3"/>
  <c r="D506" i="3"/>
  <c r="E506" i="3"/>
  <c r="F506" i="3"/>
  <c r="G506" i="3"/>
  <c r="H506" i="3"/>
  <c r="I506" i="3"/>
  <c r="J506" i="3"/>
  <c r="K506" i="3"/>
  <c r="B507" i="3"/>
  <c r="C507" i="3"/>
  <c r="D507" i="3"/>
  <c r="E507" i="3"/>
  <c r="F507" i="3"/>
  <c r="G507" i="3"/>
  <c r="H507" i="3"/>
  <c r="I507" i="3"/>
  <c r="J507" i="3"/>
  <c r="K507" i="3"/>
  <c r="B508" i="3"/>
  <c r="C508" i="3"/>
  <c r="D508" i="3"/>
  <c r="E508" i="3"/>
  <c r="F508" i="3"/>
  <c r="G508" i="3"/>
  <c r="H508" i="3"/>
  <c r="I508" i="3"/>
  <c r="J508" i="3"/>
  <c r="K508" i="3"/>
  <c r="B509" i="3"/>
  <c r="C509" i="3"/>
  <c r="D509" i="3"/>
  <c r="E509" i="3"/>
  <c r="F509" i="3"/>
  <c r="G509" i="3"/>
  <c r="H509" i="3"/>
  <c r="I509" i="3"/>
  <c r="J509" i="3"/>
  <c r="K509" i="3"/>
  <c r="B510" i="3"/>
  <c r="C510" i="3"/>
  <c r="D510" i="3"/>
  <c r="E510" i="3"/>
  <c r="F510" i="3"/>
  <c r="G510" i="3"/>
  <c r="H510" i="3"/>
  <c r="I510" i="3"/>
  <c r="J510" i="3"/>
  <c r="K510" i="3"/>
  <c r="B511" i="3"/>
  <c r="C511" i="3"/>
  <c r="D511" i="3"/>
  <c r="E511" i="3"/>
  <c r="F511" i="3"/>
  <c r="G511" i="3"/>
  <c r="H511" i="3"/>
  <c r="I511" i="3"/>
  <c r="J511" i="3"/>
  <c r="K511" i="3"/>
  <c r="B512" i="3"/>
  <c r="C512" i="3"/>
  <c r="D512" i="3"/>
  <c r="E512" i="3"/>
  <c r="F512" i="3"/>
  <c r="G512" i="3"/>
  <c r="H512" i="3"/>
  <c r="I512" i="3"/>
  <c r="J512" i="3"/>
  <c r="K512" i="3"/>
  <c r="B513" i="3"/>
  <c r="C513" i="3"/>
  <c r="D513" i="3"/>
  <c r="E513" i="3"/>
  <c r="F513" i="3"/>
  <c r="G513" i="3"/>
  <c r="H513" i="3"/>
  <c r="I513" i="3"/>
  <c r="J513" i="3"/>
  <c r="K513" i="3"/>
  <c r="B514" i="3"/>
  <c r="C514" i="3"/>
  <c r="D514" i="3"/>
  <c r="E514" i="3"/>
  <c r="F514" i="3"/>
  <c r="G514" i="3"/>
  <c r="H514" i="3"/>
  <c r="I514" i="3"/>
  <c r="J514" i="3"/>
  <c r="K514" i="3"/>
  <c r="B515" i="3"/>
  <c r="C515" i="3"/>
  <c r="D515" i="3"/>
  <c r="E515" i="3"/>
  <c r="F515" i="3"/>
  <c r="G515" i="3"/>
  <c r="H515" i="3"/>
  <c r="I515" i="3"/>
  <c r="J515" i="3"/>
  <c r="K515" i="3"/>
  <c r="B516" i="3"/>
  <c r="C516" i="3"/>
  <c r="D516" i="3"/>
  <c r="E516" i="3"/>
  <c r="F516" i="3"/>
  <c r="G516" i="3"/>
  <c r="H516" i="3"/>
  <c r="H643" i="3" s="1"/>
  <c r="I516" i="3"/>
  <c r="J516" i="3"/>
  <c r="K516" i="3"/>
  <c r="B517" i="3"/>
  <c r="B643" i="3" s="1"/>
  <c r="C517" i="3"/>
  <c r="D517" i="3"/>
  <c r="E517" i="3"/>
  <c r="F517" i="3"/>
  <c r="F643" i="3" s="1"/>
  <c r="G517" i="3"/>
  <c r="H517" i="3"/>
  <c r="I517" i="3"/>
  <c r="J517" i="3"/>
  <c r="J643" i="3" s="1"/>
  <c r="K517" i="3"/>
  <c r="B518" i="3"/>
  <c r="C518" i="3"/>
  <c r="D518" i="3"/>
  <c r="E518" i="3"/>
  <c r="F518" i="3"/>
  <c r="G518" i="3"/>
  <c r="H518" i="3"/>
  <c r="I518" i="3"/>
  <c r="J518" i="3"/>
  <c r="K518" i="3"/>
  <c r="B519" i="3"/>
  <c r="C519" i="3"/>
  <c r="D519" i="3"/>
  <c r="E519" i="3"/>
  <c r="F519" i="3"/>
  <c r="G519" i="3"/>
  <c r="H519" i="3"/>
  <c r="I519" i="3"/>
  <c r="J519" i="3"/>
  <c r="K519" i="3"/>
  <c r="B520" i="3"/>
  <c r="C520" i="3"/>
  <c r="D520" i="3"/>
  <c r="E520" i="3"/>
  <c r="F520" i="3"/>
  <c r="G520" i="3"/>
  <c r="H520" i="3"/>
  <c r="I520" i="3"/>
  <c r="J520" i="3"/>
  <c r="K520" i="3"/>
  <c r="B521" i="3"/>
  <c r="C521" i="3"/>
  <c r="D521" i="3"/>
  <c r="E521" i="3"/>
  <c r="F521" i="3"/>
  <c r="G521" i="3"/>
  <c r="H521" i="3"/>
  <c r="I521" i="3"/>
  <c r="J521" i="3"/>
  <c r="K521" i="3"/>
  <c r="B522" i="3"/>
  <c r="C522" i="3"/>
  <c r="D522" i="3"/>
  <c r="E522" i="3"/>
  <c r="F522" i="3"/>
  <c r="G522" i="3"/>
  <c r="H522" i="3"/>
  <c r="I522" i="3"/>
  <c r="J522" i="3"/>
  <c r="K522" i="3"/>
  <c r="B523" i="3"/>
  <c r="C523" i="3"/>
  <c r="D523" i="3"/>
  <c r="E523" i="3"/>
  <c r="F523" i="3"/>
  <c r="G523" i="3"/>
  <c r="H523" i="3"/>
  <c r="I523" i="3"/>
  <c r="J523" i="3"/>
  <c r="K523" i="3"/>
  <c r="B524" i="3"/>
  <c r="C524" i="3"/>
  <c r="D524" i="3"/>
  <c r="E524" i="3"/>
  <c r="F524" i="3"/>
  <c r="G524" i="3"/>
  <c r="H524" i="3"/>
  <c r="I524" i="3"/>
  <c r="J524" i="3"/>
  <c r="K524" i="3"/>
  <c r="B525" i="3"/>
  <c r="C525" i="3"/>
  <c r="D525" i="3"/>
  <c r="E525" i="3"/>
  <c r="F525" i="3"/>
  <c r="G525" i="3"/>
  <c r="H525" i="3"/>
  <c r="I525" i="3"/>
  <c r="J525" i="3"/>
  <c r="K525" i="3"/>
  <c r="B526" i="3"/>
  <c r="C526" i="3"/>
  <c r="D526" i="3"/>
  <c r="E526" i="3"/>
  <c r="F526" i="3"/>
  <c r="G526" i="3"/>
  <c r="H526" i="3"/>
  <c r="I526" i="3"/>
  <c r="J526" i="3"/>
  <c r="K526" i="3"/>
  <c r="B527" i="3"/>
  <c r="C527" i="3"/>
  <c r="D527" i="3"/>
  <c r="E527" i="3"/>
  <c r="F527" i="3"/>
  <c r="G527" i="3"/>
  <c r="H527" i="3"/>
  <c r="I527" i="3"/>
  <c r="J527" i="3"/>
  <c r="K527" i="3"/>
  <c r="B528" i="3"/>
  <c r="C528" i="3"/>
  <c r="D528" i="3"/>
  <c r="E528" i="3"/>
  <c r="F528" i="3"/>
  <c r="G528" i="3"/>
  <c r="H528" i="3"/>
  <c r="H644" i="3" s="1"/>
  <c r="I528" i="3"/>
  <c r="J528" i="3"/>
  <c r="K528" i="3"/>
  <c r="B529" i="3"/>
  <c r="C529" i="3"/>
  <c r="D529" i="3"/>
  <c r="E529" i="3"/>
  <c r="F529" i="3"/>
  <c r="F644" i="3" s="1"/>
  <c r="G529" i="3"/>
  <c r="H529" i="3"/>
  <c r="I529" i="3"/>
  <c r="J529" i="3"/>
  <c r="J644" i="3" s="1"/>
  <c r="K529" i="3"/>
  <c r="B530" i="3"/>
  <c r="C530" i="3"/>
  <c r="D530" i="3"/>
  <c r="E530" i="3"/>
  <c r="F530" i="3"/>
  <c r="G530" i="3"/>
  <c r="H530" i="3"/>
  <c r="I530" i="3"/>
  <c r="J530" i="3"/>
  <c r="K530" i="3"/>
  <c r="B531" i="3"/>
  <c r="C531" i="3"/>
  <c r="D531" i="3"/>
  <c r="E531" i="3"/>
  <c r="F531" i="3"/>
  <c r="G531" i="3"/>
  <c r="H531" i="3"/>
  <c r="I531" i="3"/>
  <c r="J531" i="3"/>
  <c r="K531" i="3"/>
  <c r="B532" i="3"/>
  <c r="C532" i="3"/>
  <c r="D532" i="3"/>
  <c r="E532" i="3"/>
  <c r="F532" i="3"/>
  <c r="G532" i="3"/>
  <c r="H532" i="3"/>
  <c r="I532" i="3"/>
  <c r="J532" i="3"/>
  <c r="K532" i="3"/>
  <c r="B533" i="3"/>
  <c r="C533" i="3"/>
  <c r="D533" i="3"/>
  <c r="E533" i="3"/>
  <c r="F533" i="3"/>
  <c r="G533" i="3"/>
  <c r="H533" i="3"/>
  <c r="I533" i="3"/>
  <c r="J533" i="3"/>
  <c r="K533" i="3"/>
  <c r="B534" i="3"/>
  <c r="C534" i="3"/>
  <c r="D534" i="3"/>
  <c r="E534" i="3"/>
  <c r="F534" i="3"/>
  <c r="G534" i="3"/>
  <c r="H534" i="3"/>
  <c r="I534" i="3"/>
  <c r="J534" i="3"/>
  <c r="K534" i="3"/>
  <c r="B535" i="3"/>
  <c r="C535" i="3"/>
  <c r="D535" i="3"/>
  <c r="E535" i="3"/>
  <c r="F535" i="3"/>
  <c r="G535" i="3"/>
  <c r="H535" i="3"/>
  <c r="I535" i="3"/>
  <c r="J535" i="3"/>
  <c r="K535" i="3"/>
  <c r="B536" i="3"/>
  <c r="C536" i="3"/>
  <c r="D536" i="3"/>
  <c r="E536" i="3"/>
  <c r="F536" i="3"/>
  <c r="G536" i="3"/>
  <c r="H536" i="3"/>
  <c r="I536" i="3"/>
  <c r="J536" i="3"/>
  <c r="K536" i="3"/>
  <c r="B537" i="3"/>
  <c r="C537" i="3"/>
  <c r="D537" i="3"/>
  <c r="E537" i="3"/>
  <c r="F537" i="3"/>
  <c r="G537" i="3"/>
  <c r="H537" i="3"/>
  <c r="I537" i="3"/>
  <c r="J537" i="3"/>
  <c r="K537" i="3"/>
  <c r="B538" i="3"/>
  <c r="C538" i="3"/>
  <c r="D538" i="3"/>
  <c r="E538" i="3"/>
  <c r="F538" i="3"/>
  <c r="G538" i="3"/>
  <c r="H538" i="3"/>
  <c r="I538" i="3"/>
  <c r="J538" i="3"/>
  <c r="K538" i="3"/>
  <c r="B539" i="3"/>
  <c r="C539" i="3"/>
  <c r="D539" i="3"/>
  <c r="E539" i="3"/>
  <c r="F539" i="3"/>
  <c r="G539" i="3"/>
  <c r="H539" i="3"/>
  <c r="I539" i="3"/>
  <c r="J539" i="3"/>
  <c r="K539" i="3"/>
  <c r="B540" i="3"/>
  <c r="C540" i="3"/>
  <c r="D540" i="3"/>
  <c r="E540" i="3"/>
  <c r="F540" i="3"/>
  <c r="G540" i="3"/>
  <c r="H540" i="3"/>
  <c r="H645" i="3" s="1"/>
  <c r="I540" i="3"/>
  <c r="J540" i="3"/>
  <c r="K540" i="3"/>
  <c r="B541" i="3"/>
  <c r="B645" i="3" s="1"/>
  <c r="C541" i="3"/>
  <c r="D541" i="3"/>
  <c r="E541" i="3"/>
  <c r="F541" i="3"/>
  <c r="F645" i="3" s="1"/>
  <c r="G541" i="3"/>
  <c r="H541" i="3"/>
  <c r="I541" i="3"/>
  <c r="J541" i="3"/>
  <c r="J645" i="3" s="1"/>
  <c r="K541" i="3"/>
  <c r="B542" i="3"/>
  <c r="C542" i="3"/>
  <c r="D542" i="3"/>
  <c r="E542" i="3"/>
  <c r="F542" i="3"/>
  <c r="G542" i="3"/>
  <c r="H542" i="3"/>
  <c r="I542" i="3"/>
  <c r="J542" i="3"/>
  <c r="K542" i="3"/>
  <c r="B543" i="3"/>
  <c r="C543" i="3"/>
  <c r="D543" i="3"/>
  <c r="E543" i="3"/>
  <c r="F543" i="3"/>
  <c r="G543" i="3"/>
  <c r="H543" i="3"/>
  <c r="I543" i="3"/>
  <c r="J543" i="3"/>
  <c r="K543" i="3"/>
  <c r="B544" i="3"/>
  <c r="C544" i="3"/>
  <c r="D544" i="3"/>
  <c r="E544" i="3"/>
  <c r="F544" i="3"/>
  <c r="G544" i="3"/>
  <c r="H544" i="3"/>
  <c r="I544" i="3"/>
  <c r="J544" i="3"/>
  <c r="K544" i="3"/>
  <c r="B545" i="3"/>
  <c r="C545" i="3"/>
  <c r="D545" i="3"/>
  <c r="E545" i="3"/>
  <c r="F545" i="3"/>
  <c r="G545" i="3"/>
  <c r="H545" i="3"/>
  <c r="I545" i="3"/>
  <c r="J545" i="3"/>
  <c r="K545" i="3"/>
  <c r="B546" i="3"/>
  <c r="C546" i="3"/>
  <c r="D546" i="3"/>
  <c r="E546" i="3"/>
  <c r="F546" i="3"/>
  <c r="G546" i="3"/>
  <c r="H546" i="3"/>
  <c r="I546" i="3"/>
  <c r="J546" i="3"/>
  <c r="K546" i="3"/>
  <c r="B547" i="3"/>
  <c r="C547" i="3"/>
  <c r="D547" i="3"/>
  <c r="E547" i="3"/>
  <c r="F547" i="3"/>
  <c r="G547" i="3"/>
  <c r="H547" i="3"/>
  <c r="I547" i="3"/>
  <c r="J547" i="3"/>
  <c r="K547" i="3"/>
  <c r="B548" i="3"/>
  <c r="C548" i="3"/>
  <c r="D548" i="3"/>
  <c r="E548" i="3"/>
  <c r="F548" i="3"/>
  <c r="G548" i="3"/>
  <c r="H548" i="3"/>
  <c r="I548" i="3"/>
  <c r="J548" i="3"/>
  <c r="K548" i="3"/>
  <c r="B549" i="3"/>
  <c r="C549" i="3"/>
  <c r="D549" i="3"/>
  <c r="E549" i="3"/>
  <c r="F549" i="3"/>
  <c r="G549" i="3"/>
  <c r="H549" i="3"/>
  <c r="I549" i="3"/>
  <c r="J549" i="3"/>
  <c r="K549" i="3"/>
  <c r="B550" i="3"/>
  <c r="C550" i="3"/>
  <c r="D550" i="3"/>
  <c r="E550" i="3"/>
  <c r="F550" i="3"/>
  <c r="G550" i="3"/>
  <c r="H550" i="3"/>
  <c r="I550" i="3"/>
  <c r="J550" i="3"/>
  <c r="K550" i="3"/>
  <c r="B551" i="3"/>
  <c r="C551" i="3"/>
  <c r="D551" i="3"/>
  <c r="E551" i="3"/>
  <c r="F551" i="3"/>
  <c r="G551" i="3"/>
  <c r="H551" i="3"/>
  <c r="I551" i="3"/>
  <c r="J551" i="3"/>
  <c r="K551" i="3"/>
  <c r="B552" i="3"/>
  <c r="C552" i="3"/>
  <c r="D552" i="3"/>
  <c r="E552" i="3"/>
  <c r="F552" i="3"/>
  <c r="G552" i="3"/>
  <c r="H552" i="3"/>
  <c r="H646" i="3" s="1"/>
  <c r="I552" i="3"/>
  <c r="J552" i="3"/>
  <c r="K552" i="3"/>
  <c r="B553" i="3"/>
  <c r="C553" i="3"/>
  <c r="D553" i="3"/>
  <c r="E553" i="3"/>
  <c r="F553" i="3"/>
  <c r="F646" i="3" s="1"/>
  <c r="G553" i="3"/>
  <c r="H553" i="3"/>
  <c r="I553" i="3"/>
  <c r="J553" i="3"/>
  <c r="J646" i="3" s="1"/>
  <c r="K553" i="3"/>
  <c r="B554" i="3"/>
  <c r="C554" i="3"/>
  <c r="D554" i="3"/>
  <c r="E554" i="3"/>
  <c r="F554" i="3"/>
  <c r="G554" i="3"/>
  <c r="H554" i="3"/>
  <c r="I554" i="3"/>
  <c r="J554" i="3"/>
  <c r="K554" i="3"/>
  <c r="B555" i="3"/>
  <c r="C555" i="3"/>
  <c r="D555" i="3"/>
  <c r="E555" i="3"/>
  <c r="F555" i="3"/>
  <c r="G555" i="3"/>
  <c r="H555" i="3"/>
  <c r="I555" i="3"/>
  <c r="J555" i="3"/>
  <c r="K555" i="3"/>
  <c r="B556" i="3"/>
  <c r="C556" i="3"/>
  <c r="D556" i="3"/>
  <c r="E556" i="3"/>
  <c r="F556" i="3"/>
  <c r="G556" i="3"/>
  <c r="H556" i="3"/>
  <c r="I556" i="3"/>
  <c r="J556" i="3"/>
  <c r="K556" i="3"/>
  <c r="B557" i="3"/>
  <c r="C557" i="3"/>
  <c r="D557" i="3"/>
  <c r="E557" i="3"/>
  <c r="F557" i="3"/>
  <c r="G557" i="3"/>
  <c r="H557" i="3"/>
  <c r="I557" i="3"/>
  <c r="J557" i="3"/>
  <c r="K557" i="3"/>
  <c r="B558" i="3"/>
  <c r="C558" i="3"/>
  <c r="D558" i="3"/>
  <c r="E558" i="3"/>
  <c r="F558" i="3"/>
  <c r="G558" i="3"/>
  <c r="H558" i="3"/>
  <c r="I558" i="3"/>
  <c r="J558" i="3"/>
  <c r="K558" i="3"/>
  <c r="B559" i="3"/>
  <c r="C559" i="3"/>
  <c r="D559" i="3"/>
  <c r="E559" i="3"/>
  <c r="F559" i="3"/>
  <c r="G559" i="3"/>
  <c r="H559" i="3"/>
  <c r="I559" i="3"/>
  <c r="J559" i="3"/>
  <c r="K559" i="3"/>
  <c r="B560" i="3"/>
  <c r="C560" i="3"/>
  <c r="D560" i="3"/>
  <c r="E560" i="3"/>
  <c r="F560" i="3"/>
  <c r="G560" i="3"/>
  <c r="H560" i="3"/>
  <c r="I560" i="3"/>
  <c r="J560" i="3"/>
  <c r="K560" i="3"/>
  <c r="B561" i="3"/>
  <c r="C561" i="3"/>
  <c r="D561" i="3"/>
  <c r="E561" i="3"/>
  <c r="F561" i="3"/>
  <c r="G561" i="3"/>
  <c r="H561" i="3"/>
  <c r="I561" i="3"/>
  <c r="J561" i="3"/>
  <c r="K561" i="3"/>
  <c r="B562" i="3"/>
  <c r="C562" i="3"/>
  <c r="D562" i="3"/>
  <c r="E562" i="3"/>
  <c r="F562" i="3"/>
  <c r="G562" i="3"/>
  <c r="H562" i="3"/>
  <c r="I562" i="3"/>
  <c r="J562" i="3"/>
  <c r="K562" i="3"/>
  <c r="B563" i="3"/>
  <c r="C563" i="3"/>
  <c r="D563" i="3"/>
  <c r="E563" i="3"/>
  <c r="F563" i="3"/>
  <c r="G563" i="3"/>
  <c r="H563" i="3"/>
  <c r="I563" i="3"/>
  <c r="J563" i="3"/>
  <c r="K563" i="3"/>
  <c r="B564" i="3"/>
  <c r="C564" i="3"/>
  <c r="D564" i="3"/>
  <c r="E564" i="3"/>
  <c r="F564" i="3"/>
  <c r="G564" i="3"/>
  <c r="H564" i="3"/>
  <c r="H647" i="3" s="1"/>
  <c r="I564" i="3"/>
  <c r="J564" i="3"/>
  <c r="K564" i="3"/>
  <c r="B565" i="3"/>
  <c r="B647" i="3" s="1"/>
  <c r="C565" i="3"/>
  <c r="D565" i="3"/>
  <c r="E565" i="3"/>
  <c r="F565" i="3"/>
  <c r="F647" i="3" s="1"/>
  <c r="G565" i="3"/>
  <c r="H565" i="3"/>
  <c r="I565" i="3"/>
  <c r="J565" i="3"/>
  <c r="J647" i="3" s="1"/>
  <c r="K565" i="3"/>
  <c r="B566" i="3"/>
  <c r="C566" i="3"/>
  <c r="D566" i="3"/>
  <c r="E566" i="3"/>
  <c r="F566" i="3"/>
  <c r="G566" i="3"/>
  <c r="H566" i="3"/>
  <c r="I566" i="3"/>
  <c r="J566" i="3"/>
  <c r="K566" i="3"/>
  <c r="B567" i="3"/>
  <c r="C567" i="3"/>
  <c r="D567" i="3"/>
  <c r="E567" i="3"/>
  <c r="F567" i="3"/>
  <c r="G567" i="3"/>
  <c r="H567" i="3"/>
  <c r="I567" i="3"/>
  <c r="J567" i="3"/>
  <c r="K567" i="3"/>
  <c r="B568" i="3"/>
  <c r="C568" i="3"/>
  <c r="D568" i="3"/>
  <c r="E568" i="3"/>
  <c r="F568" i="3"/>
  <c r="G568" i="3"/>
  <c r="H568" i="3"/>
  <c r="I568" i="3"/>
  <c r="J568" i="3"/>
  <c r="K568" i="3"/>
  <c r="B569" i="3"/>
  <c r="C569" i="3"/>
  <c r="D569" i="3"/>
  <c r="E569" i="3"/>
  <c r="F569" i="3"/>
  <c r="G569" i="3"/>
  <c r="H569" i="3"/>
  <c r="I569" i="3"/>
  <c r="J569" i="3"/>
  <c r="K569" i="3"/>
  <c r="B570" i="3"/>
  <c r="C570" i="3"/>
  <c r="D570" i="3"/>
  <c r="E570" i="3"/>
  <c r="F570" i="3"/>
  <c r="G570" i="3"/>
  <c r="H570" i="3"/>
  <c r="I570" i="3"/>
  <c r="J570" i="3"/>
  <c r="K570" i="3"/>
  <c r="B571" i="3"/>
  <c r="C571" i="3"/>
  <c r="D571" i="3"/>
  <c r="E571" i="3"/>
  <c r="F571" i="3"/>
  <c r="G571" i="3"/>
  <c r="H571" i="3"/>
  <c r="I571" i="3"/>
  <c r="J571" i="3"/>
  <c r="K571" i="3"/>
  <c r="B572" i="3"/>
  <c r="C572" i="3"/>
  <c r="D572" i="3"/>
  <c r="E572" i="3"/>
  <c r="F572" i="3"/>
  <c r="G572" i="3"/>
  <c r="H572" i="3"/>
  <c r="I572" i="3"/>
  <c r="J572" i="3"/>
  <c r="K572" i="3"/>
  <c r="B573" i="3"/>
  <c r="C573" i="3"/>
  <c r="D573" i="3"/>
  <c r="E573" i="3"/>
  <c r="F573" i="3"/>
  <c r="G573" i="3"/>
  <c r="H573" i="3"/>
  <c r="I573" i="3"/>
  <c r="J573" i="3"/>
  <c r="K573" i="3"/>
  <c r="B574" i="3"/>
  <c r="C574" i="3"/>
  <c r="D574" i="3"/>
  <c r="E574" i="3"/>
  <c r="F574" i="3"/>
  <c r="G574" i="3"/>
  <c r="H574" i="3"/>
  <c r="I574" i="3"/>
  <c r="J574" i="3"/>
  <c r="K574" i="3"/>
  <c r="B575" i="3"/>
  <c r="C575" i="3"/>
  <c r="D575" i="3"/>
  <c r="E575" i="3"/>
  <c r="F575" i="3"/>
  <c r="G575" i="3"/>
  <c r="H575" i="3"/>
  <c r="I575" i="3"/>
  <c r="J575" i="3"/>
  <c r="K575" i="3"/>
  <c r="B576" i="3"/>
  <c r="C576" i="3"/>
  <c r="D576" i="3"/>
  <c r="E576" i="3"/>
  <c r="F576" i="3"/>
  <c r="G576" i="3"/>
  <c r="H576" i="3"/>
  <c r="H648" i="3" s="1"/>
  <c r="I576" i="3"/>
  <c r="J576" i="3"/>
  <c r="K576" i="3"/>
  <c r="B577" i="3"/>
  <c r="C577" i="3"/>
  <c r="D577" i="3"/>
  <c r="E577" i="3"/>
  <c r="F577" i="3"/>
  <c r="F648" i="3" s="1"/>
  <c r="G577" i="3"/>
  <c r="H577" i="3"/>
  <c r="I577" i="3"/>
  <c r="J577" i="3"/>
  <c r="J648" i="3" s="1"/>
  <c r="K577" i="3"/>
  <c r="B578" i="3"/>
  <c r="C578" i="3"/>
  <c r="D578" i="3"/>
  <c r="E578" i="3"/>
  <c r="F578" i="3"/>
  <c r="G578" i="3"/>
  <c r="H578" i="3"/>
  <c r="I578" i="3"/>
  <c r="J578" i="3"/>
  <c r="K578" i="3"/>
  <c r="B579" i="3"/>
  <c r="C579" i="3"/>
  <c r="D579" i="3"/>
  <c r="E579" i="3"/>
  <c r="F579" i="3"/>
  <c r="G579" i="3"/>
  <c r="H579" i="3"/>
  <c r="I579" i="3"/>
  <c r="J579" i="3"/>
  <c r="K579" i="3"/>
  <c r="B580" i="3"/>
  <c r="C580" i="3"/>
  <c r="D580" i="3"/>
  <c r="E580" i="3"/>
  <c r="F580" i="3"/>
  <c r="G580" i="3"/>
  <c r="H580" i="3"/>
  <c r="I580" i="3"/>
  <c r="J580" i="3"/>
  <c r="K580" i="3"/>
  <c r="B581" i="3"/>
  <c r="C581" i="3"/>
  <c r="D581" i="3"/>
  <c r="E581" i="3"/>
  <c r="F581" i="3"/>
  <c r="G581" i="3"/>
  <c r="H581" i="3"/>
  <c r="I581" i="3"/>
  <c r="J581" i="3"/>
  <c r="K581" i="3"/>
  <c r="B582" i="3"/>
  <c r="C582" i="3"/>
  <c r="D582" i="3"/>
  <c r="E582" i="3"/>
  <c r="F582" i="3"/>
  <c r="G582" i="3"/>
  <c r="H582" i="3"/>
  <c r="I582" i="3"/>
  <c r="J582" i="3"/>
  <c r="K582" i="3"/>
  <c r="B583" i="3"/>
  <c r="C583" i="3"/>
  <c r="D583" i="3"/>
  <c r="E583" i="3"/>
  <c r="F583" i="3"/>
  <c r="G583" i="3"/>
  <c r="H583" i="3"/>
  <c r="I583" i="3"/>
  <c r="J583" i="3"/>
  <c r="K583" i="3"/>
  <c r="B584" i="3"/>
  <c r="C584" i="3"/>
  <c r="D584" i="3"/>
  <c r="E584" i="3"/>
  <c r="F584" i="3"/>
  <c r="G584" i="3"/>
  <c r="H584" i="3"/>
  <c r="I584" i="3"/>
  <c r="J584" i="3"/>
  <c r="K584" i="3"/>
  <c r="B585" i="3"/>
  <c r="C585" i="3"/>
  <c r="D585" i="3"/>
  <c r="E585" i="3"/>
  <c r="F585" i="3"/>
  <c r="G585" i="3"/>
  <c r="H585" i="3"/>
  <c r="I585" i="3"/>
  <c r="J585" i="3"/>
  <c r="K585" i="3"/>
  <c r="B586" i="3"/>
  <c r="C586" i="3"/>
  <c r="D586" i="3"/>
  <c r="E586" i="3"/>
  <c r="F586" i="3"/>
  <c r="G586" i="3"/>
  <c r="H586" i="3"/>
  <c r="I586" i="3"/>
  <c r="J586" i="3"/>
  <c r="K586" i="3"/>
  <c r="B587" i="3"/>
  <c r="C587" i="3"/>
  <c r="D587" i="3"/>
  <c r="E587" i="3"/>
  <c r="F587" i="3"/>
  <c r="G587" i="3"/>
  <c r="H587" i="3"/>
  <c r="I587" i="3"/>
  <c r="J587" i="3"/>
  <c r="K587" i="3"/>
  <c r="B588" i="3"/>
  <c r="C588" i="3"/>
  <c r="D588" i="3"/>
  <c r="E588" i="3"/>
  <c r="F588" i="3"/>
  <c r="G588" i="3"/>
  <c r="H588" i="3"/>
  <c r="H649" i="3" s="1"/>
  <c r="I588" i="3"/>
  <c r="J588" i="3"/>
  <c r="K588" i="3"/>
  <c r="B589" i="3"/>
  <c r="B649" i="3" s="1"/>
  <c r="C589" i="3"/>
  <c r="D589" i="3"/>
  <c r="E589" i="3"/>
  <c r="F589" i="3"/>
  <c r="F649" i="3" s="1"/>
  <c r="G589" i="3"/>
  <c r="H589" i="3"/>
  <c r="I589" i="3"/>
  <c r="J589" i="3"/>
  <c r="J649" i="3" s="1"/>
  <c r="K589" i="3"/>
  <c r="B590" i="3"/>
  <c r="C590" i="3"/>
  <c r="D590" i="3"/>
  <c r="E590" i="3"/>
  <c r="F590" i="3"/>
  <c r="G590" i="3"/>
  <c r="H590" i="3"/>
  <c r="I590" i="3"/>
  <c r="J590" i="3"/>
  <c r="K590" i="3"/>
  <c r="B591" i="3"/>
  <c r="C591" i="3"/>
  <c r="D591" i="3"/>
  <c r="E591" i="3"/>
  <c r="F591" i="3"/>
  <c r="G591" i="3"/>
  <c r="H591" i="3"/>
  <c r="I591" i="3"/>
  <c r="J591" i="3"/>
  <c r="K591" i="3"/>
  <c r="B592" i="3"/>
  <c r="C592" i="3"/>
  <c r="D592" i="3"/>
  <c r="E592" i="3"/>
  <c r="F592" i="3"/>
  <c r="G592" i="3"/>
  <c r="H592" i="3"/>
  <c r="I592" i="3"/>
  <c r="J592" i="3"/>
  <c r="K592" i="3"/>
  <c r="B593" i="3"/>
  <c r="C593" i="3"/>
  <c r="D593" i="3"/>
  <c r="E593" i="3"/>
  <c r="F593" i="3"/>
  <c r="G593" i="3"/>
  <c r="H593" i="3"/>
  <c r="I593" i="3"/>
  <c r="J593" i="3"/>
  <c r="K593" i="3"/>
  <c r="B594" i="3"/>
  <c r="C594" i="3"/>
  <c r="D594" i="3"/>
  <c r="E594" i="3"/>
  <c r="F594" i="3"/>
  <c r="G594" i="3"/>
  <c r="H594" i="3"/>
  <c r="I594" i="3"/>
  <c r="J594" i="3"/>
  <c r="K594" i="3"/>
  <c r="B595" i="3"/>
  <c r="C595" i="3"/>
  <c r="D595" i="3"/>
  <c r="E595" i="3"/>
  <c r="F595" i="3"/>
  <c r="G595" i="3"/>
  <c r="H595" i="3"/>
  <c r="I595" i="3"/>
  <c r="J595" i="3"/>
  <c r="K595" i="3"/>
  <c r="B596" i="3"/>
  <c r="C596" i="3"/>
  <c r="D596" i="3"/>
  <c r="E596" i="3"/>
  <c r="F596" i="3"/>
  <c r="G596" i="3"/>
  <c r="H596" i="3"/>
  <c r="I596" i="3"/>
  <c r="J596" i="3"/>
  <c r="K596" i="3"/>
  <c r="B597" i="3"/>
  <c r="C597" i="3"/>
  <c r="D597" i="3"/>
  <c r="E597" i="3"/>
  <c r="F597" i="3"/>
  <c r="G597" i="3"/>
  <c r="H597" i="3"/>
  <c r="I597" i="3"/>
  <c r="J597" i="3"/>
  <c r="K597" i="3"/>
  <c r="B598" i="3"/>
  <c r="C598" i="3"/>
  <c r="D598" i="3"/>
  <c r="E598" i="3"/>
  <c r="F598" i="3"/>
  <c r="G598" i="3"/>
  <c r="H598" i="3"/>
  <c r="I598" i="3"/>
  <c r="J598" i="3"/>
  <c r="K598" i="3"/>
  <c r="B599" i="3"/>
  <c r="C599" i="3"/>
  <c r="D599" i="3"/>
  <c r="E599" i="3"/>
  <c r="F599" i="3"/>
  <c r="G599" i="3"/>
  <c r="H599" i="3"/>
  <c r="I599" i="3"/>
  <c r="J599" i="3"/>
  <c r="K599" i="3"/>
  <c r="B601" i="3"/>
  <c r="C601" i="3"/>
  <c r="E601" i="3"/>
  <c r="F601" i="3"/>
  <c r="G601" i="3"/>
  <c r="H601" i="3"/>
  <c r="I601" i="3"/>
  <c r="J601" i="3"/>
  <c r="K601" i="3"/>
  <c r="B602" i="3"/>
  <c r="C602" i="3"/>
  <c r="E602" i="3"/>
  <c r="F602" i="3"/>
  <c r="G602" i="3"/>
  <c r="H602" i="3"/>
  <c r="I602" i="3"/>
  <c r="J602" i="3"/>
  <c r="K602" i="3"/>
  <c r="B603" i="3"/>
  <c r="C603" i="3"/>
  <c r="E603" i="3"/>
  <c r="F603" i="3"/>
  <c r="G603" i="3"/>
  <c r="H603" i="3"/>
  <c r="I603" i="3"/>
  <c r="J603" i="3"/>
  <c r="K603" i="3"/>
  <c r="B604" i="3"/>
  <c r="C604" i="3"/>
  <c r="E604" i="3"/>
  <c r="F604" i="3"/>
  <c r="G604" i="3"/>
  <c r="H604" i="3"/>
  <c r="I604" i="3"/>
  <c r="J604" i="3"/>
  <c r="K604" i="3"/>
  <c r="B605" i="3"/>
  <c r="C605" i="3"/>
  <c r="E605" i="3"/>
  <c r="F605" i="3"/>
  <c r="G605" i="3"/>
  <c r="H605" i="3"/>
  <c r="I605" i="3"/>
  <c r="J605" i="3"/>
  <c r="K605" i="3"/>
  <c r="B606" i="3"/>
  <c r="C606" i="3"/>
  <c r="E606" i="3"/>
  <c r="F606" i="3"/>
  <c r="G606" i="3"/>
  <c r="H606" i="3"/>
  <c r="I606" i="3"/>
  <c r="J606" i="3"/>
  <c r="K606" i="3"/>
  <c r="B607" i="3"/>
  <c r="C607" i="3"/>
  <c r="E607" i="3"/>
  <c r="F607" i="3"/>
  <c r="G607" i="3"/>
  <c r="H607" i="3"/>
  <c r="I607" i="3"/>
  <c r="J607" i="3"/>
  <c r="K607" i="3"/>
  <c r="B608" i="3"/>
  <c r="C608" i="3"/>
  <c r="E608" i="3"/>
  <c r="F608" i="3"/>
  <c r="G608" i="3"/>
  <c r="H608" i="3"/>
  <c r="I608" i="3"/>
  <c r="J608" i="3"/>
  <c r="K608" i="3"/>
  <c r="B609" i="3"/>
  <c r="C609" i="3"/>
  <c r="E609" i="3"/>
  <c r="F609" i="3"/>
  <c r="G609" i="3"/>
  <c r="H609" i="3"/>
  <c r="I609" i="3"/>
  <c r="J609" i="3"/>
  <c r="K609" i="3"/>
  <c r="B610" i="3"/>
  <c r="C610" i="3"/>
  <c r="E610" i="3"/>
  <c r="F610" i="3"/>
  <c r="G610" i="3"/>
  <c r="H610" i="3"/>
  <c r="I610" i="3"/>
  <c r="J610" i="3"/>
  <c r="K610" i="3"/>
  <c r="B611" i="3"/>
  <c r="C611" i="3"/>
  <c r="E611" i="3"/>
  <c r="F611" i="3"/>
  <c r="G611" i="3"/>
  <c r="H611" i="3"/>
  <c r="I611" i="3"/>
  <c r="J611" i="3"/>
  <c r="K611" i="3"/>
  <c r="B612" i="3"/>
  <c r="C612" i="3"/>
  <c r="E612" i="3"/>
  <c r="F612" i="3"/>
  <c r="G612" i="3"/>
  <c r="H612" i="3"/>
  <c r="I612" i="3"/>
  <c r="J612" i="3"/>
  <c r="K612" i="3"/>
  <c r="B613" i="3"/>
  <c r="C613" i="3"/>
  <c r="E613" i="3"/>
  <c r="F613" i="3"/>
  <c r="G613" i="3"/>
  <c r="H613" i="3"/>
  <c r="I613" i="3"/>
  <c r="J613" i="3"/>
  <c r="K613" i="3"/>
  <c r="B614" i="3"/>
  <c r="C614" i="3"/>
  <c r="E614" i="3"/>
  <c r="F614" i="3"/>
  <c r="G614" i="3"/>
  <c r="H614" i="3"/>
  <c r="I614" i="3"/>
  <c r="J614" i="3"/>
  <c r="K614" i="3"/>
  <c r="B615" i="3"/>
  <c r="C615" i="3"/>
  <c r="E615" i="3"/>
  <c r="F615" i="3"/>
  <c r="G615" i="3"/>
  <c r="H615" i="3"/>
  <c r="I615" i="3"/>
  <c r="J615" i="3"/>
  <c r="K615" i="3"/>
  <c r="B616" i="3"/>
  <c r="C616" i="3"/>
  <c r="E616" i="3"/>
  <c r="F616" i="3"/>
  <c r="G616" i="3"/>
  <c r="H616" i="3"/>
  <c r="I616" i="3"/>
  <c r="J616" i="3"/>
  <c r="K616" i="3"/>
  <c r="B617" i="3"/>
  <c r="C617" i="3"/>
  <c r="E617" i="3"/>
  <c r="F617" i="3"/>
  <c r="G617" i="3"/>
  <c r="H617" i="3"/>
  <c r="I617" i="3"/>
  <c r="J617" i="3"/>
  <c r="K617" i="3"/>
  <c r="B618" i="3"/>
  <c r="C618" i="3"/>
  <c r="E618" i="3"/>
  <c r="F618" i="3"/>
  <c r="G618" i="3"/>
  <c r="H618" i="3"/>
  <c r="I618" i="3"/>
  <c r="J618" i="3"/>
  <c r="K618" i="3"/>
  <c r="B619" i="3"/>
  <c r="C619" i="3"/>
  <c r="E619" i="3"/>
  <c r="F619" i="3"/>
  <c r="G619" i="3"/>
  <c r="H619" i="3"/>
  <c r="I619" i="3"/>
  <c r="J619" i="3"/>
  <c r="K619" i="3"/>
  <c r="B620" i="3"/>
  <c r="C620" i="3"/>
  <c r="E620" i="3"/>
  <c r="F620" i="3"/>
  <c r="G620" i="3"/>
  <c r="H620" i="3"/>
  <c r="I620" i="3"/>
  <c r="J620" i="3"/>
  <c r="K620" i="3"/>
  <c r="B621" i="3"/>
  <c r="C621" i="3"/>
  <c r="E621" i="3"/>
  <c r="F621" i="3"/>
  <c r="G621" i="3"/>
  <c r="H621" i="3"/>
  <c r="I621" i="3"/>
  <c r="J621" i="3"/>
  <c r="K621" i="3"/>
  <c r="B622" i="3"/>
  <c r="C622" i="3"/>
  <c r="E622" i="3"/>
  <c r="F622" i="3"/>
  <c r="G622" i="3"/>
  <c r="H622" i="3"/>
  <c r="I622" i="3"/>
  <c r="J622" i="3"/>
  <c r="K622" i="3"/>
  <c r="B623" i="3"/>
  <c r="C623" i="3"/>
  <c r="E623" i="3"/>
  <c r="F623" i="3"/>
  <c r="G623" i="3"/>
  <c r="H623" i="3"/>
  <c r="I623" i="3"/>
  <c r="J623" i="3"/>
  <c r="K623" i="3"/>
  <c r="B624" i="3"/>
  <c r="C624" i="3"/>
  <c r="E624" i="3"/>
  <c r="F624" i="3"/>
  <c r="G624" i="3"/>
  <c r="H624" i="3"/>
  <c r="I624" i="3"/>
  <c r="J624" i="3"/>
  <c r="K624" i="3"/>
  <c r="B625" i="3"/>
  <c r="C625" i="3"/>
  <c r="E625" i="3"/>
  <c r="F625" i="3"/>
  <c r="G625" i="3"/>
  <c r="H625" i="3"/>
  <c r="I625" i="3"/>
  <c r="J625" i="3"/>
  <c r="K625" i="3"/>
  <c r="A626" i="3"/>
  <c r="B626" i="3"/>
  <c r="C626" i="3"/>
  <c r="E626" i="3"/>
  <c r="F626" i="3"/>
  <c r="G626" i="3"/>
  <c r="H626" i="3"/>
  <c r="I626" i="3"/>
  <c r="J626" i="3"/>
  <c r="K626" i="3"/>
  <c r="A627" i="3"/>
  <c r="B627" i="3"/>
  <c r="C627" i="3"/>
  <c r="E627" i="3"/>
  <c r="F627" i="3"/>
  <c r="G627" i="3"/>
  <c r="H627" i="3"/>
  <c r="I627" i="3"/>
  <c r="J627" i="3"/>
  <c r="K627" i="3"/>
  <c r="A628" i="3"/>
  <c r="B628" i="3"/>
  <c r="C628" i="3"/>
  <c r="E628" i="3"/>
  <c r="F628" i="3"/>
  <c r="G628" i="3"/>
  <c r="H628" i="3"/>
  <c r="I628" i="3"/>
  <c r="J628" i="3"/>
  <c r="K628" i="3"/>
  <c r="A629" i="3"/>
  <c r="B629" i="3"/>
  <c r="C629" i="3"/>
  <c r="E629" i="3"/>
  <c r="F629" i="3"/>
  <c r="G629" i="3"/>
  <c r="H629" i="3"/>
  <c r="I629" i="3"/>
  <c r="J629" i="3"/>
  <c r="K629" i="3"/>
  <c r="A630" i="3"/>
  <c r="B630" i="3"/>
  <c r="C630" i="3"/>
  <c r="E630" i="3"/>
  <c r="F630" i="3"/>
  <c r="G630" i="3"/>
  <c r="H630" i="3"/>
  <c r="I630" i="3"/>
  <c r="J630" i="3"/>
  <c r="K630" i="3"/>
  <c r="A631" i="3"/>
  <c r="B631" i="3"/>
  <c r="C631" i="3"/>
  <c r="E631" i="3"/>
  <c r="F631" i="3"/>
  <c r="G631" i="3"/>
  <c r="H631" i="3"/>
  <c r="I631" i="3"/>
  <c r="J631" i="3"/>
  <c r="K631" i="3"/>
  <c r="A632" i="3"/>
  <c r="B632" i="3"/>
  <c r="C632" i="3"/>
  <c r="E632" i="3"/>
  <c r="F632" i="3"/>
  <c r="G632" i="3"/>
  <c r="H632" i="3"/>
  <c r="I632" i="3"/>
  <c r="J632" i="3"/>
  <c r="K632" i="3"/>
  <c r="A633" i="3"/>
  <c r="B633" i="3"/>
  <c r="C633" i="3"/>
  <c r="E633" i="3"/>
  <c r="F633" i="3"/>
  <c r="G633" i="3"/>
  <c r="H633" i="3"/>
  <c r="I633" i="3"/>
  <c r="J633" i="3"/>
  <c r="K633" i="3"/>
  <c r="A634" i="3"/>
  <c r="B634" i="3"/>
  <c r="C634" i="3"/>
  <c r="E634" i="3"/>
  <c r="F634" i="3"/>
  <c r="G634" i="3"/>
  <c r="H634" i="3"/>
  <c r="I634" i="3"/>
  <c r="J634" i="3"/>
  <c r="K634" i="3"/>
  <c r="A635" i="3"/>
  <c r="B635" i="3"/>
  <c r="C635" i="3"/>
  <c r="E635" i="3"/>
  <c r="F635" i="3"/>
  <c r="G635" i="3"/>
  <c r="H635" i="3"/>
  <c r="I635" i="3"/>
  <c r="J635" i="3"/>
  <c r="K635" i="3"/>
  <c r="A636" i="3"/>
  <c r="B636" i="3"/>
  <c r="C636" i="3"/>
  <c r="E636" i="3"/>
  <c r="G636" i="3"/>
  <c r="H636" i="3"/>
  <c r="I636" i="3"/>
  <c r="K636" i="3"/>
  <c r="A637" i="3"/>
  <c r="C637" i="3"/>
  <c r="E637" i="3"/>
  <c r="G637" i="3"/>
  <c r="I637" i="3"/>
  <c r="K637" i="3"/>
  <c r="A638" i="3"/>
  <c r="B638" i="3"/>
  <c r="C638" i="3"/>
  <c r="E638" i="3"/>
  <c r="G638" i="3"/>
  <c r="I638" i="3"/>
  <c r="K638" i="3"/>
  <c r="A639" i="3"/>
  <c r="C639" i="3"/>
  <c r="E639" i="3"/>
  <c r="G639" i="3"/>
  <c r="I639" i="3"/>
  <c r="K639" i="3"/>
  <c r="A640" i="3"/>
  <c r="B640" i="3"/>
  <c r="C640" i="3"/>
  <c r="E640" i="3"/>
  <c r="G640" i="3"/>
  <c r="I640" i="3"/>
  <c r="K640" i="3"/>
  <c r="A641" i="3"/>
  <c r="C641" i="3"/>
  <c r="E641" i="3"/>
  <c r="G641" i="3"/>
  <c r="I641" i="3"/>
  <c r="K641" i="3"/>
  <c r="A642" i="3"/>
  <c r="B642" i="3"/>
  <c r="C642" i="3"/>
  <c r="E642" i="3"/>
  <c r="G642" i="3"/>
  <c r="I642" i="3"/>
  <c r="K642" i="3"/>
  <c r="A643" i="3"/>
  <c r="C643" i="3"/>
  <c r="E643" i="3"/>
  <c r="G643" i="3"/>
  <c r="I643" i="3"/>
  <c r="K643" i="3"/>
  <c r="A644" i="3"/>
  <c r="B644" i="3"/>
  <c r="C644" i="3"/>
  <c r="E644" i="3"/>
  <c r="G644" i="3"/>
  <c r="I644" i="3"/>
  <c r="K644" i="3"/>
  <c r="A645" i="3"/>
  <c r="C645" i="3"/>
  <c r="E645" i="3"/>
  <c r="G645" i="3"/>
  <c r="I645" i="3"/>
  <c r="K645" i="3"/>
  <c r="A646" i="3"/>
  <c r="B646" i="3"/>
  <c r="C646" i="3"/>
  <c r="E646" i="3"/>
  <c r="G646" i="3"/>
  <c r="I646" i="3"/>
  <c r="K646" i="3"/>
  <c r="A647" i="3"/>
  <c r="C647" i="3"/>
  <c r="E647" i="3"/>
  <c r="G647" i="3"/>
  <c r="I647" i="3"/>
  <c r="K647" i="3"/>
  <c r="A648" i="3"/>
  <c r="B648" i="3"/>
  <c r="C648" i="3"/>
  <c r="E648" i="3"/>
  <c r="G648" i="3"/>
  <c r="I648" i="3"/>
  <c r="K648" i="3"/>
  <c r="A649" i="3"/>
  <c r="C649" i="3"/>
  <c r="E649" i="3"/>
  <c r="G649" i="3"/>
  <c r="I649" i="3"/>
  <c r="K649" i="3"/>
  <c r="C9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B506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B509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B511" i="2"/>
  <c r="C511" i="2"/>
  <c r="D511" i="2"/>
  <c r="E511" i="2"/>
  <c r="F511" i="2"/>
  <c r="G511" i="2"/>
  <c r="H511" i="2"/>
  <c r="I511" i="2"/>
  <c r="J511" i="2"/>
  <c r="J644" i="2" s="1"/>
  <c r="K511" i="2"/>
  <c r="L511" i="2"/>
  <c r="M511" i="2"/>
  <c r="N511" i="2"/>
  <c r="N644" i="2" s="1"/>
  <c r="O511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B513" i="2"/>
  <c r="C513" i="2"/>
  <c r="D513" i="2"/>
  <c r="E513" i="2"/>
  <c r="F513" i="2"/>
  <c r="F644" i="2" s="1"/>
  <c r="G513" i="2"/>
  <c r="H513" i="2"/>
  <c r="I513" i="2"/>
  <c r="J513" i="2"/>
  <c r="K513" i="2"/>
  <c r="L513" i="2"/>
  <c r="M513" i="2"/>
  <c r="N513" i="2"/>
  <c r="O513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B517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B530" i="2"/>
  <c r="C530" i="2"/>
  <c r="D530" i="2"/>
  <c r="D646" i="2" s="1"/>
  <c r="E530" i="2"/>
  <c r="F530" i="2"/>
  <c r="G530" i="2"/>
  <c r="H530" i="2"/>
  <c r="H646" i="2" s="1"/>
  <c r="I530" i="2"/>
  <c r="J530" i="2"/>
  <c r="K530" i="2"/>
  <c r="L530" i="2"/>
  <c r="L646" i="2" s="1"/>
  <c r="M530" i="2"/>
  <c r="N530" i="2"/>
  <c r="O530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B550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B552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B554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B555" i="2"/>
  <c r="B648" i="2" s="1"/>
  <c r="C555" i="2"/>
  <c r="D555" i="2"/>
  <c r="E555" i="2"/>
  <c r="F555" i="2"/>
  <c r="F648" i="2" s="1"/>
  <c r="G555" i="2"/>
  <c r="H555" i="2"/>
  <c r="I555" i="2"/>
  <c r="J555" i="2"/>
  <c r="J648" i="2" s="1"/>
  <c r="K555" i="2"/>
  <c r="L555" i="2"/>
  <c r="M555" i="2"/>
  <c r="N555" i="2"/>
  <c r="N648" i="2" s="1"/>
  <c r="O555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B578" i="2"/>
  <c r="C578" i="2"/>
  <c r="D578" i="2"/>
  <c r="D650" i="2" s="1"/>
  <c r="E578" i="2"/>
  <c r="F578" i="2"/>
  <c r="G578" i="2"/>
  <c r="H578" i="2"/>
  <c r="H650" i="2" s="1"/>
  <c r="I578" i="2"/>
  <c r="J578" i="2"/>
  <c r="K578" i="2"/>
  <c r="L578" i="2"/>
  <c r="L650" i="2" s="1"/>
  <c r="M578" i="2"/>
  <c r="N578" i="2"/>
  <c r="O578" i="2"/>
  <c r="B579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B590" i="2"/>
  <c r="C590" i="2"/>
  <c r="D590" i="2"/>
  <c r="E590" i="2"/>
  <c r="F590" i="2"/>
  <c r="G590" i="2"/>
  <c r="H590" i="2"/>
  <c r="I590" i="2"/>
  <c r="J590" i="2"/>
  <c r="K590" i="2"/>
  <c r="L590" i="2"/>
  <c r="M590" i="2"/>
  <c r="N590" i="2"/>
  <c r="O590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B594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B595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B596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B597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B598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B599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B600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B601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B603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B605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B606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B607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B608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B609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B610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B611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B612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B613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B614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B615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B616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B621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B626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A628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A629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A630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A631" i="2"/>
  <c r="B631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A632" i="2"/>
  <c r="B632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A633" i="2"/>
  <c r="B633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A634" i="2"/>
  <c r="B634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A635" i="2"/>
  <c r="B635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A636" i="2"/>
  <c r="B636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A637" i="2"/>
  <c r="B637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A638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A639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A640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A644" i="2"/>
  <c r="C644" i="2"/>
  <c r="E644" i="2"/>
  <c r="G644" i="2"/>
  <c r="H644" i="2"/>
  <c r="I644" i="2"/>
  <c r="K644" i="2"/>
  <c r="L644" i="2"/>
  <c r="M644" i="2"/>
  <c r="O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A646" i="2"/>
  <c r="B646" i="2"/>
  <c r="C646" i="2"/>
  <c r="E646" i="2"/>
  <c r="F646" i="2"/>
  <c r="G646" i="2"/>
  <c r="I646" i="2"/>
  <c r="J646" i="2"/>
  <c r="K646" i="2"/>
  <c r="M646" i="2"/>
  <c r="N646" i="2"/>
  <c r="O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A648" i="2"/>
  <c r="C648" i="2"/>
  <c r="D648" i="2"/>
  <c r="E648" i="2"/>
  <c r="G648" i="2"/>
  <c r="H648" i="2"/>
  <c r="I648" i="2"/>
  <c r="K648" i="2"/>
  <c r="L648" i="2"/>
  <c r="M648" i="2"/>
  <c r="O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A650" i="2"/>
  <c r="B650" i="2"/>
  <c r="C650" i="2"/>
  <c r="E650" i="2"/>
  <c r="F650" i="2"/>
  <c r="G650" i="2"/>
  <c r="I650" i="2"/>
  <c r="J650" i="2"/>
  <c r="K650" i="2"/>
  <c r="M650" i="2"/>
  <c r="N650" i="2"/>
  <c r="O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B644" i="2" l="1"/>
  <c r="D644" i="2"/>
  <c r="B617" i="4"/>
  <c r="M650" i="5"/>
  <c r="M649" i="5"/>
  <c r="M648" i="5"/>
  <c r="M647" i="5"/>
  <c r="M646" i="5"/>
  <c r="M645" i="5"/>
  <c r="M644" i="5"/>
  <c r="AB598" i="5"/>
  <c r="AC595" i="5"/>
  <c r="D650" i="5"/>
  <c r="AB600" i="5"/>
  <c r="AC597" i="5"/>
  <c r="AB592" i="5"/>
  <c r="AB590" i="5"/>
  <c r="AB588" i="5"/>
  <c r="AB586" i="5"/>
  <c r="AB584" i="5"/>
  <c r="AB582" i="5"/>
  <c r="AB580" i="5"/>
  <c r="AB578" i="5"/>
  <c r="AB576" i="5"/>
  <c r="AB574" i="5"/>
  <c r="AB572" i="5"/>
  <c r="AB570" i="5"/>
  <c r="AB568" i="5"/>
  <c r="AB566" i="5"/>
  <c r="AB564" i="5"/>
  <c r="AB562" i="5"/>
  <c r="AB560" i="5"/>
  <c r="AB558" i="5"/>
  <c r="AB556" i="5"/>
  <c r="AB554" i="5"/>
  <c r="AB552" i="5"/>
  <c r="AB550" i="5"/>
  <c r="AB548" i="5"/>
  <c r="AB546" i="5"/>
  <c r="AB544" i="5"/>
  <c r="AB542" i="5"/>
  <c r="AB540" i="5"/>
  <c r="AB538" i="5"/>
  <c r="AB536" i="5"/>
  <c r="AB534" i="5"/>
  <c r="AB532" i="5"/>
  <c r="AB530" i="5"/>
  <c r="AB528" i="5"/>
  <c r="AB526" i="5"/>
  <c r="AB524" i="5"/>
  <c r="AB522" i="5"/>
  <c r="AB520" i="5"/>
  <c r="AB518" i="5"/>
  <c r="AB516" i="5"/>
  <c r="AB514" i="5"/>
  <c r="AB512" i="5"/>
  <c r="AB510" i="5"/>
  <c r="AB508" i="5"/>
  <c r="AB506" i="5"/>
  <c r="AB504" i="5"/>
  <c r="AB502" i="5"/>
  <c r="AB500" i="5"/>
  <c r="AB498" i="5"/>
  <c r="AB496" i="5"/>
  <c r="AB494" i="5"/>
  <c r="AB492" i="5"/>
  <c r="AB490" i="5"/>
  <c r="AB488" i="5"/>
  <c r="AB486" i="5"/>
  <c r="AB484" i="5"/>
  <c r="AB482" i="5"/>
  <c r="AB480" i="5"/>
  <c r="AB478" i="5"/>
  <c r="AB476" i="5"/>
  <c r="AB474" i="5"/>
  <c r="AB472" i="5"/>
  <c r="AB470" i="5"/>
  <c r="AB468" i="5"/>
  <c r="AB466" i="5"/>
  <c r="AB464" i="5"/>
  <c r="AB462" i="5"/>
  <c r="AB460" i="5"/>
  <c r="AB458" i="5"/>
  <c r="AB456" i="5"/>
  <c r="AB454" i="5"/>
  <c r="AB452" i="5"/>
  <c r="AB450" i="5"/>
  <c r="AB448" i="5"/>
  <c r="AB446" i="5"/>
  <c r="AB444" i="5"/>
  <c r="AB442" i="5"/>
  <c r="AB440" i="5"/>
  <c r="AB438" i="5"/>
  <c r="AB436" i="5"/>
  <c r="AB434" i="5"/>
  <c r="AB432" i="5"/>
  <c r="AB430" i="5"/>
  <c r="AB428" i="5"/>
  <c r="AB426" i="5"/>
  <c r="AB424" i="5"/>
  <c r="AB422" i="5"/>
  <c r="AB420" i="5"/>
  <c r="AB418" i="5"/>
  <c r="AB416" i="5"/>
  <c r="AB414" i="5"/>
  <c r="AB412" i="5"/>
  <c r="AB410" i="5"/>
  <c r="AB408" i="5"/>
  <c r="AB406" i="5"/>
  <c r="AB404" i="5"/>
  <c r="AB402" i="5"/>
  <c r="AB400" i="5"/>
  <c r="AB398" i="5"/>
  <c r="AB396" i="5"/>
  <c r="AB394" i="5"/>
  <c r="AB392" i="5"/>
  <c r="AB390" i="5"/>
  <c r="AB388" i="5"/>
  <c r="AB386" i="5"/>
  <c r="AB384" i="5"/>
  <c r="AB382" i="5"/>
  <c r="AB380" i="5"/>
  <c r="AB378" i="5"/>
  <c r="AB376" i="5"/>
  <c r="AB374" i="5"/>
  <c r="AB372" i="5"/>
  <c r="AB370" i="5"/>
  <c r="AB368" i="5"/>
  <c r="AB366" i="5"/>
  <c r="AB364" i="5"/>
  <c r="AB362" i="5"/>
  <c r="AB360" i="5"/>
  <c r="AB358" i="5"/>
  <c r="AB356" i="5"/>
  <c r="AB354" i="5"/>
  <c r="AB352" i="5"/>
  <c r="AB350" i="5"/>
  <c r="AB348" i="5"/>
  <c r="AB346" i="5"/>
  <c r="AB344" i="5"/>
  <c r="AB342" i="5"/>
  <c r="AB340" i="5"/>
  <c r="AB338" i="5"/>
  <c r="AB336" i="5"/>
  <c r="AB334" i="5"/>
  <c r="AB332" i="5"/>
  <c r="AB330" i="5"/>
  <c r="AB328" i="5"/>
  <c r="AB326" i="5"/>
  <c r="AB324" i="5"/>
  <c r="AB322" i="5"/>
  <c r="AB320" i="5"/>
  <c r="AB318" i="5"/>
  <c r="AB316" i="5"/>
  <c r="AB314" i="5"/>
  <c r="AB312" i="5"/>
  <c r="AB310" i="5"/>
  <c r="AB308" i="5"/>
  <c r="AB306" i="5"/>
  <c r="AB304" i="5"/>
  <c r="AB302" i="5"/>
  <c r="AB300" i="5"/>
  <c r="AB298" i="5"/>
  <c r="AB296" i="5"/>
  <c r="AB294" i="5"/>
  <c r="AB292" i="5"/>
  <c r="AB290" i="5"/>
  <c r="AB288" i="5"/>
  <c r="AB286" i="5"/>
  <c r="AB284" i="5"/>
  <c r="AB282" i="5"/>
  <c r="AB280" i="5"/>
  <c r="AB278" i="5"/>
  <c r="AB276" i="5"/>
  <c r="AB594" i="5"/>
  <c r="B650" i="5"/>
  <c r="AB596" i="5"/>
  <c r="AC593" i="5"/>
  <c r="AC106" i="5"/>
  <c r="AB274" i="5"/>
  <c r="AB272" i="5"/>
  <c r="AB270" i="5"/>
  <c r="AB268" i="5"/>
  <c r="AB266" i="5"/>
  <c r="AB264" i="5"/>
  <c r="AB262" i="5"/>
  <c r="AB260" i="5"/>
  <c r="AB258" i="5"/>
  <c r="AB256" i="5"/>
  <c r="AB254" i="5"/>
  <c r="AB252" i="5"/>
  <c r="AB250" i="5"/>
  <c r="AB248" i="5"/>
  <c r="AB246" i="5"/>
  <c r="AB244" i="5"/>
  <c r="AB242" i="5"/>
  <c r="AB240" i="5"/>
  <c r="AB238" i="5"/>
  <c r="AB236" i="5"/>
  <c r="AB234" i="5"/>
  <c r="AB232" i="5"/>
  <c r="AB230" i="5"/>
  <c r="AB228" i="5"/>
  <c r="AB226" i="5"/>
  <c r="AB224" i="5"/>
  <c r="AB222" i="5"/>
  <c r="AB220" i="5"/>
  <c r="AB218" i="5"/>
  <c r="AB216" i="5"/>
  <c r="AB214" i="5"/>
  <c r="AB212" i="5"/>
  <c r="AB210" i="5"/>
  <c r="AB208" i="5"/>
  <c r="AB206" i="5"/>
  <c r="AB204" i="5"/>
  <c r="AB202" i="5"/>
  <c r="AB200" i="5"/>
  <c r="AB198" i="5"/>
  <c r="AB196" i="5"/>
  <c r="AB194" i="5"/>
  <c r="AB192" i="5"/>
  <c r="AB190" i="5"/>
  <c r="AB188" i="5"/>
  <c r="AB186" i="5"/>
  <c r="AB184" i="5"/>
  <c r="AB182" i="5"/>
  <c r="AB180" i="5"/>
  <c r="AB178" i="5"/>
  <c r="AB176" i="5"/>
  <c r="AB174" i="5"/>
  <c r="AB172" i="5"/>
  <c r="AB170" i="5"/>
  <c r="AB168" i="5"/>
  <c r="AB166" i="5"/>
  <c r="AB164" i="5"/>
  <c r="AB162" i="5"/>
  <c r="AB160" i="5"/>
  <c r="AB158" i="5"/>
  <c r="AB156" i="5"/>
  <c r="AB154" i="5"/>
  <c r="AB152" i="5"/>
  <c r="AB150" i="5"/>
  <c r="AB148" i="5"/>
  <c r="AB146" i="5"/>
  <c r="AB144" i="5"/>
  <c r="AB142" i="5"/>
  <c r="AB140" i="5"/>
  <c r="AB138" i="5"/>
  <c r="AB136" i="5"/>
  <c r="AB134" i="5"/>
  <c r="AB132" i="5"/>
  <c r="AB130" i="5"/>
  <c r="AB128" i="5"/>
  <c r="AB126" i="5"/>
  <c r="AB124" i="5"/>
  <c r="AB122" i="5"/>
  <c r="AB120" i="5"/>
  <c r="AB118" i="5"/>
  <c r="AB116" i="5"/>
  <c r="AB114" i="5"/>
  <c r="AB112" i="5"/>
  <c r="AB110" i="5"/>
  <c r="AB108" i="5"/>
  <c r="AB103" i="5"/>
  <c r="AB64" i="5"/>
  <c r="AB60" i="5"/>
  <c r="AB61" i="5"/>
  <c r="AB106" i="5"/>
  <c r="AB104" i="5"/>
  <c r="AB102" i="5"/>
  <c r="AB100" i="5"/>
  <c r="AB98" i="5"/>
  <c r="AB96" i="5"/>
  <c r="AB94" i="5"/>
  <c r="AB92" i="5"/>
  <c r="AB90" i="5"/>
  <c r="AB88" i="5"/>
  <c r="AB86" i="5"/>
  <c r="AB608" i="5" s="1"/>
  <c r="AB84" i="5"/>
  <c r="AB82" i="5"/>
  <c r="AB80" i="5"/>
  <c r="AB78" i="5"/>
  <c r="AB76" i="5"/>
  <c r="AB74" i="5"/>
  <c r="AB72" i="5"/>
  <c r="AB70" i="5"/>
  <c r="AB68" i="5"/>
  <c r="AB66" i="5"/>
  <c r="AB62" i="5"/>
  <c r="AC107" i="5"/>
  <c r="AC105" i="5"/>
  <c r="AC103" i="5"/>
  <c r="AC101" i="5"/>
  <c r="AC99" i="5"/>
  <c r="AC97" i="5"/>
  <c r="AC95" i="5"/>
  <c r="AC93" i="5"/>
  <c r="AC91" i="5"/>
  <c r="AC89" i="5"/>
  <c r="AC87" i="5"/>
  <c r="AC85" i="5"/>
  <c r="AC83" i="5"/>
  <c r="AC81" i="5"/>
  <c r="AC79" i="5"/>
  <c r="AC77" i="5"/>
  <c r="AC75" i="5"/>
  <c r="AC73" i="5"/>
  <c r="AC607" i="5" s="1"/>
  <c r="AC71" i="5"/>
  <c r="AC69" i="5"/>
  <c r="AC67" i="5"/>
  <c r="AC65" i="5"/>
  <c r="AB63" i="5"/>
  <c r="AB59" i="5"/>
  <c r="AB605" i="5" s="1"/>
  <c r="AB650" i="5"/>
  <c r="AB649" i="5"/>
  <c r="AB648" i="5"/>
  <c r="AB647" i="5"/>
  <c r="AB646" i="5"/>
  <c r="AB645" i="5"/>
  <c r="AB644" i="5"/>
  <c r="AB643" i="5"/>
  <c r="AB642" i="5"/>
  <c r="AB641" i="5"/>
  <c r="AB640" i="5"/>
  <c r="AB639" i="5"/>
  <c r="AB638" i="5"/>
  <c r="AB637" i="5"/>
  <c r="AB636" i="5"/>
  <c r="AB635" i="5"/>
  <c r="AB634" i="5"/>
  <c r="AB633" i="5"/>
  <c r="AB632" i="5"/>
  <c r="AB631" i="5"/>
  <c r="AB630" i="5"/>
  <c r="AB629" i="5"/>
  <c r="AB628" i="5"/>
  <c r="AB627" i="5"/>
  <c r="AB626" i="5"/>
  <c r="AB625" i="5"/>
  <c r="AB624" i="5"/>
  <c r="AB623" i="5"/>
  <c r="AB622" i="5"/>
  <c r="AB621" i="5"/>
  <c r="AB620" i="5"/>
  <c r="AB619" i="5"/>
  <c r="AB618" i="5"/>
  <c r="AB617" i="5"/>
  <c r="AB616" i="5"/>
  <c r="AB615" i="5"/>
  <c r="AB614" i="5"/>
  <c r="AB613" i="5"/>
  <c r="AB612" i="5"/>
  <c r="AB611" i="5"/>
  <c r="AB610" i="5"/>
  <c r="AB609" i="5"/>
  <c r="AB607" i="5"/>
  <c r="S597" i="6"/>
  <c r="AC598" i="5"/>
  <c r="S595" i="6"/>
  <c r="AC596" i="5"/>
  <c r="S593" i="6"/>
  <c r="AC594" i="5"/>
  <c r="S591" i="6"/>
  <c r="AC592" i="5"/>
  <c r="AC649" i="5"/>
  <c r="AC648" i="5"/>
  <c r="AC647" i="5"/>
  <c r="AC646" i="5"/>
  <c r="AC645" i="5"/>
  <c r="AC644" i="5"/>
  <c r="AC643" i="5"/>
  <c r="AC642" i="5"/>
  <c r="AC641" i="5"/>
  <c r="AC640" i="5"/>
  <c r="AC639" i="5"/>
  <c r="AC638" i="5"/>
  <c r="AC637" i="5"/>
  <c r="AC636" i="5"/>
  <c r="AC635" i="5"/>
  <c r="AC634" i="5"/>
  <c r="AC633" i="5"/>
  <c r="AC632" i="5"/>
  <c r="AC631" i="5"/>
  <c r="AC630" i="5"/>
  <c r="AC629" i="5"/>
  <c r="AC628" i="5"/>
  <c r="AC627" i="5"/>
  <c r="AC626" i="5"/>
  <c r="AC625" i="5"/>
  <c r="AC624" i="5"/>
  <c r="AC623" i="5"/>
  <c r="AC622" i="5"/>
  <c r="AC621" i="5"/>
  <c r="AC620" i="5"/>
  <c r="AC619" i="5"/>
  <c r="AC618" i="5"/>
  <c r="AC617" i="5"/>
  <c r="AC616" i="5"/>
  <c r="AC615" i="5"/>
  <c r="AC614" i="5"/>
  <c r="AC613" i="5"/>
  <c r="AC612" i="5"/>
  <c r="AC611" i="5"/>
  <c r="AC610" i="5"/>
  <c r="AC609" i="5"/>
  <c r="AC608" i="5"/>
  <c r="AC606" i="5"/>
  <c r="AB606" i="5"/>
  <c r="S599" i="6"/>
  <c r="AC600" i="5"/>
  <c r="L576" i="6"/>
  <c r="L565" i="6"/>
  <c r="L561" i="6"/>
  <c r="L578" i="6"/>
  <c r="L574" i="6"/>
  <c r="L563" i="6"/>
  <c r="L560" i="6"/>
  <c r="L345" i="6"/>
  <c r="L344" i="6"/>
  <c r="L240" i="6"/>
  <c r="L620" i="6" s="1"/>
  <c r="L238" i="6"/>
  <c r="L619" i="6" s="1"/>
  <c r="L117" i="6"/>
  <c r="L115" i="6"/>
  <c r="L116" i="6"/>
  <c r="S45" i="6"/>
  <c r="S44" i="6"/>
  <c r="S43" i="6"/>
  <c r="S42" i="6"/>
  <c r="S41" i="6"/>
  <c r="S40" i="6"/>
  <c r="S39" i="6"/>
  <c r="S603" i="6" s="1"/>
  <c r="S31" i="6"/>
  <c r="S27" i="6"/>
  <c r="S602" i="6" s="1"/>
  <c r="L68" i="6"/>
  <c r="L605" i="6" s="1"/>
  <c r="S17" i="6"/>
  <c r="S601" i="6" s="1"/>
  <c r="AC650" i="5" l="1"/>
  <c r="L609" i="6"/>
  <c r="L628" i="6"/>
</calcChain>
</file>

<file path=xl/sharedStrings.xml><?xml version="1.0" encoding="utf-8"?>
<sst xmlns="http://schemas.openxmlformats.org/spreadsheetml/2006/main" count="256" uniqueCount="102">
  <si>
    <t>WITHOUT NOx</t>
  </si>
  <si>
    <t>WITH NOx</t>
  </si>
  <si>
    <t>Selection</t>
  </si>
  <si>
    <t>Natural Gas</t>
  </si>
  <si>
    <t>WITHOUT SO2 &amp; NOx</t>
  </si>
  <si>
    <t>WITH SO2 &amp; NOx</t>
  </si>
  <si>
    <t>Heavy Oil SO2</t>
  </si>
  <si>
    <t>HIGH PRICES</t>
  </si>
  <si>
    <t>MEDIUM PRICES</t>
  </si>
  <si>
    <t>LOW PRICES</t>
  </si>
  <si>
    <t>Coal</t>
  </si>
  <si>
    <t>Light Oil SO2</t>
  </si>
  <si>
    <t>Heavy Oil</t>
  </si>
  <si>
    <t>Light Oil</t>
  </si>
  <si>
    <t>$/MMBTU</t>
  </si>
  <si>
    <t>MONTH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</si>
  <si>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</si>
  <si>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</si>
  <si>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</si>
  <si>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</si>
  <si>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</si>
  <si>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</si>
  <si>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</si>
  <si>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</si>
  <si>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>HIGH</t>
  </si>
  <si>
    <t>LOW</t>
  </si>
  <si>
    <t xml:space="preserve"> </t>
  </si>
  <si>
    <t>February 04, 2013 - EUGENE UNGAR</t>
  </si>
  <si>
    <t>DESOTO</t>
  </si>
  <si>
    <t>RIVIERA</t>
  </si>
  <si>
    <t>CANAVERAL</t>
  </si>
  <si>
    <t>MARTIN</t>
  </si>
  <si>
    <t>PUTNAM</t>
  </si>
  <si>
    <t>FT MYERS</t>
  </si>
  <si>
    <t>LAUDERDALE</t>
  </si>
  <si>
    <t>PORT EVERGLADES</t>
  </si>
  <si>
    <t>OLEANDER</t>
  </si>
  <si>
    <t>WCEC</t>
  </si>
  <si>
    <t>TURKEY POINT</t>
  </si>
  <si>
    <t>$/BBL.</t>
  </si>
  <si>
    <t>WTI</t>
  </si>
  <si>
    <t>RIVIERA 1%</t>
  </si>
  <si>
    <t>SANFORD 1%</t>
  </si>
  <si>
    <t>INDIAN RIVER &amp; CANAVERAL 1%</t>
  </si>
  <si>
    <r>
      <t>TURKEY POINT 1%</t>
    </r>
    <r>
      <rPr>
        <b/>
        <sz val="14"/>
        <rFont val="Arial"/>
        <family val="2"/>
      </rPr>
      <t>/</t>
    </r>
    <r>
      <rPr>
        <b/>
        <sz val="14"/>
        <color indexed="17"/>
        <rFont val="Arial"/>
        <family val="2"/>
      </rPr>
      <t>0.7%</t>
    </r>
  </si>
  <si>
    <t>MANATEE 1%</t>
  </si>
  <si>
    <t>PORT EVERGLADES 1%</t>
  </si>
  <si>
    <t>MARTIN 1%</t>
  </si>
  <si>
    <t>MARTIN 0.7%</t>
  </si>
  <si>
    <t>MM$</t>
  </si>
  <si>
    <t>WEIGHTED AVERAGE GULFSTREAM FIRM</t>
  </si>
  <si>
    <t>WEIGHTED AVERAGE FGT FIRM</t>
  </si>
  <si>
    <t>UPS REPLACEMENT SUNK DEMAND CHARGE</t>
  </si>
  <si>
    <t>UPS REPLACEMENT DISPATCH PRICE</t>
  </si>
  <si>
    <t>BAY GAS STORAGE DEMAND CHARGE</t>
  </si>
  <si>
    <t>GULF SOUTH</t>
  </si>
  <si>
    <t>TRANSCO 4A</t>
  </si>
  <si>
    <t>SESH</t>
  </si>
  <si>
    <t>GULFSTREAM</t>
  </si>
  <si>
    <t>FGT</t>
  </si>
  <si>
    <t>HENRY HUB</t>
  </si>
  <si>
    <t>GULFSTREAM NON-FIRM BACKHAUL</t>
  </si>
  <si>
    <t>GULFSTREAM NON-FIRM</t>
  </si>
  <si>
    <r>
      <t xml:space="preserve">GULFSTREAM FIRN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</si>
  <si>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DISPATCH PRICE</t>
  </si>
  <si>
    <r>
      <t xml:space="preserve">GULFSTREAM FIRM </t>
    </r>
    <r>
      <rPr>
        <b/>
        <sz val="12"/>
        <color indexed="12"/>
        <rFont val="Arial"/>
        <family val="2"/>
      </rPr>
      <t xml:space="preserve">GULF SOUTH </t>
    </r>
    <r>
      <rPr>
        <b/>
        <sz val="12"/>
        <rFont val="Arial"/>
        <family val="2"/>
      </rPr>
      <t>DISPATCH PRICE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</si>
  <si>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DISPATCH PRICE</t>
    </r>
  </si>
  <si>
    <t>FGT NON-FIRM</t>
  </si>
  <si>
    <t>FUTURE GAS PIPELINE</t>
  </si>
  <si>
    <r>
      <t xml:space="preserve">PHASE VIII FGT FIRM FROM </t>
    </r>
    <r>
      <rPr>
        <b/>
        <sz val="12"/>
        <color indexed="17"/>
        <rFont val="Arial"/>
        <family val="2"/>
      </rPr>
      <t>SESH</t>
    </r>
  </si>
  <si>
    <r>
      <t xml:space="preserve">PHASE VIII FGT FIRM FROM </t>
    </r>
    <r>
      <rPr>
        <b/>
        <sz val="12"/>
        <color indexed="10"/>
        <rFont val="Arial"/>
        <family val="2"/>
      </rPr>
      <t>TRANSCO 4A</t>
    </r>
  </si>
  <si>
    <t>PHASE VIII ZONE 3 MOBILE BAY/DESTIN FGT FIRM</t>
  </si>
  <si>
    <r>
      <t xml:space="preserve">ZONE 3 MOBILE BAY/DESTIN FGT FIRM </t>
    </r>
    <r>
      <rPr>
        <b/>
        <sz val="12"/>
        <color indexed="12"/>
        <rFont val="Arial"/>
        <family val="2"/>
      </rPr>
      <t>GULF SOUTH</t>
    </r>
  </si>
  <si>
    <r>
      <t xml:space="preserve">ZONE 3 MOBILE BAY/DESTIN FGT FIRM </t>
    </r>
    <r>
      <rPr>
        <b/>
        <sz val="12"/>
        <color indexed="17"/>
        <rFont val="Arial"/>
        <family val="2"/>
      </rPr>
      <t>SESH</t>
    </r>
  </si>
  <si>
    <t>ZONE 3 MOBILE BAY/DESTIN FGT FIRM</t>
  </si>
  <si>
    <t>ZONE 3 FGT FIRM</t>
  </si>
  <si>
    <t>ZONE 2 FGT FIRM</t>
  </si>
  <si>
    <t>ZONE 1 FGT FIRM</t>
  </si>
  <si>
    <t>ESTMATED SUNK DEMAND CHARGE(S) FOR THE NEW PIPELINE WILL BE PROVIDED UPON REQUEST</t>
  </si>
  <si>
    <t>FIRM TRANSPORT AND STORAGE CONTRACTS THROUGH FGT PHASE VIII</t>
  </si>
  <si>
    <t>SUNK DEMAND CHARGE FOR ALL CURRENT</t>
  </si>
  <si>
    <t>MMCF/DAY</t>
  </si>
  <si>
    <t>DAYS</t>
  </si>
  <si>
    <t>GULFSTREAM NON-FIRM &amp; NON-FIRM BACKHAUL</t>
  </si>
  <si>
    <t>TOTAL GULFSTREAM FIRM</t>
  </si>
  <si>
    <t>GULFSTREAM FIRM CONTRACTUAL BALANCE</t>
  </si>
  <si>
    <r>
      <t xml:space="preserve">GULFSTREAM FIRM </t>
    </r>
    <r>
      <rPr>
        <b/>
        <sz val="12"/>
        <color indexed="12"/>
        <rFont val="Arial"/>
        <family val="2"/>
      </rPr>
      <t>GULF SOUTH</t>
    </r>
    <r>
      <rPr>
        <b/>
        <sz val="12"/>
        <rFont val="Arial"/>
        <family val="2"/>
      </rPr>
      <t xml:space="preserve"> VOLUMES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</si>
  <si>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VOLUMES</t>
    </r>
  </si>
  <si>
    <t>TOTAL FGT FIRM</t>
  </si>
  <si>
    <t>PHASE VIII FTS 3</t>
  </si>
  <si>
    <t>FGT FIRM BY ZONE</t>
  </si>
  <si>
    <t>Florida Power &amp; Light Company</t>
  </si>
  <si>
    <t>Docket No. 160154-EI</t>
  </si>
  <si>
    <t>Staff's First Set of Interrogatories</t>
  </si>
  <si>
    <t>Interrogatory No. 2</t>
  </si>
  <si>
    <t>Tab 1 of 6</t>
  </si>
  <si>
    <t>Attachment No. 13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</si>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</sst>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"/>
    <numFmt numFmtId="165" formatCode="0_)"/>
    <numFmt numFmtId="166" formatCode="&quot;$&quot;#,##0.00"/>
    <numFmt numFmtId="167" formatCode="[$-409]mmm\-yy;@"/>
    <numFmt numFmtId="168" formatCode="&quot;$&quot;#,##0.0"/>
    <numFmt numFmtId="169" formatCode="&quot;$&quot;#,##0.0_);[Red]\(&quot;$&quot;#,##0.0\)"/>
    <numFmt numFmtId="170" formatCode="0.0"/>
  </numFmts>
  <fonts count="19" x14ac:knownFonts="1">
    <font>
      <sz val="12"/>
      <name val="Helv"/>
    </font>
    <font>
      <sz val="12"/>
      <name val="Helv"/>
    </font>
    <font>
      <sz val="12"/>
      <color indexed="12"/>
      <name val="Helv"/>
    </font>
    <font>
      <b/>
      <sz val="12"/>
      <name val="Helv"/>
    </font>
    <font>
      <sz val="10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2"/>
      <color indexed="12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2">
    <xf numFmtId="164" fontId="0" fillId="0" borderId="0">
      <alignment horizontal="left" wrapText="1"/>
    </xf>
    <xf numFmtId="44" fontId="4" fillId="0" borderId="0" applyFont="0" applyFill="0" applyBorder="0" applyAlignment="0" applyProtection="0"/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0" fontId="4" fillId="0" borderId="0"/>
  </cellStyleXfs>
  <cellXfs count="118">
    <xf numFmtId="164" fontId="0" fillId="0" borderId="0" xfId="0">
      <alignment horizontal="left" wrapText="1"/>
    </xf>
    <xf numFmtId="165" fontId="0" fillId="0" borderId="0" xfId="0" applyNumberFormat="1" applyAlignment="1"/>
    <xf numFmtId="165" fontId="2" fillId="0" borderId="1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  <xf numFmtId="165" fontId="3" fillId="0" borderId="4" xfId="0" applyNumberFormat="1" applyFont="1" applyBorder="1" applyAlignment="1"/>
    <xf numFmtId="165" fontId="2" fillId="0" borderId="1" xfId="0" applyNumberFormat="1" applyFont="1" applyBorder="1" applyAlignment="1"/>
    <xf numFmtId="165" fontId="2" fillId="0" borderId="3" xfId="0" applyNumberFormat="1" applyFont="1" applyBorder="1" applyAlignment="1"/>
    <xf numFmtId="165" fontId="3" fillId="0" borderId="4" xfId="0" quotePrefix="1" applyNumberFormat="1" applyFont="1" applyBorder="1" applyAlignment="1">
      <alignment horizontal="left"/>
    </xf>
    <xf numFmtId="0" fontId="4" fillId="0" borderId="0" xfId="21"/>
    <xf numFmtId="166" fontId="5" fillId="0" borderId="0" xfId="1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/>
    <xf numFmtId="17" fontId="1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166" fontId="5" fillId="0" borderId="0" xfId="21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7" fillId="0" borderId="0" xfId="21" applyFont="1" applyAlignment="1">
      <alignment horizontal="center"/>
    </xf>
    <xf numFmtId="165" fontId="8" fillId="0" borderId="0" xfId="0" quotePrefix="1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5" fontId="8" fillId="2" borderId="0" xfId="0" quotePrefix="1" applyNumberFormat="1" applyFont="1" applyFill="1" applyAlignment="1">
      <alignment horizontal="center"/>
    </xf>
    <xf numFmtId="165" fontId="8" fillId="3" borderId="0" xfId="0" quotePrefix="1" applyNumberFormat="1" applyFont="1" applyFill="1" applyAlignment="1">
      <alignment horizontal="center"/>
    </xf>
    <xf numFmtId="165" fontId="8" fillId="4" borderId="0" xfId="0" quotePrefix="1" applyNumberFormat="1" applyFont="1" applyFill="1" applyAlignment="1">
      <alignment horizontal="center"/>
    </xf>
    <xf numFmtId="0" fontId="4" fillId="0" borderId="0" xfId="21" applyFill="1"/>
    <xf numFmtId="165" fontId="8" fillId="2" borderId="0" xfId="0" quotePrefix="1" applyNumberFormat="1" applyFont="1" applyFill="1" applyAlignment="1">
      <alignment horizontal="center" vertical="center" wrapText="1"/>
    </xf>
    <xf numFmtId="165" fontId="8" fillId="3" borderId="0" xfId="0" quotePrefix="1" applyNumberFormat="1" applyFont="1" applyFill="1" applyAlignment="1">
      <alignment horizontal="center" vertical="center" wrapText="1"/>
    </xf>
    <xf numFmtId="165" fontId="8" fillId="4" borderId="0" xfId="0" quotePrefix="1" applyNumberFormat="1" applyFont="1" applyFill="1" applyAlignment="1">
      <alignment horizontal="center" vertical="center" wrapText="1"/>
    </xf>
    <xf numFmtId="0" fontId="9" fillId="0" borderId="0" xfId="21" applyFont="1"/>
    <xf numFmtId="10" fontId="8" fillId="7" borderId="0" xfId="21" quotePrefix="1" applyNumberFormat="1" applyFont="1" applyFill="1" applyAlignment="1">
      <alignment horizontal="center"/>
    </xf>
    <xf numFmtId="15" fontId="8" fillId="7" borderId="0" xfId="21" applyNumberFormat="1" applyFont="1" applyFill="1" applyAlignment="1">
      <alignment horizontal="left"/>
    </xf>
    <xf numFmtId="15" fontId="8" fillId="0" borderId="0" xfId="21" quotePrefix="1" applyNumberFormat="1" applyFont="1" applyAlignment="1">
      <alignment horizontal="left"/>
    </xf>
    <xf numFmtId="0" fontId="4" fillId="0" borderId="0" xfId="21" applyAlignment="1">
      <alignment horizontal="center"/>
    </xf>
    <xf numFmtId="8" fontId="4" fillId="0" borderId="0" xfId="21" applyNumberFormat="1"/>
    <xf numFmtId="0" fontId="4" fillId="0" borderId="0" xfId="21" applyAlignment="1">
      <alignment horizontal="center" wrapText="1"/>
    </xf>
    <xf numFmtId="0" fontId="8" fillId="0" borderId="0" xfId="21" applyFont="1" applyAlignment="1">
      <alignment horizontal="center" wrapText="1"/>
    </xf>
    <xf numFmtId="0" fontId="7" fillId="0" borderId="0" xfId="21" applyFont="1" applyAlignment="1">
      <alignment horizontal="center" wrapText="1"/>
    </xf>
    <xf numFmtId="0" fontId="8" fillId="0" borderId="0" xfId="21" quotePrefix="1" applyFont="1" applyAlignment="1">
      <alignment horizontal="center" wrapText="1"/>
    </xf>
    <xf numFmtId="10" fontId="10" fillId="7" borderId="0" xfId="21" applyNumberFormat="1" applyFont="1" applyFill="1" applyAlignment="1">
      <alignment horizontal="center"/>
    </xf>
    <xf numFmtId="0" fontId="8" fillId="7" borderId="0" xfId="21" applyFont="1" applyFill="1" applyAlignment="1">
      <alignment horizontal="center"/>
    </xf>
    <xf numFmtId="166" fontId="8" fillId="0" borderId="0" xfId="21" applyNumberFormat="1" applyFont="1" applyFill="1" applyAlignment="1">
      <alignment horizontal="center"/>
    </xf>
    <xf numFmtId="15" fontId="8" fillId="0" borderId="0" xfId="21" applyNumberFormat="1" applyFont="1" applyAlignment="1">
      <alignment horizontal="left"/>
    </xf>
    <xf numFmtId="0" fontId="5" fillId="0" borderId="0" xfId="21" applyFont="1" applyAlignment="1">
      <alignment horizontal="center"/>
    </xf>
    <xf numFmtId="8" fontId="5" fillId="0" borderId="0" xfId="21" applyNumberFormat="1" applyFont="1" applyAlignment="1">
      <alignment horizontal="center"/>
    </xf>
    <xf numFmtId="166" fontId="5" fillId="6" borderId="0" xfId="21" applyNumberFormat="1" applyFont="1" applyFill="1" applyAlignment="1">
      <alignment horizontal="center"/>
    </xf>
    <xf numFmtId="15" fontId="8" fillId="0" borderId="0" xfId="21" applyNumberFormat="1" applyFont="1" applyFill="1" applyAlignment="1">
      <alignment horizontal="left"/>
    </xf>
    <xf numFmtId="0" fontId="4" fillId="0" borderId="0" xfId="21" applyFill="1" applyAlignment="1">
      <alignment horizontal="center"/>
    </xf>
    <xf numFmtId="166" fontId="5" fillId="3" borderId="0" xfId="21" applyNumberFormat="1" applyFont="1" applyFill="1" applyAlignment="1">
      <alignment horizontal="center"/>
    </xf>
    <xf numFmtId="168" fontId="4" fillId="0" borderId="0" xfId="21" applyNumberFormat="1"/>
    <xf numFmtId="166" fontId="4" fillId="0" borderId="0" xfId="21" applyNumberFormat="1"/>
    <xf numFmtId="168" fontId="5" fillId="0" borderId="0" xfId="21" applyNumberFormat="1" applyFont="1" applyAlignment="1">
      <alignment horizontal="center"/>
    </xf>
    <xf numFmtId="166" fontId="8" fillId="5" borderId="0" xfId="21" applyNumberFormat="1" applyFont="1" applyFill="1" applyAlignment="1">
      <alignment horizontal="center"/>
    </xf>
    <xf numFmtId="168" fontId="5" fillId="0" borderId="0" xfId="21" applyNumberFormat="1" applyFont="1"/>
    <xf numFmtId="166" fontId="5" fillId="0" borderId="0" xfId="21" applyNumberFormat="1" applyFont="1"/>
    <xf numFmtId="168" fontId="13" fillId="0" borderId="0" xfId="21" applyNumberFormat="1" applyFont="1" applyAlignment="1">
      <alignment horizontal="center"/>
    </xf>
    <xf numFmtId="169" fontId="5" fillId="0" borderId="0" xfId="21" applyNumberFormat="1" applyFont="1" applyAlignment="1">
      <alignment horizontal="center"/>
    </xf>
    <xf numFmtId="169" fontId="5" fillId="5" borderId="0" xfId="21" applyNumberFormat="1" applyFont="1" applyFill="1" applyAlignment="1">
      <alignment horizontal="center"/>
    </xf>
    <xf numFmtId="166" fontId="5" fillId="5" borderId="0" xfId="21" applyNumberFormat="1" applyFont="1" applyFill="1" applyAlignment="1">
      <alignment horizontal="center"/>
    </xf>
    <xf numFmtId="166" fontId="14" fillId="6" borderId="0" xfId="21" applyNumberFormat="1" applyFont="1" applyFill="1" applyAlignment="1">
      <alignment horizontal="center"/>
    </xf>
    <xf numFmtId="166" fontId="14" fillId="3" borderId="0" xfId="21" applyNumberFormat="1" applyFont="1" applyFill="1" applyAlignment="1">
      <alignment horizontal="center"/>
    </xf>
    <xf numFmtId="168" fontId="14" fillId="0" borderId="0" xfId="21" applyNumberFormat="1" applyFont="1" applyAlignment="1">
      <alignment horizontal="center"/>
    </xf>
    <xf numFmtId="166" fontId="14" fillId="0" borderId="0" xfId="21" applyNumberFormat="1" applyFont="1" applyAlignment="1">
      <alignment horizontal="center"/>
    </xf>
    <xf numFmtId="169" fontId="14" fillId="0" borderId="0" xfId="21" applyNumberFormat="1" applyFont="1" applyAlignment="1">
      <alignment horizontal="center"/>
    </xf>
    <xf numFmtId="166" fontId="15" fillId="5" borderId="0" xfId="21" applyNumberFormat="1" applyFont="1" applyFill="1" applyAlignment="1">
      <alignment horizontal="center"/>
    </xf>
    <xf numFmtId="0" fontId="8" fillId="6" borderId="0" xfId="21" applyFont="1" applyFill="1" applyAlignment="1">
      <alignment horizontal="center" wrapText="1"/>
    </xf>
    <xf numFmtId="0" fontId="8" fillId="3" borderId="0" xfId="21" applyFont="1" applyFill="1" applyAlignment="1">
      <alignment horizontal="center" wrapText="1"/>
    </xf>
    <xf numFmtId="0" fontId="8" fillId="5" borderId="0" xfId="21" applyFont="1" applyFill="1" applyAlignment="1">
      <alignment horizontal="center" wrapText="1"/>
    </xf>
    <xf numFmtId="0" fontId="8" fillId="6" borderId="0" xfId="21" quotePrefix="1" applyFont="1" applyFill="1" applyAlignment="1">
      <alignment horizontal="center" wrapText="1"/>
    </xf>
    <xf numFmtId="0" fontId="8" fillId="2" borderId="0" xfId="21" quotePrefix="1" applyFont="1" applyFill="1" applyAlignment="1">
      <alignment horizontal="center" wrapText="1"/>
    </xf>
    <xf numFmtId="0" fontId="8" fillId="3" borderId="0" xfId="21" quotePrefix="1" applyFont="1" applyFill="1" applyAlignment="1">
      <alignment horizontal="center" wrapText="1"/>
    </xf>
    <xf numFmtId="0" fontId="8" fillId="0" borderId="0" xfId="21" applyFont="1" applyAlignment="1">
      <alignment horizontal="center"/>
    </xf>
    <xf numFmtId="10" fontId="8" fillId="0" borderId="0" xfId="21" applyNumberFormat="1" applyFont="1" applyFill="1" applyAlignment="1">
      <alignment horizontal="center"/>
    </xf>
    <xf numFmtId="0" fontId="8" fillId="0" borderId="0" xfId="21" applyFont="1" applyFill="1" applyAlignment="1">
      <alignment horizontal="center"/>
    </xf>
    <xf numFmtId="10" fontId="8" fillId="7" borderId="0" xfId="21" applyNumberFormat="1" applyFont="1" applyFill="1" applyAlignment="1">
      <alignment horizontal="center"/>
    </xf>
    <xf numFmtId="0" fontId="8" fillId="0" borderId="0" xfId="21" quotePrefix="1" applyFont="1" applyAlignment="1">
      <alignment horizontal="center"/>
    </xf>
    <xf numFmtId="1" fontId="4" fillId="0" borderId="0" xfId="21" applyNumberFormat="1" applyAlignment="1">
      <alignment horizontal="center"/>
    </xf>
    <xf numFmtId="1" fontId="4" fillId="0" borderId="0" xfId="21" applyNumberFormat="1"/>
    <xf numFmtId="1" fontId="5" fillId="0" borderId="0" xfId="21" applyNumberFormat="1" applyFont="1" applyAlignment="1">
      <alignment horizontal="center"/>
    </xf>
    <xf numFmtId="1" fontId="5" fillId="8" borderId="0" xfId="21" applyNumberFormat="1" applyFont="1" applyFill="1" applyAlignment="1">
      <alignment horizontal="center"/>
    </xf>
    <xf numFmtId="1" fontId="5" fillId="0" borderId="0" xfId="21" applyNumberFormat="1" applyFont="1" applyFill="1" applyAlignment="1">
      <alignment horizontal="center"/>
    </xf>
    <xf numFmtId="3" fontId="5" fillId="0" borderId="0" xfId="21" applyNumberFormat="1" applyFont="1" applyAlignment="1">
      <alignment horizontal="center"/>
    </xf>
    <xf numFmtId="3" fontId="5" fillId="0" borderId="0" xfId="21" applyNumberFormat="1" applyFont="1" applyFill="1" applyAlignment="1">
      <alignment horizontal="center"/>
    </xf>
    <xf numFmtId="3" fontId="5" fillId="8" borderId="0" xfId="21" applyNumberFormat="1" applyFont="1" applyFill="1" applyAlignment="1">
      <alignment horizontal="center"/>
    </xf>
    <xf numFmtId="170" fontId="8" fillId="5" borderId="0" xfId="21" applyNumberFormat="1" applyFont="1" applyFill="1" applyAlignment="1">
      <alignment horizontal="center"/>
    </xf>
    <xf numFmtId="3" fontId="5" fillId="5" borderId="0" xfId="21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/>
    <xf numFmtId="1" fontId="8" fillId="5" borderId="0" xfId="2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5" borderId="0" xfId="21" applyNumberFormat="1" applyFont="1" applyFill="1" applyAlignment="1">
      <alignment horizontal="center"/>
    </xf>
    <xf numFmtId="0" fontId="7" fillId="5" borderId="0" xfId="21" applyFont="1" applyFill="1" applyAlignment="1">
      <alignment horizontal="center" wrapText="1"/>
    </xf>
    <xf numFmtId="0" fontId="8" fillId="2" borderId="0" xfId="21" applyFont="1" applyFill="1" applyAlignment="1">
      <alignment horizontal="center" wrapText="1"/>
    </xf>
    <xf numFmtId="0" fontId="5" fillId="0" borderId="0" xfId="21" applyFont="1" applyAlignment="1">
      <alignment horizontal="center" wrapText="1"/>
    </xf>
    <xf numFmtId="0" fontId="8" fillId="0" borderId="0" xfId="21" quotePrefix="1" applyFont="1" applyFill="1" applyAlignment="1">
      <alignment horizontal="center"/>
    </xf>
    <xf numFmtId="0" fontId="8" fillId="0" borderId="0" xfId="21" applyFont="1" applyFill="1" applyAlignment="1"/>
    <xf numFmtId="0" fontId="8" fillId="4" borderId="0" xfId="21" applyFont="1" applyFill="1" applyAlignment="1">
      <alignment horizontal="center"/>
    </xf>
    <xf numFmtId="0" fontId="8" fillId="6" borderId="0" xfId="21" quotePrefix="1" applyFont="1" applyFill="1" applyAlignment="1">
      <alignment horizontal="center"/>
    </xf>
    <xf numFmtId="0" fontId="8" fillId="0" borderId="0" xfId="21" applyFont="1"/>
    <xf numFmtId="165" fontId="0" fillId="0" borderId="0" xfId="0" applyNumberFormat="1" applyFill="1" applyAlignment="1"/>
    <xf numFmtId="165" fontId="3" fillId="0" borderId="0" xfId="0" applyNumberFormat="1" applyFont="1" applyAlignment="1">
      <alignment horizontal="left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8" fillId="6" borderId="0" xfId="0" quotePrefix="1" applyNumberFormat="1" applyFont="1" applyFill="1" applyAlignment="1">
      <alignment horizontal="center"/>
    </xf>
    <xf numFmtId="0" fontId="8" fillId="0" borderId="0" xfId="21" applyFont="1" applyAlignment="1">
      <alignment horizontal="center"/>
    </xf>
    <xf numFmtId="0" fontId="8" fillId="5" borderId="0" xfId="21" quotePrefix="1" applyFont="1" applyFill="1" applyAlignment="1">
      <alignment horizontal="center"/>
    </xf>
    <xf numFmtId="0" fontId="8" fillId="5" borderId="0" xfId="21" applyFont="1" applyFill="1" applyAlignment="1">
      <alignment horizontal="center"/>
    </xf>
    <xf numFmtId="0" fontId="8" fillId="6" borderId="0" xfId="21" applyFont="1" applyFill="1" applyAlignment="1">
      <alignment horizontal="center"/>
    </xf>
    <xf numFmtId="0" fontId="8" fillId="6" borderId="0" xfId="21" quotePrefix="1" applyFont="1" applyFill="1" applyAlignment="1">
      <alignment horizontal="center"/>
    </xf>
    <xf numFmtId="0" fontId="18" fillId="6" borderId="7" xfId="21" quotePrefix="1" applyFont="1" applyFill="1" applyBorder="1" applyAlignment="1">
      <alignment horizontal="center"/>
    </xf>
    <xf numFmtId="0" fontId="18" fillId="6" borderId="6" xfId="21" quotePrefix="1" applyFont="1" applyFill="1" applyBorder="1" applyAlignment="1">
      <alignment horizontal="center"/>
    </xf>
    <xf numFmtId="0" fontId="18" fillId="6" borderId="5" xfId="21" quotePrefix="1" applyFont="1" applyFill="1" applyBorder="1" applyAlignment="1">
      <alignment horizontal="center"/>
    </xf>
    <xf numFmtId="0" fontId="8" fillId="0" borderId="0" xfId="21" quotePrefix="1" applyFont="1" applyFill="1" applyAlignment="1">
      <alignment horizontal="center"/>
    </xf>
    <xf numFmtId="0" fontId="8" fillId="4" borderId="0" xfId="21" quotePrefix="1" applyFont="1" applyFill="1" applyAlignment="1">
      <alignment horizontal="center"/>
    </xf>
    <xf numFmtId="0" fontId="8" fillId="4" borderId="0" xfId="21" applyFont="1" applyFill="1" applyAlignment="1">
      <alignment horizontal="center"/>
    </xf>
  </cellXfs>
  <cellStyles count="22">
    <cellStyle name="_CC Oil" xfId="2"/>
    <cellStyle name="_DSO Oil" xfId="3"/>
    <cellStyle name="_FLCC Oil" xfId="4"/>
    <cellStyle name="_FLPEGT Oil" xfId="5"/>
    <cellStyle name="_FMCT Oil" xfId="6"/>
    <cellStyle name="_GTDW_DataTemplate" xfId="7"/>
    <cellStyle name="_Gulfstream Gas" xfId="8"/>
    <cellStyle name="_MR .7 Oil" xfId="9"/>
    <cellStyle name="_MR 1 Oil" xfId="10"/>
    <cellStyle name="_MRCT Oil" xfId="11"/>
    <cellStyle name="_MT Gulfstream Gas" xfId="12"/>
    <cellStyle name="_MT Oil" xfId="13"/>
    <cellStyle name="_OLCT Oil" xfId="14"/>
    <cellStyle name="_PE Oil" xfId="15"/>
    <cellStyle name="_PN Oil" xfId="16"/>
    <cellStyle name="_RV Oil" xfId="17"/>
    <cellStyle name="_SHCT Oil" xfId="18"/>
    <cellStyle name="_SN Oil" xfId="19"/>
    <cellStyle name="_TP Oil" xfId="20"/>
    <cellStyle name="Currency" xfId="1" builtinId="4"/>
    <cellStyle name="Normal" xfId="0" builtinId="0"/>
    <cellStyle name="Normal_060415 RAP Fuel Price Forecast Template - Case 1 (Historical Spread)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32" fmlaRange="CONTROL!$B$32:$B$34" sel="2" val="0"/>
</file>

<file path=xl/ctrlProps/ctrlProp2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3.xml><?xml version="1.0" encoding="utf-8"?>
<formControlPr xmlns="http://schemas.microsoft.com/office/spreadsheetml/2009/9/main" objectType="Drop" dropLines="2" dropStyle="combo" dx="18" fmlaLink="CONTROL!$C$27" fmlaRange="CONTROL!$B$27:$B$28" val="0"/>
</file>

<file path=xl/ctrlProps/ctrlProp4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5.xml><?xml version="1.0" encoding="utf-8"?>
<formControlPr xmlns="http://schemas.microsoft.com/office/spreadsheetml/2009/9/main" objectType="Drop" dropLines="2" dropStyle="combo" dx="18" fmlaLink="CONTROL!$C$38" fmlaRange="CONTROL!$B$38:$B$39" val="0"/>
</file>

<file path=xl/ctrlProps/ctrlProp6.xml><?xml version="1.0" encoding="utf-8"?>
<formControlPr xmlns="http://schemas.microsoft.com/office/spreadsheetml/2009/9/main" objectType="Drop" dropLines="3" dropStyle="combo" dx="18" fmlaLink="CONTROL!$C$21" fmlaRange="CONTROL!$B$21:$B$23" sel="2" val="0"/>
</file>

<file path=xl/ctrlProps/ctrlProp7.xml><?xml version="1.0" encoding="utf-8"?>
<formControlPr xmlns="http://schemas.microsoft.com/office/spreadsheetml/2009/9/main" objectType="Drop" dropLines="2" dropStyle="combo" dx="18" fmlaLink="CONTROL!$C$42" fmlaRange="CONTROL!$B$42:$B$4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7</xdr:row>
          <xdr:rowOff>85725</xdr:rowOff>
        </xdr:from>
        <xdr:to>
          <xdr:col>6</xdr:col>
          <xdr:colOff>400050</xdr:colOff>
          <xdr:row>8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85725</xdr:rowOff>
        </xdr:from>
        <xdr:to>
          <xdr:col>7</xdr:col>
          <xdr:colOff>104775</xdr:colOff>
          <xdr:row>8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114300</xdr:rowOff>
        </xdr:from>
        <xdr:to>
          <xdr:col>8</xdr:col>
          <xdr:colOff>295275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7</xdr:row>
          <xdr:rowOff>180975</xdr:rowOff>
        </xdr:from>
        <xdr:to>
          <xdr:col>8</xdr:col>
          <xdr:colOff>342900</xdr:colOff>
          <xdr:row>9</xdr:row>
          <xdr:rowOff>85725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</xdr:row>
          <xdr:rowOff>180975</xdr:rowOff>
        </xdr:from>
        <xdr:to>
          <xdr:col>9</xdr:col>
          <xdr:colOff>609600</xdr:colOff>
          <xdr:row>9</xdr:row>
          <xdr:rowOff>85725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7</xdr:row>
          <xdr:rowOff>85725</xdr:rowOff>
        </xdr:from>
        <xdr:to>
          <xdr:col>8</xdr:col>
          <xdr:colOff>600075</xdr:colOff>
          <xdr:row>8</xdr:row>
          <xdr:rowOff>171450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180975</xdr:rowOff>
        </xdr:from>
        <xdr:to>
          <xdr:col>12</xdr:col>
          <xdr:colOff>323850</xdr:colOff>
          <xdr:row>9</xdr:row>
          <xdr:rowOff>66675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2_2013.zip\2013\2.%20February\130204%202013%20-%202061%20LONG-TERM%20FORECAST%20FPL%20METHODOLOGY%20-%20To%20Dele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OIL BACKUP"/>
      <sheetName val="PIRA - LONG TERM GAS BACKUP"/>
      <sheetName val="OIL &amp; GAS SEASONALITY"/>
      <sheetName val="DISTILLATE &amp; RESIDUAL FUEL OIL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TRANSCO 4 LATERAL TO GULFSTREAM"/>
      <sheetName val="SESH TO FGT FIRM ZONE 3 MOB BAY"/>
      <sheetName val="SESH TO FTS 3"/>
      <sheetName val="SESH TO GULFSTREAM"/>
      <sheetName val="GULFSTREAM FIRM "/>
      <sheetName val="GULFSTREAM NON-FIRM"/>
      <sheetName val="GULFSTREAM NON-FIRM  BACKHAUL "/>
      <sheetName val="UPS REPLACEMENT"/>
      <sheetName val="FUTURE GAS PIPELINE"/>
      <sheetName val="Upload"/>
      <sheetName val="MOST LIKELY COAL &amp; PET COKE"/>
      <sheetName val="GULF SOUTH TO FGT Z3 MOBILE BAY"/>
      <sheetName val="GULF SOUTH TO GULFSTR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43"/>
  <sheetViews>
    <sheetView showGridLines="0" tabSelected="1" zoomScale="75" zoomScaleNormal="75" workbookViewId="0">
      <selection activeCell="A6" sqref="A6"/>
    </sheetView>
  </sheetViews>
  <sheetFormatPr defaultColWidth="8.88671875" defaultRowHeight="15.75" x14ac:dyDescent="0.25"/>
  <cols>
    <col min="1" max="1" width="8.88671875" style="1"/>
    <col min="2" max="2" width="15.5546875" style="1" bestFit="1" customWidth="1"/>
    <col min="3" max="3" width="9.5546875" style="1" bestFit="1" customWidth="1"/>
    <col min="4" max="16384" width="8.88671875" style="1"/>
  </cols>
  <sheetData>
    <row r="1" spans="1:3" x14ac:dyDescent="0.25">
      <c r="A1" s="102" t="s">
        <v>91</v>
      </c>
    </row>
    <row r="2" spans="1:3" x14ac:dyDescent="0.25">
      <c r="A2" s="102" t="s">
        <v>92</v>
      </c>
    </row>
    <row r="3" spans="1:3" x14ac:dyDescent="0.25">
      <c r="A3" s="102" t="s">
        <v>93</v>
      </c>
    </row>
    <row r="4" spans="1:3" x14ac:dyDescent="0.25">
      <c r="A4" s="102" t="s">
        <v>94</v>
      </c>
    </row>
    <row r="5" spans="1:3" s="101" customFormat="1" x14ac:dyDescent="0.25">
      <c r="A5" s="102" t="s">
        <v>96</v>
      </c>
    </row>
    <row r="6" spans="1:3" s="101" customFormat="1" x14ac:dyDescent="0.25">
      <c r="A6" s="102" t="s">
        <v>95</v>
      </c>
    </row>
    <row r="8" spans="1:3" x14ac:dyDescent="0.25">
      <c r="B8" s="4" t="s">
        <v>13</v>
      </c>
      <c r="C8" s="4" t="s">
        <v>2</v>
      </c>
    </row>
    <row r="9" spans="1:3" x14ac:dyDescent="0.25">
      <c r="B9" s="6" t="s">
        <v>9</v>
      </c>
      <c r="C9" s="103">
        <v>2</v>
      </c>
    </row>
    <row r="10" spans="1:3" x14ac:dyDescent="0.25">
      <c r="B10" s="6" t="s">
        <v>8</v>
      </c>
      <c r="C10" s="105"/>
    </row>
    <row r="11" spans="1:3" x14ac:dyDescent="0.25">
      <c r="B11" s="5" t="s">
        <v>7</v>
      </c>
      <c r="C11" s="104"/>
    </row>
    <row r="14" spans="1:3" x14ac:dyDescent="0.25">
      <c r="B14" s="4" t="s">
        <v>12</v>
      </c>
      <c r="C14" s="4" t="s">
        <v>2</v>
      </c>
    </row>
    <row r="15" spans="1:3" x14ac:dyDescent="0.25">
      <c r="B15" s="6" t="s">
        <v>9</v>
      </c>
      <c r="C15" s="103">
        <v>2</v>
      </c>
    </row>
    <row r="16" spans="1:3" x14ac:dyDescent="0.25">
      <c r="B16" s="6" t="s">
        <v>8</v>
      </c>
      <c r="C16" s="105"/>
    </row>
    <row r="17" spans="2:3" x14ac:dyDescent="0.25">
      <c r="B17" s="5" t="s">
        <v>7</v>
      </c>
      <c r="C17" s="104"/>
    </row>
    <row r="20" spans="2:3" x14ac:dyDescent="0.25">
      <c r="B20" s="4" t="s">
        <v>3</v>
      </c>
      <c r="C20" s="4" t="s">
        <v>2</v>
      </c>
    </row>
    <row r="21" spans="2:3" x14ac:dyDescent="0.25">
      <c r="B21" s="6" t="s">
        <v>9</v>
      </c>
      <c r="C21" s="103">
        <v>2</v>
      </c>
    </row>
    <row r="22" spans="2:3" x14ac:dyDescent="0.25">
      <c r="B22" s="6" t="s">
        <v>8</v>
      </c>
      <c r="C22" s="105"/>
    </row>
    <row r="23" spans="2:3" x14ac:dyDescent="0.25">
      <c r="B23" s="5" t="s">
        <v>7</v>
      </c>
      <c r="C23" s="104"/>
    </row>
    <row r="26" spans="2:3" x14ac:dyDescent="0.25">
      <c r="B26" s="7" t="s">
        <v>11</v>
      </c>
      <c r="C26" s="7" t="s">
        <v>2</v>
      </c>
    </row>
    <row r="27" spans="2:3" x14ac:dyDescent="0.25">
      <c r="B27" s="3" t="s">
        <v>5</v>
      </c>
      <c r="C27" s="103">
        <v>1</v>
      </c>
    </row>
    <row r="28" spans="2:3" x14ac:dyDescent="0.25">
      <c r="B28" s="2" t="s">
        <v>4</v>
      </c>
      <c r="C28" s="104"/>
    </row>
    <row r="31" spans="2:3" x14ac:dyDescent="0.25">
      <c r="B31" s="4" t="s">
        <v>10</v>
      </c>
      <c r="C31" s="4" t="s">
        <v>2</v>
      </c>
    </row>
    <row r="32" spans="2:3" x14ac:dyDescent="0.25">
      <c r="B32" s="6" t="s">
        <v>9</v>
      </c>
      <c r="C32" s="103">
        <v>2</v>
      </c>
    </row>
    <row r="33" spans="2:3" x14ac:dyDescent="0.25">
      <c r="B33" s="6" t="s">
        <v>8</v>
      </c>
      <c r="C33" s="105"/>
    </row>
    <row r="34" spans="2:3" x14ac:dyDescent="0.25">
      <c r="B34" s="5" t="s">
        <v>7</v>
      </c>
      <c r="C34" s="104"/>
    </row>
    <row r="37" spans="2:3" x14ac:dyDescent="0.25">
      <c r="B37" s="4" t="s">
        <v>6</v>
      </c>
      <c r="C37" s="4" t="s">
        <v>2</v>
      </c>
    </row>
    <row r="38" spans="2:3" x14ac:dyDescent="0.25">
      <c r="B38" s="3" t="s">
        <v>5</v>
      </c>
      <c r="C38" s="103">
        <v>1</v>
      </c>
    </row>
    <row r="39" spans="2:3" x14ac:dyDescent="0.25">
      <c r="B39" s="2" t="s">
        <v>4</v>
      </c>
      <c r="C39" s="104"/>
    </row>
    <row r="41" spans="2:3" x14ac:dyDescent="0.25">
      <c r="B41" s="4" t="s">
        <v>3</v>
      </c>
      <c r="C41" s="4" t="s">
        <v>2</v>
      </c>
    </row>
    <row r="42" spans="2:3" x14ac:dyDescent="0.25">
      <c r="B42" s="3" t="s">
        <v>1</v>
      </c>
      <c r="C42" s="103">
        <v>1</v>
      </c>
    </row>
    <row r="43" spans="2:3" x14ac:dyDescent="0.25">
      <c r="B43" s="2" t="s">
        <v>0</v>
      </c>
      <c r="C43" s="104"/>
    </row>
  </sheetData>
  <mergeCells count="7">
    <mergeCell ref="C42:C43"/>
    <mergeCell ref="C32:C34"/>
    <mergeCell ref="C38:C39"/>
    <mergeCell ref="C9:C11"/>
    <mergeCell ref="C15:C17"/>
    <mergeCell ref="C21:C23"/>
    <mergeCell ref="C27:C28"/>
  </mergeCells>
  <pageMargins left="0.25" right="0.25" top="0.5" bottom="0.5" header="0.25" footer="0.25"/>
  <pageSetup scale="70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652"/>
  <sheetViews>
    <sheetView zoomScale="75" zoomScaleNormal="75" workbookViewId="0">
      <pane xSplit="1" ySplit="13" topLeftCell="B14" activePane="bottomRight" state="frozen"/>
      <selection activeCell="A7" sqref="A7"/>
      <selection pane="topRight" activeCell="A7" sqref="A7"/>
      <selection pane="bottomLeft" activeCell="A7" sqref="A7"/>
      <selection pane="bottomRight" activeCell="B14" sqref="B14"/>
    </sheetView>
  </sheetViews>
  <sheetFormatPr defaultColWidth="7.109375" defaultRowHeight="12.75" x14ac:dyDescent="0.2"/>
  <cols>
    <col min="1" max="1" width="14.5546875" style="8" customWidth="1"/>
    <col min="2" max="2" width="19" style="8" customWidth="1"/>
    <col min="3" max="3" width="16.109375" style="8" customWidth="1"/>
    <col min="4" max="4" width="20.21875" style="8" customWidth="1"/>
    <col min="5" max="5" width="20.6640625" style="8" customWidth="1"/>
    <col min="6" max="6" width="16.109375" style="8" customWidth="1"/>
    <col min="7" max="9" width="20" style="8" customWidth="1"/>
    <col min="10" max="10" width="16.109375" style="8" customWidth="1"/>
    <col min="11" max="13" width="19.109375" style="8" customWidth="1"/>
    <col min="14" max="14" width="16.109375" style="8" customWidth="1"/>
    <col min="15" max="15" width="19.77734375" style="8" customWidth="1"/>
    <col min="16" max="16" width="16.109375" style="8" customWidth="1"/>
    <col min="17" max="19" width="17.6640625" style="8" customWidth="1"/>
    <col min="20" max="16384" width="7.109375" style="8"/>
  </cols>
  <sheetData>
    <row r="1" spans="1:19" ht="15.75" x14ac:dyDescent="0.25">
      <c r="A1" s="102" t="s">
        <v>91</v>
      </c>
    </row>
    <row r="2" spans="1:19" ht="15.75" x14ac:dyDescent="0.25">
      <c r="A2" s="102" t="s">
        <v>92</v>
      </c>
    </row>
    <row r="3" spans="1:19" ht="15.75" x14ac:dyDescent="0.25">
      <c r="A3" s="102" t="s">
        <v>93</v>
      </c>
    </row>
    <row r="4" spans="1:19" ht="15.75" x14ac:dyDescent="0.25">
      <c r="A4" s="102" t="s">
        <v>94</v>
      </c>
    </row>
    <row r="5" spans="1:19" ht="15.75" x14ac:dyDescent="0.25">
      <c r="A5" s="102" t="s">
        <v>96</v>
      </c>
    </row>
    <row r="6" spans="1:19" ht="15.75" x14ac:dyDescent="0.25">
      <c r="A6" s="102" t="s">
        <v>97</v>
      </c>
    </row>
    <row r="7" spans="1:19" ht="15.75" x14ac:dyDescent="0.25">
      <c r="A7" s="102"/>
    </row>
    <row r="8" spans="1:19" ht="18" x14ac:dyDescent="0.25">
      <c r="A8" s="32" t="s">
        <v>27</v>
      </c>
      <c r="B8" s="32"/>
      <c r="H8" s="29" t="s">
        <v>26</v>
      </c>
    </row>
    <row r="9" spans="1:19" ht="18" x14ac:dyDescent="0.25">
      <c r="A9" s="32"/>
      <c r="B9" s="31" t="s">
        <v>25</v>
      </c>
      <c r="C9" s="30">
        <f>1-0.149</f>
        <v>0.85099999999999998</v>
      </c>
      <c r="D9" s="31" t="s">
        <v>24</v>
      </c>
      <c r="E9" s="30">
        <v>1.149</v>
      </c>
      <c r="H9" s="29"/>
      <c r="P9" s="107"/>
      <c r="Q9" s="107"/>
      <c r="R9" s="107"/>
      <c r="S9" s="107"/>
    </row>
    <row r="10" spans="1:19" ht="15.75" x14ac:dyDescent="0.25">
      <c r="B10" s="106" t="s">
        <v>23</v>
      </c>
      <c r="C10" s="106"/>
      <c r="D10" s="106"/>
      <c r="E10" s="108" t="s">
        <v>22</v>
      </c>
      <c r="F10" s="108"/>
      <c r="G10" s="109"/>
      <c r="H10" s="110" t="s">
        <v>21</v>
      </c>
      <c r="I10" s="110"/>
      <c r="J10" s="110"/>
      <c r="K10" s="110"/>
      <c r="L10" s="109" t="s">
        <v>20</v>
      </c>
      <c r="M10" s="109"/>
      <c r="N10" s="109"/>
      <c r="O10" s="109"/>
      <c r="P10" s="107"/>
      <c r="Q10" s="107"/>
      <c r="R10" s="107"/>
      <c r="S10" s="107"/>
    </row>
    <row r="11" spans="1:19" ht="63" x14ac:dyDescent="0.25">
      <c r="B11" s="28" t="s">
        <v>19</v>
      </c>
      <c r="C11" s="27" t="s">
        <v>17</v>
      </c>
      <c r="D11" s="26" t="s">
        <v>16</v>
      </c>
      <c r="E11" s="28" t="s">
        <v>19</v>
      </c>
      <c r="F11" s="27" t="s">
        <v>17</v>
      </c>
      <c r="G11" s="26" t="s">
        <v>16</v>
      </c>
      <c r="H11" s="28" t="s">
        <v>19</v>
      </c>
      <c r="I11" s="28" t="s">
        <v>18</v>
      </c>
      <c r="J11" s="27" t="s">
        <v>17</v>
      </c>
      <c r="K11" s="26" t="s">
        <v>16</v>
      </c>
      <c r="L11" s="28" t="s">
        <v>19</v>
      </c>
      <c r="M11" s="28" t="s">
        <v>18</v>
      </c>
      <c r="N11" s="27" t="s">
        <v>17</v>
      </c>
      <c r="O11" s="26" t="s">
        <v>16</v>
      </c>
      <c r="P11" s="25"/>
      <c r="Q11" s="21"/>
      <c r="R11" s="21"/>
      <c r="S11" s="21"/>
    </row>
    <row r="12" spans="1:19" ht="13.5" customHeight="1" x14ac:dyDescent="0.25">
      <c r="B12" s="24"/>
      <c r="C12" s="23"/>
      <c r="D12" s="22"/>
      <c r="E12" s="24"/>
      <c r="F12" s="23"/>
      <c r="G12" s="22"/>
      <c r="H12" s="24"/>
      <c r="I12" s="24"/>
      <c r="J12" s="23"/>
      <c r="K12" s="22"/>
      <c r="L12" s="24"/>
      <c r="M12" s="24"/>
      <c r="N12" s="23"/>
      <c r="O12" s="22"/>
      <c r="P12" s="21"/>
      <c r="Q12" s="20"/>
      <c r="R12" s="20"/>
      <c r="S12" s="20"/>
    </row>
    <row r="13" spans="1:19" ht="20.25" x14ac:dyDescent="0.55000000000000004">
      <c r="A13" s="19" t="s">
        <v>15</v>
      </c>
      <c r="B13" s="18" t="s">
        <v>14</v>
      </c>
      <c r="C13" s="18" t="s">
        <v>14</v>
      </c>
      <c r="D13" s="18" t="s">
        <v>14</v>
      </c>
      <c r="E13" s="18" t="s">
        <v>14</v>
      </c>
      <c r="F13" s="18" t="s">
        <v>14</v>
      </c>
      <c r="G13" s="18" t="s">
        <v>14</v>
      </c>
      <c r="H13" s="18" t="s">
        <v>14</v>
      </c>
      <c r="I13" s="18" t="s">
        <v>14</v>
      </c>
      <c r="J13" s="18" t="s">
        <v>14</v>
      </c>
      <c r="K13" s="18" t="s">
        <v>14</v>
      </c>
      <c r="L13" s="18" t="s">
        <v>14</v>
      </c>
      <c r="M13" s="18" t="s">
        <v>14</v>
      </c>
      <c r="N13" s="18" t="s">
        <v>14</v>
      </c>
      <c r="O13" s="18" t="s">
        <v>14</v>
      </c>
      <c r="P13" s="18"/>
      <c r="Q13" s="18"/>
      <c r="R13" s="18"/>
      <c r="S13" s="18"/>
    </row>
    <row r="14" spans="1:19" ht="15" x14ac:dyDescent="0.2">
      <c r="A14" s="16">
        <v>41275</v>
      </c>
      <c r="B14" s="10">
        <f>2.4363 * CHOOSE(CONTROL!$C$32, $C$9, 100%, $E$9)</f>
        <v>2.4363000000000001</v>
      </c>
      <c r="C14" s="10">
        <f>2.4856 * CHOOSE(CONTROL!$C$32, $C$9, 100%, $E$9)</f>
        <v>2.4855999999999998</v>
      </c>
      <c r="D14" s="10">
        <f>2.5202 * CHOOSE(CONTROL!$C$32, $C$9, 100%, $E$9)</f>
        <v>2.5202</v>
      </c>
      <c r="E14" s="9">
        <f>4.0897 * CHOOSE(CONTROL!$C$32, $C$9, 100%, $E$9)</f>
        <v>4.0896999999999997</v>
      </c>
      <c r="F14" s="9">
        <f>3.5487 * CHOOSE(CONTROL!$C$32, $C$9, 100%, $E$9)</f>
        <v>3.5487000000000002</v>
      </c>
      <c r="G14" s="9">
        <f>3.5602 * CHOOSE(CONTROL!$C$32, $C$9, 100%, $E$9)</f>
        <v>3.5602</v>
      </c>
      <c r="H14" s="9">
        <f>3.832 * CHOOSE(CONTROL!$C$32, $C$9, 100%, $E$9)</f>
        <v>3.8319999999999999</v>
      </c>
      <c r="I14" s="9">
        <f>3.8435 * CHOOSE(CONTROL!$C$32, $C$9, 100%, $E$9)</f>
        <v>3.8435000000000001</v>
      </c>
      <c r="J14" s="9">
        <f>3.832 * CHOOSE(CONTROL!$C$32, $C$9, 100%, $E$9)</f>
        <v>3.8319999999999999</v>
      </c>
      <c r="K14" s="9">
        <f>3.8435 * CHOOSE(CONTROL!$C$32, $C$9, 100%, $E$9)</f>
        <v>3.8435000000000001</v>
      </c>
      <c r="L14" s="9">
        <f>4.0897 * CHOOSE(CONTROL!$C$32, $C$9, 100%, $E$9)</f>
        <v>4.0896999999999997</v>
      </c>
      <c r="M14" s="9">
        <f>4.1013 * CHOOSE(CONTROL!$C$32, $C$9, 100%, $E$9)</f>
        <v>4.1013000000000002</v>
      </c>
      <c r="N14" s="9">
        <f>4.0897 * CHOOSE(CONTROL!$C$32, $C$9, 100%, $E$9)</f>
        <v>4.0896999999999997</v>
      </c>
      <c r="O14" s="9">
        <f>4.1013 * CHOOSE(CONTROL!$C$32, $C$9, 100%, $E$9)</f>
        <v>4.1013000000000002</v>
      </c>
      <c r="P14" s="17"/>
      <c r="Q14" s="9"/>
      <c r="R14" s="9"/>
    </row>
    <row r="15" spans="1:19" ht="15" x14ac:dyDescent="0.2">
      <c r="A15" s="16">
        <v>41306</v>
      </c>
      <c r="B15" s="10">
        <f>2.441 * CHOOSE(CONTROL!$C$32, $C$9, 100%, $E$9)</f>
        <v>2.4409999999999998</v>
      </c>
      <c r="C15" s="10">
        <f>2.4903 * CHOOSE(CONTROL!$C$32, $C$9, 100%, $E$9)</f>
        <v>2.4903</v>
      </c>
      <c r="D15" s="10">
        <f>2.5249 * CHOOSE(CONTROL!$C$32, $C$9, 100%, $E$9)</f>
        <v>2.5249000000000001</v>
      </c>
      <c r="E15" s="9">
        <f>3.9826 * CHOOSE(CONTROL!$C$32, $C$9, 100%, $E$9)</f>
        <v>3.9826000000000001</v>
      </c>
      <c r="F15" s="9">
        <f>3.5669 * CHOOSE(CONTROL!$C$32, $C$9, 100%, $E$9)</f>
        <v>3.5669</v>
      </c>
      <c r="G15" s="9">
        <f>3.5784 * CHOOSE(CONTROL!$C$32, $C$9, 100%, $E$9)</f>
        <v>3.5783999999999998</v>
      </c>
      <c r="H15" s="9">
        <f>3.828 * CHOOSE(CONTROL!$C$32, $C$9, 100%, $E$9)</f>
        <v>3.8279999999999998</v>
      </c>
      <c r="I15" s="9">
        <f>3.8395 * CHOOSE(CONTROL!$C$32, $C$9, 100%, $E$9)</f>
        <v>3.8395000000000001</v>
      </c>
      <c r="J15" s="9">
        <f>3.828 * CHOOSE(CONTROL!$C$32, $C$9, 100%, $E$9)</f>
        <v>3.8279999999999998</v>
      </c>
      <c r="K15" s="9">
        <f>3.8395 * CHOOSE(CONTROL!$C$32, $C$9, 100%, $E$9)</f>
        <v>3.8395000000000001</v>
      </c>
      <c r="L15" s="9">
        <f>3.9826 * CHOOSE(CONTROL!$C$32, $C$9, 100%, $E$9)</f>
        <v>3.9826000000000001</v>
      </c>
      <c r="M15" s="9">
        <f>3.9941 * CHOOSE(CONTROL!$C$32, $C$9, 100%, $E$9)</f>
        <v>3.9941</v>
      </c>
      <c r="N15" s="9">
        <f>3.9826 * CHOOSE(CONTROL!$C$32, $C$9, 100%, $E$9)</f>
        <v>3.9826000000000001</v>
      </c>
      <c r="O15" s="9">
        <f>3.9941 * CHOOSE(CONTROL!$C$32, $C$9, 100%, $E$9)</f>
        <v>3.9941</v>
      </c>
      <c r="P15" s="17"/>
      <c r="Q15" s="9"/>
      <c r="R15" s="9"/>
    </row>
    <row r="16" spans="1:19" ht="15" x14ac:dyDescent="0.2">
      <c r="A16" s="16">
        <v>41334</v>
      </c>
      <c r="B16" s="10">
        <f>2.4418 * CHOOSE(CONTROL!$C$32, $C$9, 100%, $E$9)</f>
        <v>2.4418000000000002</v>
      </c>
      <c r="C16" s="10">
        <f>2.4932 * CHOOSE(CONTROL!$C$32, $C$9, 100%, $E$9)</f>
        <v>2.4931999999999999</v>
      </c>
      <c r="D16" s="10">
        <f>2.5278 * CHOOSE(CONTROL!$C$32, $C$9, 100%, $E$9)</f>
        <v>2.5278</v>
      </c>
      <c r="E16" s="9">
        <f>3.9826 * CHOOSE(CONTROL!$C$32, $C$9, 100%, $E$9)</f>
        <v>3.9826000000000001</v>
      </c>
      <c r="F16" s="9">
        <f>3.5919 * CHOOSE(CONTROL!$C$32, $C$9, 100%, $E$9)</f>
        <v>3.5918999999999999</v>
      </c>
      <c r="G16" s="9">
        <f>3.6034 * CHOOSE(CONTROL!$C$32, $C$9, 100%, $E$9)</f>
        <v>3.6034000000000002</v>
      </c>
      <c r="H16" s="9">
        <f>3.822 * CHOOSE(CONTROL!$C$32, $C$9, 100%, $E$9)</f>
        <v>3.8220000000000001</v>
      </c>
      <c r="I16" s="9">
        <f>3.8335 * CHOOSE(CONTROL!$C$32, $C$9, 100%, $E$9)</f>
        <v>3.8334999999999999</v>
      </c>
      <c r="J16" s="9">
        <f>3.822 * CHOOSE(CONTROL!$C$32, $C$9, 100%, $E$9)</f>
        <v>3.8220000000000001</v>
      </c>
      <c r="K16" s="9">
        <f>3.8335 * CHOOSE(CONTROL!$C$32, $C$9, 100%, $E$9)</f>
        <v>3.8334999999999999</v>
      </c>
      <c r="L16" s="9">
        <f>3.9826 * CHOOSE(CONTROL!$C$32, $C$9, 100%, $E$9)</f>
        <v>3.9826000000000001</v>
      </c>
      <c r="M16" s="9">
        <f>3.9941 * CHOOSE(CONTROL!$C$32, $C$9, 100%, $E$9)</f>
        <v>3.9941</v>
      </c>
      <c r="N16" s="9">
        <f>3.9826 * CHOOSE(CONTROL!$C$32, $C$9, 100%, $E$9)</f>
        <v>3.9826000000000001</v>
      </c>
      <c r="O16" s="9">
        <f>3.9941 * CHOOSE(CONTROL!$C$32, $C$9, 100%, $E$9)</f>
        <v>3.9941</v>
      </c>
      <c r="P16" s="17"/>
      <c r="Q16" s="9"/>
      <c r="R16" s="9"/>
    </row>
    <row r="17" spans="1:18" ht="15" x14ac:dyDescent="0.2">
      <c r="A17" s="16">
        <v>41365</v>
      </c>
      <c r="B17" s="10">
        <f>2.4427 * CHOOSE(CONTROL!$C$32, $C$9, 100%, $E$9)</f>
        <v>2.4426999999999999</v>
      </c>
      <c r="C17" s="10">
        <f>2.4963 * CHOOSE(CONTROL!$C$32, $C$9, 100%, $E$9)</f>
        <v>2.4963000000000002</v>
      </c>
      <c r="D17" s="10">
        <f>2.5309 * CHOOSE(CONTROL!$C$32, $C$9, 100%, $E$9)</f>
        <v>2.5308999999999999</v>
      </c>
      <c r="E17" s="9">
        <f>4.0701 * CHOOSE(CONTROL!$C$32, $C$9, 100%, $E$9)</f>
        <v>4.0701000000000001</v>
      </c>
      <c r="F17" s="9">
        <f>3.5985 * CHOOSE(CONTROL!$C$32, $C$9, 100%, $E$9)</f>
        <v>3.5985</v>
      </c>
      <c r="G17" s="9">
        <f>3.61 * CHOOSE(CONTROL!$C$32, $C$9, 100%, $E$9)</f>
        <v>3.61</v>
      </c>
      <c r="H17" s="9">
        <f>3.8213 * CHOOSE(CONTROL!$C$32, $C$9, 100%, $E$9)</f>
        <v>3.8212999999999999</v>
      </c>
      <c r="I17" s="9">
        <f>3.8328 * CHOOSE(CONTROL!$C$32, $C$9, 100%, $E$9)</f>
        <v>3.8328000000000002</v>
      </c>
      <c r="J17" s="9">
        <f>3.8213 * CHOOSE(CONTROL!$C$32, $C$9, 100%, $E$9)</f>
        <v>3.8212999999999999</v>
      </c>
      <c r="K17" s="9">
        <f>3.8328 * CHOOSE(CONTROL!$C$32, $C$9, 100%, $E$9)</f>
        <v>3.8328000000000002</v>
      </c>
      <c r="L17" s="9">
        <f>4.0701 * CHOOSE(CONTROL!$C$32, $C$9, 100%, $E$9)</f>
        <v>4.0701000000000001</v>
      </c>
      <c r="M17" s="9">
        <f>4.0816 * CHOOSE(CONTROL!$C$32, $C$9, 100%, $E$9)</f>
        <v>4.0815999999999999</v>
      </c>
      <c r="N17" s="9">
        <f>4.0701 * CHOOSE(CONTROL!$C$32, $C$9, 100%, $E$9)</f>
        <v>4.0701000000000001</v>
      </c>
      <c r="O17" s="9">
        <f>4.0816 * CHOOSE(CONTROL!$C$32, $C$9, 100%, $E$9)</f>
        <v>4.0815999999999999</v>
      </c>
      <c r="P17" s="17"/>
      <c r="Q17" s="9"/>
      <c r="R17" s="9"/>
    </row>
    <row r="18" spans="1:18" ht="15" x14ac:dyDescent="0.2">
      <c r="A18" s="16">
        <v>41395</v>
      </c>
      <c r="B18" s="10">
        <f>2.4463 * CHOOSE(CONTROL!$C$32, $C$9, 100%, $E$9)</f>
        <v>2.4462999999999999</v>
      </c>
      <c r="C18" s="10">
        <f>2.4978 * CHOOSE(CONTROL!$C$32, $C$9, 100%, $E$9)</f>
        <v>2.4977999999999998</v>
      </c>
      <c r="D18" s="10">
        <f>2.5432 * CHOOSE(CONTROL!$C$32, $C$9, 100%, $E$9)</f>
        <v>2.5432000000000001</v>
      </c>
      <c r="E18" s="9">
        <f>4.1148 * CHOOSE(CONTROL!$C$32, $C$9, 100%, $E$9)</f>
        <v>4.1147999999999998</v>
      </c>
      <c r="F18" s="9">
        <f>3.5985 * CHOOSE(CONTROL!$C$32, $C$9, 100%, $E$9)</f>
        <v>3.5985</v>
      </c>
      <c r="G18" s="9">
        <f>3.6136 * CHOOSE(CONTROL!$C$32, $C$9, 100%, $E$9)</f>
        <v>3.6135999999999999</v>
      </c>
      <c r="H18" s="9">
        <f>3.8133 * CHOOSE(CONTROL!$C$32, $C$9, 100%, $E$9)</f>
        <v>3.8132999999999999</v>
      </c>
      <c r="I18" s="9">
        <f>3.8284 * CHOOSE(CONTROL!$C$32, $C$9, 100%, $E$9)</f>
        <v>3.8283999999999998</v>
      </c>
      <c r="J18" s="9">
        <f>3.8133 * CHOOSE(CONTROL!$C$32, $C$9, 100%, $E$9)</f>
        <v>3.8132999999999999</v>
      </c>
      <c r="K18" s="9">
        <f>3.8284 * CHOOSE(CONTROL!$C$32, $C$9, 100%, $E$9)</f>
        <v>3.8283999999999998</v>
      </c>
      <c r="L18" s="9">
        <f>4.1148 * CHOOSE(CONTROL!$C$32, $C$9, 100%, $E$9)</f>
        <v>4.1147999999999998</v>
      </c>
      <c r="M18" s="9">
        <f>4.1299 * CHOOSE(CONTROL!$C$32, $C$9, 100%, $E$9)</f>
        <v>4.1299000000000001</v>
      </c>
      <c r="N18" s="9">
        <f>4.1148 * CHOOSE(CONTROL!$C$32, $C$9, 100%, $E$9)</f>
        <v>4.1147999999999998</v>
      </c>
      <c r="O18" s="9">
        <f>4.1299 * CHOOSE(CONTROL!$C$32, $C$9, 100%, $E$9)</f>
        <v>4.1299000000000001</v>
      </c>
      <c r="P18" s="17"/>
      <c r="Q18" s="9"/>
      <c r="R18" s="9"/>
    </row>
    <row r="19" spans="1:18" ht="15" x14ac:dyDescent="0.2">
      <c r="A19" s="16">
        <v>41426</v>
      </c>
      <c r="B19" s="10">
        <f>2.4471 * CHOOSE(CONTROL!$C$32, $C$9, 100%, $E$9)</f>
        <v>2.4470999999999998</v>
      </c>
      <c r="C19" s="10">
        <f>2.5007 * CHOOSE(CONTROL!$C$32, $C$9, 100%, $E$9)</f>
        <v>2.5007000000000001</v>
      </c>
      <c r="D19" s="10">
        <f>2.5461 * CHOOSE(CONTROL!$C$32, $C$9, 100%, $E$9)</f>
        <v>2.5461</v>
      </c>
      <c r="E19" s="9">
        <f>4.1148 * CHOOSE(CONTROL!$C$32, $C$9, 100%, $E$9)</f>
        <v>4.1147999999999998</v>
      </c>
      <c r="F19" s="9">
        <f>3.5985 * CHOOSE(CONTROL!$C$32, $C$9, 100%, $E$9)</f>
        <v>3.5985</v>
      </c>
      <c r="G19" s="9">
        <f>3.6136 * CHOOSE(CONTROL!$C$32, $C$9, 100%, $E$9)</f>
        <v>3.6135999999999999</v>
      </c>
      <c r="H19" s="9">
        <f>3.8253 * CHOOSE(CONTROL!$C$32, $C$9, 100%, $E$9)</f>
        <v>3.8252999999999999</v>
      </c>
      <c r="I19" s="9">
        <f>3.8404 * CHOOSE(CONTROL!$C$32, $C$9, 100%, $E$9)</f>
        <v>3.8403999999999998</v>
      </c>
      <c r="J19" s="9">
        <f>3.8253 * CHOOSE(CONTROL!$C$32, $C$9, 100%, $E$9)</f>
        <v>3.8252999999999999</v>
      </c>
      <c r="K19" s="9">
        <f>3.8404 * CHOOSE(CONTROL!$C$32, $C$9, 100%, $E$9)</f>
        <v>3.8403999999999998</v>
      </c>
      <c r="L19" s="9">
        <f>4.1148 * CHOOSE(CONTROL!$C$32, $C$9, 100%, $E$9)</f>
        <v>4.1147999999999998</v>
      </c>
      <c r="M19" s="9">
        <f>4.1299 * CHOOSE(CONTROL!$C$32, $C$9, 100%, $E$9)</f>
        <v>4.1299000000000001</v>
      </c>
      <c r="N19" s="9">
        <f>4.1148 * CHOOSE(CONTROL!$C$32, $C$9, 100%, $E$9)</f>
        <v>4.1147999999999998</v>
      </c>
      <c r="O19" s="9">
        <f>4.1299 * CHOOSE(CONTROL!$C$32, $C$9, 100%, $E$9)</f>
        <v>4.1299000000000001</v>
      </c>
      <c r="P19" s="17"/>
      <c r="Q19" s="9"/>
      <c r="R19" s="9"/>
    </row>
    <row r="20" spans="1:18" ht="15" x14ac:dyDescent="0.2">
      <c r="A20" s="16">
        <v>41456</v>
      </c>
      <c r="B20" s="10">
        <f>2.449 * CHOOSE(CONTROL!$C$32, $C$9, 100%, $E$9)</f>
        <v>2.4489999999999998</v>
      </c>
      <c r="C20" s="10">
        <f>2.5067 * CHOOSE(CONTROL!$C$32, $C$9, 100%, $E$9)</f>
        <v>2.5066999999999999</v>
      </c>
      <c r="D20" s="10">
        <f>2.5521 * CHOOSE(CONTROL!$C$32, $C$9, 100%, $E$9)</f>
        <v>2.5520999999999998</v>
      </c>
      <c r="E20" s="9">
        <f>4.2046 * CHOOSE(CONTROL!$C$32, $C$9, 100%, $E$9)</f>
        <v>4.2046000000000001</v>
      </c>
      <c r="F20" s="9">
        <f>3.6027 * CHOOSE(CONTROL!$C$32, $C$9, 100%, $E$9)</f>
        <v>3.6027</v>
      </c>
      <c r="G20" s="9">
        <f>3.6178 * CHOOSE(CONTROL!$C$32, $C$9, 100%, $E$9)</f>
        <v>3.6177999999999999</v>
      </c>
      <c r="H20" s="9">
        <f>3.822 * CHOOSE(CONTROL!$C$32, $C$9, 100%, $E$9)</f>
        <v>3.8220000000000001</v>
      </c>
      <c r="I20" s="9">
        <f>3.8371 * CHOOSE(CONTROL!$C$32, $C$9, 100%, $E$9)</f>
        <v>3.8371</v>
      </c>
      <c r="J20" s="9">
        <f>3.822 * CHOOSE(CONTROL!$C$32, $C$9, 100%, $E$9)</f>
        <v>3.8220000000000001</v>
      </c>
      <c r="K20" s="9">
        <f>3.8371 * CHOOSE(CONTROL!$C$32, $C$9, 100%, $E$9)</f>
        <v>3.8371</v>
      </c>
      <c r="L20" s="9">
        <f>4.2046 * CHOOSE(CONTROL!$C$32, $C$9, 100%, $E$9)</f>
        <v>4.2046000000000001</v>
      </c>
      <c r="M20" s="9">
        <f>4.2197 * CHOOSE(CONTROL!$C$32, $C$9, 100%, $E$9)</f>
        <v>4.2196999999999996</v>
      </c>
      <c r="N20" s="9">
        <f>4.2046 * CHOOSE(CONTROL!$C$32, $C$9, 100%, $E$9)</f>
        <v>4.2046000000000001</v>
      </c>
      <c r="O20" s="9">
        <f>4.2197 * CHOOSE(CONTROL!$C$32, $C$9, 100%, $E$9)</f>
        <v>4.2196999999999996</v>
      </c>
      <c r="P20" s="17"/>
      <c r="Q20" s="9"/>
      <c r="R20" s="9"/>
    </row>
    <row r="21" spans="1:18" ht="15" x14ac:dyDescent="0.2">
      <c r="A21" s="16">
        <v>41487</v>
      </c>
      <c r="B21" s="10">
        <f>2.4554 * CHOOSE(CONTROL!$C$32, $C$9, 100%, $E$9)</f>
        <v>2.4554</v>
      </c>
      <c r="C21" s="10">
        <f>2.5174 * CHOOSE(CONTROL!$C$32, $C$9, 100%, $E$9)</f>
        <v>2.5173999999999999</v>
      </c>
      <c r="D21" s="10">
        <f>2.5628 * CHOOSE(CONTROL!$C$32, $C$9, 100%, $E$9)</f>
        <v>2.5628000000000002</v>
      </c>
      <c r="E21" s="9">
        <f>4.1681 * CHOOSE(CONTROL!$C$32, $C$9, 100%, $E$9)</f>
        <v>4.1680999999999999</v>
      </c>
      <c r="F21" s="9">
        <f>3.605 * CHOOSE(CONTROL!$C$32, $C$9, 100%, $E$9)</f>
        <v>3.605</v>
      </c>
      <c r="G21" s="9">
        <f>3.62 * CHOOSE(CONTROL!$C$32, $C$9, 100%, $E$9)</f>
        <v>3.62</v>
      </c>
      <c r="H21" s="9">
        <f>3.8213 * CHOOSE(CONTROL!$C$32, $C$9, 100%, $E$9)</f>
        <v>3.8212999999999999</v>
      </c>
      <c r="I21" s="9">
        <f>3.8364 * CHOOSE(CONTROL!$C$32, $C$9, 100%, $E$9)</f>
        <v>3.8363999999999998</v>
      </c>
      <c r="J21" s="9">
        <f>3.8213 * CHOOSE(CONTROL!$C$32, $C$9, 100%, $E$9)</f>
        <v>3.8212999999999999</v>
      </c>
      <c r="K21" s="9">
        <f>3.8364 * CHOOSE(CONTROL!$C$32, $C$9, 100%, $E$9)</f>
        <v>3.8363999999999998</v>
      </c>
      <c r="L21" s="9">
        <f>4.1681 * CHOOSE(CONTROL!$C$32, $C$9, 100%, $E$9)</f>
        <v>4.1680999999999999</v>
      </c>
      <c r="M21" s="9">
        <f>4.1832 * CHOOSE(CONTROL!$C$32, $C$9, 100%, $E$9)</f>
        <v>4.1832000000000003</v>
      </c>
      <c r="N21" s="9">
        <f>4.1681 * CHOOSE(CONTROL!$C$32, $C$9, 100%, $E$9)</f>
        <v>4.1680999999999999</v>
      </c>
      <c r="O21" s="9">
        <f>4.1832 * CHOOSE(CONTROL!$C$32, $C$9, 100%, $E$9)</f>
        <v>4.1832000000000003</v>
      </c>
      <c r="P21" s="17"/>
      <c r="Q21" s="9"/>
      <c r="R21" s="9"/>
    </row>
    <row r="22" spans="1:18" ht="15" x14ac:dyDescent="0.2">
      <c r="A22" s="16">
        <v>41518</v>
      </c>
      <c r="B22" s="10">
        <f>2.4534 * CHOOSE(CONTROL!$C$32, $C$9, 100%, $E$9)</f>
        <v>2.4533999999999998</v>
      </c>
      <c r="C22" s="10">
        <f>2.5111 * CHOOSE(CONTROL!$C$32, $C$9, 100%, $E$9)</f>
        <v>2.5110999999999999</v>
      </c>
      <c r="D22" s="10">
        <f>2.5565 * CHOOSE(CONTROL!$C$32, $C$9, 100%, $E$9)</f>
        <v>2.5565000000000002</v>
      </c>
      <c r="E22" s="9">
        <f>4.1681 * CHOOSE(CONTROL!$C$32, $C$9, 100%, $E$9)</f>
        <v>4.1680999999999999</v>
      </c>
      <c r="F22" s="9">
        <f>3.6459 * CHOOSE(CONTROL!$C$32, $C$9, 100%, $E$9)</f>
        <v>3.6459000000000001</v>
      </c>
      <c r="G22" s="9">
        <f>3.661 * CHOOSE(CONTROL!$C$32, $C$9, 100%, $E$9)</f>
        <v>3.661</v>
      </c>
      <c r="H22" s="9">
        <f>3.8566 * CHOOSE(CONTROL!$C$32, $C$9, 100%, $E$9)</f>
        <v>3.8565999999999998</v>
      </c>
      <c r="I22" s="9">
        <f>3.8717 * CHOOSE(CONTROL!$C$32, $C$9, 100%, $E$9)</f>
        <v>3.8717000000000001</v>
      </c>
      <c r="J22" s="9">
        <f>3.8566 * CHOOSE(CONTROL!$C$32, $C$9, 100%, $E$9)</f>
        <v>3.8565999999999998</v>
      </c>
      <c r="K22" s="9">
        <f>3.8717 * CHOOSE(CONTROL!$C$32, $C$9, 100%, $E$9)</f>
        <v>3.8717000000000001</v>
      </c>
      <c r="L22" s="9">
        <f>4.1681 * CHOOSE(CONTROL!$C$32, $C$9, 100%, $E$9)</f>
        <v>4.1680999999999999</v>
      </c>
      <c r="M22" s="9">
        <f>4.1832 * CHOOSE(CONTROL!$C$32, $C$9, 100%, $E$9)</f>
        <v>4.1832000000000003</v>
      </c>
      <c r="N22" s="9">
        <f>4.1681 * CHOOSE(CONTROL!$C$32, $C$9, 100%, $E$9)</f>
        <v>4.1680999999999999</v>
      </c>
      <c r="O22" s="9">
        <f>4.1832 * CHOOSE(CONTROL!$C$32, $C$9, 100%, $E$9)</f>
        <v>4.1832000000000003</v>
      </c>
      <c r="P22" s="17"/>
      <c r="Q22" s="9"/>
      <c r="R22" s="9"/>
    </row>
    <row r="23" spans="1:18" ht="15" x14ac:dyDescent="0.2">
      <c r="A23" s="16">
        <v>41548</v>
      </c>
      <c r="B23" s="10">
        <f>2.4506 * CHOOSE(CONTROL!$C$32, $C$9, 100%, $E$9)</f>
        <v>2.4506000000000001</v>
      </c>
      <c r="C23" s="10">
        <f>2.502 * CHOOSE(CONTROL!$C$32, $C$9, 100%, $E$9)</f>
        <v>2.5019999999999998</v>
      </c>
      <c r="D23" s="10">
        <f>2.5366 * CHOOSE(CONTROL!$C$32, $C$9, 100%, $E$9)</f>
        <v>2.5366</v>
      </c>
      <c r="E23" s="9">
        <f>4.2553 * CHOOSE(CONTROL!$C$32, $C$9, 100%, $E$9)</f>
        <v>4.2553000000000001</v>
      </c>
      <c r="F23" s="9">
        <f>3.6481 * CHOOSE(CONTROL!$C$32, $C$9, 100%, $E$9)</f>
        <v>3.6480999999999999</v>
      </c>
      <c r="G23" s="9">
        <f>3.6596 * CHOOSE(CONTROL!$C$32, $C$9, 100%, $E$9)</f>
        <v>3.6596000000000002</v>
      </c>
      <c r="H23" s="9">
        <f>3.8489 * CHOOSE(CONTROL!$C$32, $C$9, 100%, $E$9)</f>
        <v>3.8489</v>
      </c>
      <c r="I23" s="9">
        <f>3.8604 * CHOOSE(CONTROL!$C$32, $C$9, 100%, $E$9)</f>
        <v>3.8603999999999998</v>
      </c>
      <c r="J23" s="9">
        <f>3.8489 * CHOOSE(CONTROL!$C$32, $C$9, 100%, $E$9)</f>
        <v>3.8489</v>
      </c>
      <c r="K23" s="9">
        <f>3.8604 * CHOOSE(CONTROL!$C$32, $C$9, 100%, $E$9)</f>
        <v>3.8603999999999998</v>
      </c>
      <c r="L23" s="9">
        <f>4.2553 * CHOOSE(CONTROL!$C$32, $C$9, 100%, $E$9)</f>
        <v>4.2553000000000001</v>
      </c>
      <c r="M23" s="9">
        <f>4.2669 * CHOOSE(CONTROL!$C$32, $C$9, 100%, $E$9)</f>
        <v>4.2668999999999997</v>
      </c>
      <c r="N23" s="9">
        <f>4.2553 * CHOOSE(CONTROL!$C$32, $C$9, 100%, $E$9)</f>
        <v>4.2553000000000001</v>
      </c>
      <c r="O23" s="9">
        <f>4.2669 * CHOOSE(CONTROL!$C$32, $C$9, 100%, $E$9)</f>
        <v>4.2668999999999997</v>
      </c>
      <c r="P23" s="17"/>
      <c r="Q23" s="9"/>
      <c r="R23" s="9"/>
    </row>
    <row r="24" spans="1:18" ht="15" x14ac:dyDescent="0.2">
      <c r="A24" s="16">
        <v>41579</v>
      </c>
      <c r="B24" s="10">
        <f>2.4533 * CHOOSE(CONTROL!$C$32, $C$9, 100%, $E$9)</f>
        <v>2.4533</v>
      </c>
      <c r="C24" s="10">
        <f>2.5005 * CHOOSE(CONTROL!$C$32, $C$9, 100%, $E$9)</f>
        <v>2.5005000000000002</v>
      </c>
      <c r="D24" s="10">
        <f>2.5351 * CHOOSE(CONTROL!$C$32, $C$9, 100%, $E$9)</f>
        <v>2.5350999999999999</v>
      </c>
      <c r="E24" s="9">
        <f>4.2163 * CHOOSE(CONTROL!$C$32, $C$9, 100%, $E$9)</f>
        <v>4.2163000000000004</v>
      </c>
      <c r="F24" s="9">
        <f>3.6458 * CHOOSE(CONTROL!$C$32, $C$9, 100%, $E$9)</f>
        <v>3.6457999999999999</v>
      </c>
      <c r="G24" s="9">
        <f>3.6573 * CHOOSE(CONTROL!$C$32, $C$9, 100%, $E$9)</f>
        <v>3.6573000000000002</v>
      </c>
      <c r="H24" s="9">
        <f>3.8649 * CHOOSE(CONTROL!$C$32, $C$9, 100%, $E$9)</f>
        <v>3.8649</v>
      </c>
      <c r="I24" s="9">
        <f>3.8764 * CHOOSE(CONTROL!$C$32, $C$9, 100%, $E$9)</f>
        <v>3.8763999999999998</v>
      </c>
      <c r="J24" s="9">
        <f>3.8649 * CHOOSE(CONTROL!$C$32, $C$9, 100%, $E$9)</f>
        <v>3.8649</v>
      </c>
      <c r="K24" s="9">
        <f>3.8764 * CHOOSE(CONTROL!$C$32, $C$9, 100%, $E$9)</f>
        <v>3.8763999999999998</v>
      </c>
      <c r="L24" s="9">
        <f>4.2163 * CHOOSE(CONTROL!$C$32, $C$9, 100%, $E$9)</f>
        <v>4.2163000000000004</v>
      </c>
      <c r="M24" s="9">
        <f>4.2278 * CHOOSE(CONTROL!$C$32, $C$9, 100%, $E$9)</f>
        <v>4.2278000000000002</v>
      </c>
      <c r="N24" s="9">
        <f>4.2163 * CHOOSE(CONTROL!$C$32, $C$9, 100%, $E$9)</f>
        <v>4.2163000000000004</v>
      </c>
      <c r="O24" s="9">
        <f>4.2278 * CHOOSE(CONTROL!$C$32, $C$9, 100%, $E$9)</f>
        <v>4.2278000000000002</v>
      </c>
      <c r="P24" s="17"/>
      <c r="Q24" s="9"/>
      <c r="R24" s="9"/>
    </row>
    <row r="25" spans="1:18" ht="15" x14ac:dyDescent="0.2">
      <c r="A25" s="16">
        <v>41609</v>
      </c>
      <c r="B25" s="10">
        <f>2.4559 * CHOOSE(CONTROL!$C$32, $C$9, 100%, $E$9)</f>
        <v>2.4559000000000002</v>
      </c>
      <c r="C25" s="10">
        <f>2.5094 * CHOOSE(CONTROL!$C$32, $C$9, 100%, $E$9)</f>
        <v>2.5093999999999999</v>
      </c>
      <c r="D25" s="10">
        <f>2.544 * CHOOSE(CONTROL!$C$32, $C$9, 100%, $E$9)</f>
        <v>2.544</v>
      </c>
      <c r="E25" s="9">
        <f>4.1195 * CHOOSE(CONTROL!$C$32, $C$9, 100%, $E$9)</f>
        <v>4.1195000000000004</v>
      </c>
      <c r="F25" s="9">
        <f>3.6458 * CHOOSE(CONTROL!$C$32, $C$9, 100%, $E$9)</f>
        <v>3.6457999999999999</v>
      </c>
      <c r="G25" s="9">
        <f>3.6573 * CHOOSE(CONTROL!$C$32, $C$9, 100%, $E$9)</f>
        <v>3.6573000000000002</v>
      </c>
      <c r="H25" s="9">
        <f>3.8829 * CHOOSE(CONTROL!$C$32, $C$9, 100%, $E$9)</f>
        <v>3.8828999999999998</v>
      </c>
      <c r="I25" s="9">
        <f>3.8944 * CHOOSE(CONTROL!$C$32, $C$9, 100%, $E$9)</f>
        <v>3.8944000000000001</v>
      </c>
      <c r="J25" s="9">
        <f>3.8829 * CHOOSE(CONTROL!$C$32, $C$9, 100%, $E$9)</f>
        <v>3.8828999999999998</v>
      </c>
      <c r="K25" s="9">
        <f>3.8944 * CHOOSE(CONTROL!$C$32, $C$9, 100%, $E$9)</f>
        <v>3.8944000000000001</v>
      </c>
      <c r="L25" s="9">
        <f>4.1195 * CHOOSE(CONTROL!$C$32, $C$9, 100%, $E$9)</f>
        <v>4.1195000000000004</v>
      </c>
      <c r="M25" s="9">
        <f>4.131 * CHOOSE(CONTROL!$C$32, $C$9, 100%, $E$9)</f>
        <v>4.1310000000000002</v>
      </c>
      <c r="N25" s="9">
        <f>4.1195 * CHOOSE(CONTROL!$C$32, $C$9, 100%, $E$9)</f>
        <v>4.1195000000000004</v>
      </c>
      <c r="O25" s="9">
        <f>4.131 * CHOOSE(CONTROL!$C$32, $C$9, 100%, $E$9)</f>
        <v>4.1310000000000002</v>
      </c>
      <c r="P25" s="17"/>
      <c r="Q25" s="9"/>
      <c r="R25" s="9"/>
    </row>
    <row r="26" spans="1:18" ht="15" x14ac:dyDescent="0.2">
      <c r="A26" s="16">
        <v>41640</v>
      </c>
      <c r="B26" s="10">
        <f>2.4985 * CHOOSE(CONTROL!$C$32, $C$9, 100%, $E$9)</f>
        <v>2.4984999999999999</v>
      </c>
      <c r="C26" s="10">
        <f>2.5259 * CHOOSE(CONTROL!$C$32, $C$9, 100%, $E$9)</f>
        <v>2.5259</v>
      </c>
      <c r="D26" s="10">
        <f>2.5605 * CHOOSE(CONTROL!$C$32, $C$9, 100%, $E$9)</f>
        <v>2.5605000000000002</v>
      </c>
      <c r="E26" s="9">
        <f>3.5428 * CHOOSE(CONTROL!$C$32, $C$9, 100%, $E$9)</f>
        <v>3.5428000000000002</v>
      </c>
      <c r="F26" s="9">
        <f>3.525 * CHOOSE(CONTROL!$C$32, $C$9, 100%, $E$9)</f>
        <v>3.5249999999999999</v>
      </c>
      <c r="G26" s="9">
        <f>3.5366 * CHOOSE(CONTROL!$C$32, $C$9, 100%, $E$9)</f>
        <v>3.5366</v>
      </c>
      <c r="H26" s="9">
        <f>3.9139 * CHOOSE(CONTROL!$C$32, $C$9, 100%, $E$9)</f>
        <v>3.9138999999999999</v>
      </c>
      <c r="I26" s="9">
        <f>3.9255 * CHOOSE(CONTROL!$C$32, $C$9, 100%, $E$9)</f>
        <v>3.9255</v>
      </c>
      <c r="J26" s="9">
        <f>3.9139 * CHOOSE(CONTROL!$C$32, $C$9, 100%, $E$9)</f>
        <v>3.9138999999999999</v>
      </c>
      <c r="K26" s="9">
        <f>3.9255 * CHOOSE(CONTROL!$C$32, $C$9, 100%, $E$9)</f>
        <v>3.9255</v>
      </c>
      <c r="L26" s="9">
        <f>3.5428 * CHOOSE(CONTROL!$C$32, $C$9, 100%, $E$9)</f>
        <v>3.5428000000000002</v>
      </c>
      <c r="M26" s="9">
        <f>3.5544 * CHOOSE(CONTROL!$C$32, $C$9, 100%, $E$9)</f>
        <v>3.5543999999999998</v>
      </c>
      <c r="N26" s="9">
        <f>3.5428 * CHOOSE(CONTROL!$C$32, $C$9, 100%, $E$9)</f>
        <v>3.5428000000000002</v>
      </c>
      <c r="O26" s="9">
        <f>3.5544 * CHOOSE(CONTROL!$C$32, $C$9, 100%, $E$9)</f>
        <v>3.5543999999999998</v>
      </c>
      <c r="P26" s="17"/>
      <c r="Q26" s="9"/>
      <c r="R26" s="9"/>
    </row>
    <row r="27" spans="1:18" ht="15" x14ac:dyDescent="0.2">
      <c r="A27" s="16">
        <v>41671</v>
      </c>
      <c r="B27" s="10">
        <f>2.5018 * CHOOSE(CONTROL!$C$32, $C$9, 100%, $E$9)</f>
        <v>2.5017999999999998</v>
      </c>
      <c r="C27" s="10">
        <f>2.5277 * CHOOSE(CONTROL!$C$32, $C$9, 100%, $E$9)</f>
        <v>2.5276999999999998</v>
      </c>
      <c r="D27" s="10">
        <f>2.5622 * CHOOSE(CONTROL!$C$32, $C$9, 100%, $E$9)</f>
        <v>2.5621999999999998</v>
      </c>
      <c r="E27" s="9">
        <f>3.5391 * CHOOSE(CONTROL!$C$32, $C$9, 100%, $E$9)</f>
        <v>3.5390999999999999</v>
      </c>
      <c r="F27" s="9">
        <f>3.517 * CHOOSE(CONTROL!$C$32, $C$9, 100%, $E$9)</f>
        <v>3.5169999999999999</v>
      </c>
      <c r="G27" s="9">
        <f>3.5286 * CHOOSE(CONTROL!$C$32, $C$9, 100%, $E$9)</f>
        <v>3.5286</v>
      </c>
      <c r="H27" s="9">
        <f>3.9059 * CHOOSE(CONTROL!$C$32, $C$9, 100%, $E$9)</f>
        <v>3.9058999999999999</v>
      </c>
      <c r="I27" s="9">
        <f>3.9175 * CHOOSE(CONTROL!$C$32, $C$9, 100%, $E$9)</f>
        <v>3.9175</v>
      </c>
      <c r="J27" s="9">
        <f>3.9059 * CHOOSE(CONTROL!$C$32, $C$9, 100%, $E$9)</f>
        <v>3.9058999999999999</v>
      </c>
      <c r="K27" s="9">
        <f>3.9175 * CHOOSE(CONTROL!$C$32, $C$9, 100%, $E$9)</f>
        <v>3.9175</v>
      </c>
      <c r="L27" s="9">
        <f>3.5391 * CHOOSE(CONTROL!$C$32, $C$9, 100%, $E$9)</f>
        <v>3.5390999999999999</v>
      </c>
      <c r="M27" s="9">
        <f>3.5506 * CHOOSE(CONTROL!$C$32, $C$9, 100%, $E$9)</f>
        <v>3.5506000000000002</v>
      </c>
      <c r="N27" s="9">
        <f>3.5391 * CHOOSE(CONTROL!$C$32, $C$9, 100%, $E$9)</f>
        <v>3.5390999999999999</v>
      </c>
      <c r="O27" s="9">
        <f>3.5506 * CHOOSE(CONTROL!$C$32, $C$9, 100%, $E$9)</f>
        <v>3.5506000000000002</v>
      </c>
      <c r="P27" s="17"/>
      <c r="Q27" s="9"/>
      <c r="R27" s="9"/>
    </row>
    <row r="28" spans="1:18" ht="15" x14ac:dyDescent="0.2">
      <c r="A28" s="16">
        <v>41699</v>
      </c>
      <c r="B28" s="10">
        <f>2.5001 * CHOOSE(CONTROL!$C$32, $C$9, 100%, $E$9)</f>
        <v>2.5001000000000002</v>
      </c>
      <c r="C28" s="10">
        <f>2.5244 * CHOOSE(CONTROL!$C$32, $C$9, 100%, $E$9)</f>
        <v>2.5244</v>
      </c>
      <c r="D28" s="10">
        <f>2.559 * CHOOSE(CONTROL!$C$32, $C$9, 100%, $E$9)</f>
        <v>2.5590000000000002</v>
      </c>
      <c r="E28" s="9">
        <f>3.5362 * CHOOSE(CONTROL!$C$32, $C$9, 100%, $E$9)</f>
        <v>3.5362</v>
      </c>
      <c r="F28" s="9">
        <f>3.511 * CHOOSE(CONTROL!$C$32, $C$9, 100%, $E$9)</f>
        <v>3.5110000000000001</v>
      </c>
      <c r="G28" s="9">
        <f>3.5226 * CHOOSE(CONTROL!$C$32, $C$9, 100%, $E$9)</f>
        <v>3.5226000000000002</v>
      </c>
      <c r="H28" s="9">
        <f>3.8999 * CHOOSE(CONTROL!$C$32, $C$9, 100%, $E$9)</f>
        <v>3.8999000000000001</v>
      </c>
      <c r="I28" s="9">
        <f>3.9115 * CHOOSE(CONTROL!$C$32, $C$9, 100%, $E$9)</f>
        <v>3.9115000000000002</v>
      </c>
      <c r="J28" s="9">
        <f>3.8999 * CHOOSE(CONTROL!$C$32, $C$9, 100%, $E$9)</f>
        <v>3.8999000000000001</v>
      </c>
      <c r="K28" s="9">
        <f>3.9115 * CHOOSE(CONTROL!$C$32, $C$9, 100%, $E$9)</f>
        <v>3.9115000000000002</v>
      </c>
      <c r="L28" s="9">
        <f>3.5362 * CHOOSE(CONTROL!$C$32, $C$9, 100%, $E$9)</f>
        <v>3.5362</v>
      </c>
      <c r="M28" s="9">
        <f>3.5477 * CHOOSE(CONTROL!$C$32, $C$9, 100%, $E$9)</f>
        <v>3.5476999999999999</v>
      </c>
      <c r="N28" s="9">
        <f>3.5362 * CHOOSE(CONTROL!$C$32, $C$9, 100%, $E$9)</f>
        <v>3.5362</v>
      </c>
      <c r="O28" s="9">
        <f>3.5477 * CHOOSE(CONTROL!$C$32, $C$9, 100%, $E$9)</f>
        <v>3.5476999999999999</v>
      </c>
      <c r="P28" s="17"/>
      <c r="Q28" s="9"/>
      <c r="R28" s="9"/>
    </row>
    <row r="29" spans="1:18" ht="15" x14ac:dyDescent="0.2">
      <c r="A29" s="16">
        <v>41730</v>
      </c>
      <c r="B29" s="10">
        <f>2.4986 * CHOOSE(CONTROL!$C$32, $C$9, 100%, $E$9)</f>
        <v>2.4986000000000002</v>
      </c>
      <c r="C29" s="10">
        <f>2.5214 * CHOOSE(CONTROL!$C$32, $C$9, 100%, $E$9)</f>
        <v>2.5213999999999999</v>
      </c>
      <c r="D29" s="10">
        <f>2.556 * CHOOSE(CONTROL!$C$32, $C$9, 100%, $E$9)</f>
        <v>2.556</v>
      </c>
      <c r="E29" s="9">
        <f>3.5358 * CHOOSE(CONTROL!$C$32, $C$9, 100%, $E$9)</f>
        <v>3.5358000000000001</v>
      </c>
      <c r="F29" s="9">
        <f>3.5101 * CHOOSE(CONTROL!$C$32, $C$9, 100%, $E$9)</f>
        <v>3.5101</v>
      </c>
      <c r="G29" s="9">
        <f>3.5216 * CHOOSE(CONTROL!$C$32, $C$9, 100%, $E$9)</f>
        <v>3.5215999999999998</v>
      </c>
      <c r="H29" s="9">
        <f>3.9001 * CHOOSE(CONTROL!$C$32, $C$9, 100%, $E$9)</f>
        <v>3.9001000000000001</v>
      </c>
      <c r="I29" s="9">
        <f>3.9116 * CHOOSE(CONTROL!$C$32, $C$9, 100%, $E$9)</f>
        <v>3.9116</v>
      </c>
      <c r="J29" s="9">
        <f>3.9001 * CHOOSE(CONTROL!$C$32, $C$9, 100%, $E$9)</f>
        <v>3.9001000000000001</v>
      </c>
      <c r="K29" s="9">
        <f>3.9116 * CHOOSE(CONTROL!$C$32, $C$9, 100%, $E$9)</f>
        <v>3.9116</v>
      </c>
      <c r="L29" s="9">
        <f>3.5358 * CHOOSE(CONTROL!$C$32, $C$9, 100%, $E$9)</f>
        <v>3.5358000000000001</v>
      </c>
      <c r="M29" s="9">
        <f>3.5473 * CHOOSE(CONTROL!$C$32, $C$9, 100%, $E$9)</f>
        <v>3.5472999999999999</v>
      </c>
      <c r="N29" s="9">
        <f>3.5358 * CHOOSE(CONTROL!$C$32, $C$9, 100%, $E$9)</f>
        <v>3.5358000000000001</v>
      </c>
      <c r="O29" s="9">
        <f>3.5473 * CHOOSE(CONTROL!$C$32, $C$9, 100%, $E$9)</f>
        <v>3.5472999999999999</v>
      </c>
      <c r="P29" s="17"/>
      <c r="Q29" s="9"/>
      <c r="R29" s="9"/>
    </row>
    <row r="30" spans="1:18" ht="15" x14ac:dyDescent="0.2">
      <c r="A30" s="16">
        <v>41760</v>
      </c>
      <c r="B30" s="10">
        <f>2.5017 * CHOOSE(CONTROL!$C$32, $C$9, 100%, $E$9)</f>
        <v>2.5017</v>
      </c>
      <c r="C30" s="10">
        <f>2.5229 * CHOOSE(CONTROL!$C$32, $C$9, 100%, $E$9)</f>
        <v>2.5228999999999999</v>
      </c>
      <c r="D30" s="10">
        <f>2.5683 * CHOOSE(CONTROL!$C$32, $C$9, 100%, $E$9)</f>
        <v>2.5682999999999998</v>
      </c>
      <c r="E30" s="9">
        <f>3.5348 * CHOOSE(CONTROL!$C$32, $C$9, 100%, $E$9)</f>
        <v>3.5348000000000002</v>
      </c>
      <c r="F30" s="9">
        <f>3.5081 * CHOOSE(CONTROL!$C$32, $C$9, 100%, $E$9)</f>
        <v>3.5081000000000002</v>
      </c>
      <c r="G30" s="9">
        <f>3.5231 * CHOOSE(CONTROL!$C$32, $C$9, 100%, $E$9)</f>
        <v>3.5230999999999999</v>
      </c>
      <c r="H30" s="9">
        <f>3.8981 * CHOOSE(CONTROL!$C$32, $C$9, 100%, $E$9)</f>
        <v>3.8980999999999999</v>
      </c>
      <c r="I30" s="9">
        <f>3.9132 * CHOOSE(CONTROL!$C$32, $C$9, 100%, $E$9)</f>
        <v>3.9131999999999998</v>
      </c>
      <c r="J30" s="9">
        <f>3.8981 * CHOOSE(CONTROL!$C$32, $C$9, 100%, $E$9)</f>
        <v>3.8980999999999999</v>
      </c>
      <c r="K30" s="9">
        <f>3.9132 * CHOOSE(CONTROL!$C$32, $C$9, 100%, $E$9)</f>
        <v>3.9131999999999998</v>
      </c>
      <c r="L30" s="9">
        <f>3.5348 * CHOOSE(CONTROL!$C$32, $C$9, 100%, $E$9)</f>
        <v>3.5348000000000002</v>
      </c>
      <c r="M30" s="9">
        <f>3.5499 * CHOOSE(CONTROL!$C$32, $C$9, 100%, $E$9)</f>
        <v>3.5499000000000001</v>
      </c>
      <c r="N30" s="9">
        <f>3.5348 * CHOOSE(CONTROL!$C$32, $C$9, 100%, $E$9)</f>
        <v>3.5348000000000002</v>
      </c>
      <c r="O30" s="9">
        <f>3.5499 * CHOOSE(CONTROL!$C$32, $C$9, 100%, $E$9)</f>
        <v>3.5499000000000001</v>
      </c>
      <c r="P30" s="17"/>
      <c r="Q30" s="9"/>
      <c r="R30" s="9"/>
    </row>
    <row r="31" spans="1:18" ht="15" x14ac:dyDescent="0.2">
      <c r="A31" s="16">
        <v>41791</v>
      </c>
      <c r="B31" s="10">
        <f>2.5045 * CHOOSE(CONTROL!$C$32, $C$9, 100%, $E$9)</f>
        <v>2.5045000000000002</v>
      </c>
      <c r="C31" s="10">
        <f>2.5288 * CHOOSE(CONTROL!$C$32, $C$9, 100%, $E$9)</f>
        <v>2.5287999999999999</v>
      </c>
      <c r="D31" s="10">
        <f>2.5742 * CHOOSE(CONTROL!$C$32, $C$9, 100%, $E$9)</f>
        <v>2.5741999999999998</v>
      </c>
      <c r="E31" s="9">
        <f>3.5367 * CHOOSE(CONTROL!$C$32, $C$9, 100%, $E$9)</f>
        <v>3.5367000000000002</v>
      </c>
      <c r="F31" s="9">
        <f>3.5121 * CHOOSE(CONTROL!$C$32, $C$9, 100%, $E$9)</f>
        <v>3.5121000000000002</v>
      </c>
      <c r="G31" s="9">
        <f>3.5271 * CHOOSE(CONTROL!$C$32, $C$9, 100%, $E$9)</f>
        <v>3.5270999999999999</v>
      </c>
      <c r="H31" s="9">
        <f>3.9021 * CHOOSE(CONTROL!$C$32, $C$9, 100%, $E$9)</f>
        <v>3.9020999999999999</v>
      </c>
      <c r="I31" s="9">
        <f>3.9172 * CHOOSE(CONTROL!$C$32, $C$9, 100%, $E$9)</f>
        <v>3.9171999999999998</v>
      </c>
      <c r="J31" s="9">
        <f>3.9021 * CHOOSE(CONTROL!$C$32, $C$9, 100%, $E$9)</f>
        <v>3.9020999999999999</v>
      </c>
      <c r="K31" s="9">
        <f>3.9172 * CHOOSE(CONTROL!$C$32, $C$9, 100%, $E$9)</f>
        <v>3.9171999999999998</v>
      </c>
      <c r="L31" s="9">
        <f>3.5367 * CHOOSE(CONTROL!$C$32, $C$9, 100%, $E$9)</f>
        <v>3.5367000000000002</v>
      </c>
      <c r="M31" s="9">
        <f>3.5518 * CHOOSE(CONTROL!$C$32, $C$9, 100%, $E$9)</f>
        <v>3.5518000000000001</v>
      </c>
      <c r="N31" s="9">
        <f>3.5367 * CHOOSE(CONTROL!$C$32, $C$9, 100%, $E$9)</f>
        <v>3.5367000000000002</v>
      </c>
      <c r="O31" s="9">
        <f>3.5518 * CHOOSE(CONTROL!$C$32, $C$9, 100%, $E$9)</f>
        <v>3.5518000000000001</v>
      </c>
      <c r="P31" s="17"/>
      <c r="Q31" s="9"/>
      <c r="R31" s="9"/>
    </row>
    <row r="32" spans="1:18" ht="15" x14ac:dyDescent="0.2">
      <c r="A32" s="16">
        <v>41821</v>
      </c>
      <c r="B32" s="10">
        <f>2.506 * CHOOSE(CONTROL!$C$32, $C$9, 100%, $E$9)</f>
        <v>2.5059999999999998</v>
      </c>
      <c r="C32" s="10">
        <f>2.5318 * CHOOSE(CONTROL!$C$32, $C$9, 100%, $E$9)</f>
        <v>2.5318000000000001</v>
      </c>
      <c r="D32" s="10">
        <f>2.5772 * CHOOSE(CONTROL!$C$32, $C$9, 100%, $E$9)</f>
        <v>2.5771999999999999</v>
      </c>
      <c r="E32" s="9">
        <f>3.5464 * CHOOSE(CONTROL!$C$32, $C$9, 100%, $E$9)</f>
        <v>3.5464000000000002</v>
      </c>
      <c r="F32" s="9">
        <f>3.5326 * CHOOSE(CONTROL!$C$32, $C$9, 100%, $E$9)</f>
        <v>3.5326</v>
      </c>
      <c r="G32" s="9">
        <f>3.5477 * CHOOSE(CONTROL!$C$32, $C$9, 100%, $E$9)</f>
        <v>3.5476999999999999</v>
      </c>
      <c r="H32" s="9">
        <f>3.9243 * CHOOSE(CONTROL!$C$32, $C$9, 100%, $E$9)</f>
        <v>3.9243000000000001</v>
      </c>
      <c r="I32" s="9">
        <f>3.9394 * CHOOSE(CONTROL!$C$32, $C$9, 100%, $E$9)</f>
        <v>3.9394</v>
      </c>
      <c r="J32" s="9">
        <f>3.9243 * CHOOSE(CONTROL!$C$32, $C$9, 100%, $E$9)</f>
        <v>3.9243000000000001</v>
      </c>
      <c r="K32" s="9">
        <f>3.9394 * CHOOSE(CONTROL!$C$32, $C$9, 100%, $E$9)</f>
        <v>3.9394</v>
      </c>
      <c r="L32" s="9">
        <f>3.5464 * CHOOSE(CONTROL!$C$32, $C$9, 100%, $E$9)</f>
        <v>3.5464000000000002</v>
      </c>
      <c r="M32" s="9">
        <f>3.5615 * CHOOSE(CONTROL!$C$32, $C$9, 100%, $E$9)</f>
        <v>3.5615000000000001</v>
      </c>
      <c r="N32" s="9">
        <f>3.5464 * CHOOSE(CONTROL!$C$32, $C$9, 100%, $E$9)</f>
        <v>3.5464000000000002</v>
      </c>
      <c r="O32" s="9">
        <f>3.5615 * CHOOSE(CONTROL!$C$32, $C$9, 100%, $E$9)</f>
        <v>3.5615000000000001</v>
      </c>
      <c r="P32" s="17"/>
      <c r="Q32" s="9"/>
      <c r="R32" s="9"/>
    </row>
    <row r="33" spans="1:18" ht="15" x14ac:dyDescent="0.2">
      <c r="A33" s="16">
        <v>41852</v>
      </c>
      <c r="B33" s="10">
        <f>2.5091 * CHOOSE(CONTROL!$C$32, $C$9, 100%, $E$9)</f>
        <v>2.5091000000000001</v>
      </c>
      <c r="C33" s="10">
        <f>2.5334 * CHOOSE(CONTROL!$C$32, $C$9, 100%, $E$9)</f>
        <v>2.5333999999999999</v>
      </c>
      <c r="D33" s="10">
        <f>2.5788 * CHOOSE(CONTROL!$C$32, $C$9, 100%, $E$9)</f>
        <v>2.5788000000000002</v>
      </c>
      <c r="E33" s="9">
        <f>3.5511 * CHOOSE(CONTROL!$C$32, $C$9, 100%, $E$9)</f>
        <v>3.5510999999999999</v>
      </c>
      <c r="F33" s="9">
        <f>3.5426 * CHOOSE(CONTROL!$C$32, $C$9, 100%, $E$9)</f>
        <v>3.5426000000000002</v>
      </c>
      <c r="G33" s="9">
        <f>3.5577 * CHOOSE(CONTROL!$C$32, $C$9, 100%, $E$9)</f>
        <v>3.5577000000000001</v>
      </c>
      <c r="H33" s="9">
        <f>3.9343 * CHOOSE(CONTROL!$C$32, $C$9, 100%, $E$9)</f>
        <v>3.9342999999999999</v>
      </c>
      <c r="I33" s="9">
        <f>3.9494 * CHOOSE(CONTROL!$C$32, $C$9, 100%, $E$9)</f>
        <v>3.9493999999999998</v>
      </c>
      <c r="J33" s="9">
        <f>3.9343 * CHOOSE(CONTROL!$C$32, $C$9, 100%, $E$9)</f>
        <v>3.9342999999999999</v>
      </c>
      <c r="K33" s="9">
        <f>3.9494 * CHOOSE(CONTROL!$C$32, $C$9, 100%, $E$9)</f>
        <v>3.9493999999999998</v>
      </c>
      <c r="L33" s="9">
        <f>3.5511 * CHOOSE(CONTROL!$C$32, $C$9, 100%, $E$9)</f>
        <v>3.5510999999999999</v>
      </c>
      <c r="M33" s="9">
        <f>3.5662 * CHOOSE(CONTROL!$C$32, $C$9, 100%, $E$9)</f>
        <v>3.5661999999999998</v>
      </c>
      <c r="N33" s="9">
        <f>3.5511 * CHOOSE(CONTROL!$C$32, $C$9, 100%, $E$9)</f>
        <v>3.5510999999999999</v>
      </c>
      <c r="O33" s="9">
        <f>3.5662 * CHOOSE(CONTROL!$C$32, $C$9, 100%, $E$9)</f>
        <v>3.5661999999999998</v>
      </c>
      <c r="P33" s="17"/>
      <c r="Q33" s="9"/>
      <c r="R33" s="9"/>
    </row>
    <row r="34" spans="1:18" ht="15" x14ac:dyDescent="0.2">
      <c r="A34" s="16">
        <v>41883</v>
      </c>
      <c r="B34" s="10">
        <f>2.5029 * CHOOSE(CONTROL!$C$32, $C$9, 100%, $E$9)</f>
        <v>2.5028999999999999</v>
      </c>
      <c r="C34" s="10">
        <f>2.521 * CHOOSE(CONTROL!$C$32, $C$9, 100%, $E$9)</f>
        <v>2.5209999999999999</v>
      </c>
      <c r="D34" s="10">
        <f>2.5664 * CHOOSE(CONTROL!$C$32, $C$9, 100%, $E$9)</f>
        <v>2.5663999999999998</v>
      </c>
      <c r="E34" s="9">
        <f>3.5445 * CHOOSE(CONTROL!$C$32, $C$9, 100%, $E$9)</f>
        <v>3.5445000000000002</v>
      </c>
      <c r="F34" s="9">
        <f>3.5286 * CHOOSE(CONTROL!$C$32, $C$9, 100%, $E$9)</f>
        <v>3.5286</v>
      </c>
      <c r="G34" s="9">
        <f>3.5437 * CHOOSE(CONTROL!$C$32, $C$9, 100%, $E$9)</f>
        <v>3.5436999999999999</v>
      </c>
      <c r="H34" s="9">
        <f>3.9203 * CHOOSE(CONTROL!$C$32, $C$9, 100%, $E$9)</f>
        <v>3.9203000000000001</v>
      </c>
      <c r="I34" s="9">
        <f>3.9354 * CHOOSE(CONTROL!$C$32, $C$9, 100%, $E$9)</f>
        <v>3.9354</v>
      </c>
      <c r="J34" s="9">
        <f>3.9203 * CHOOSE(CONTROL!$C$32, $C$9, 100%, $E$9)</f>
        <v>3.9203000000000001</v>
      </c>
      <c r="K34" s="9">
        <f>3.9354 * CHOOSE(CONTROL!$C$32, $C$9, 100%, $E$9)</f>
        <v>3.9354</v>
      </c>
      <c r="L34" s="9">
        <f>3.5445 * CHOOSE(CONTROL!$C$32, $C$9, 100%, $E$9)</f>
        <v>3.5445000000000002</v>
      </c>
      <c r="M34" s="9">
        <f>3.5596 * CHOOSE(CONTROL!$C$32, $C$9, 100%, $E$9)</f>
        <v>3.5596000000000001</v>
      </c>
      <c r="N34" s="9">
        <f>3.5445 * CHOOSE(CONTROL!$C$32, $C$9, 100%, $E$9)</f>
        <v>3.5445000000000002</v>
      </c>
      <c r="O34" s="9">
        <f>3.5596 * CHOOSE(CONTROL!$C$32, $C$9, 100%, $E$9)</f>
        <v>3.5596000000000001</v>
      </c>
      <c r="P34" s="17"/>
      <c r="Q34" s="9"/>
      <c r="R34" s="9"/>
    </row>
    <row r="35" spans="1:18" ht="15" x14ac:dyDescent="0.2">
      <c r="A35" s="16">
        <v>41913</v>
      </c>
      <c r="B35" s="10">
        <f>2.497 * CHOOSE(CONTROL!$C$32, $C$9, 100%, $E$9)</f>
        <v>2.4969999999999999</v>
      </c>
      <c r="C35" s="10">
        <f>2.5088 * CHOOSE(CONTROL!$C$32, $C$9, 100%, $E$9)</f>
        <v>2.5087999999999999</v>
      </c>
      <c r="D35" s="10">
        <f>2.5434 * CHOOSE(CONTROL!$C$32, $C$9, 100%, $E$9)</f>
        <v>2.5434000000000001</v>
      </c>
      <c r="E35" s="9">
        <f>3.5338 * CHOOSE(CONTROL!$C$32, $C$9, 100%, $E$9)</f>
        <v>3.5337999999999998</v>
      </c>
      <c r="F35" s="9">
        <f>3.5059 * CHOOSE(CONTROL!$C$32, $C$9, 100%, $E$9)</f>
        <v>3.5059</v>
      </c>
      <c r="G35" s="9">
        <f>3.5174 * CHOOSE(CONTROL!$C$32, $C$9, 100%, $E$9)</f>
        <v>3.5173999999999999</v>
      </c>
      <c r="H35" s="9">
        <f>3.9004 * CHOOSE(CONTROL!$C$32, $C$9, 100%, $E$9)</f>
        <v>3.9003999999999999</v>
      </c>
      <c r="I35" s="9">
        <f>3.9119 * CHOOSE(CONTROL!$C$32, $C$9, 100%, $E$9)</f>
        <v>3.9119000000000002</v>
      </c>
      <c r="J35" s="9">
        <f>3.9004 * CHOOSE(CONTROL!$C$32, $C$9, 100%, $E$9)</f>
        <v>3.9003999999999999</v>
      </c>
      <c r="K35" s="9">
        <f>3.9119 * CHOOSE(CONTROL!$C$32, $C$9, 100%, $E$9)</f>
        <v>3.9119000000000002</v>
      </c>
      <c r="L35" s="9">
        <f>3.5338 * CHOOSE(CONTROL!$C$32, $C$9, 100%, $E$9)</f>
        <v>3.5337999999999998</v>
      </c>
      <c r="M35" s="9">
        <f>3.5453 * CHOOSE(CONTROL!$C$32, $C$9, 100%, $E$9)</f>
        <v>3.5453000000000001</v>
      </c>
      <c r="N35" s="9">
        <f>3.5338 * CHOOSE(CONTROL!$C$32, $C$9, 100%, $E$9)</f>
        <v>3.5337999999999998</v>
      </c>
      <c r="O35" s="9">
        <f>3.5453 * CHOOSE(CONTROL!$C$32, $C$9, 100%, $E$9)</f>
        <v>3.5453000000000001</v>
      </c>
      <c r="P35" s="17"/>
      <c r="Q35" s="9"/>
      <c r="R35" s="9"/>
    </row>
    <row r="36" spans="1:18" ht="15" x14ac:dyDescent="0.2">
      <c r="A36" s="16">
        <v>41944</v>
      </c>
      <c r="B36" s="10">
        <f>2.5002 * CHOOSE(CONTROL!$C$32, $C$9, 100%, $E$9)</f>
        <v>2.5002</v>
      </c>
      <c r="C36" s="10">
        <f>2.5105 * CHOOSE(CONTROL!$C$32, $C$9, 100%, $E$9)</f>
        <v>2.5105</v>
      </c>
      <c r="D36" s="10">
        <f>2.5451 * CHOOSE(CONTROL!$C$32, $C$9, 100%, $E$9)</f>
        <v>2.5451000000000001</v>
      </c>
      <c r="E36" s="9">
        <f>3.5206 * CHOOSE(CONTROL!$C$32, $C$9, 100%, $E$9)</f>
        <v>3.5206</v>
      </c>
      <c r="F36" s="9">
        <f>3.4779 * CHOOSE(CONTROL!$C$32, $C$9, 100%, $E$9)</f>
        <v>3.4779</v>
      </c>
      <c r="G36" s="9">
        <f>3.4894 * CHOOSE(CONTROL!$C$32, $C$9, 100%, $E$9)</f>
        <v>3.4893999999999998</v>
      </c>
      <c r="H36" s="9">
        <f>3.8724 * CHOOSE(CONTROL!$C$32, $C$9, 100%, $E$9)</f>
        <v>3.8723999999999998</v>
      </c>
      <c r="I36" s="9">
        <f>3.8839 * CHOOSE(CONTROL!$C$32, $C$9, 100%, $E$9)</f>
        <v>3.8839000000000001</v>
      </c>
      <c r="J36" s="9">
        <f>3.8724 * CHOOSE(CONTROL!$C$32, $C$9, 100%, $E$9)</f>
        <v>3.8723999999999998</v>
      </c>
      <c r="K36" s="9">
        <f>3.8839 * CHOOSE(CONTROL!$C$32, $C$9, 100%, $E$9)</f>
        <v>3.8839000000000001</v>
      </c>
      <c r="L36" s="9">
        <f>3.5206 * CHOOSE(CONTROL!$C$32, $C$9, 100%, $E$9)</f>
        <v>3.5206</v>
      </c>
      <c r="M36" s="9">
        <f>3.5321 * CHOOSE(CONTROL!$C$32, $C$9, 100%, $E$9)</f>
        <v>3.5320999999999998</v>
      </c>
      <c r="N36" s="9">
        <f>3.5206 * CHOOSE(CONTROL!$C$32, $C$9, 100%, $E$9)</f>
        <v>3.5206</v>
      </c>
      <c r="O36" s="9">
        <f>3.5321 * CHOOSE(CONTROL!$C$32, $C$9, 100%, $E$9)</f>
        <v>3.5320999999999998</v>
      </c>
      <c r="P36" s="17"/>
      <c r="Q36" s="9"/>
      <c r="R36" s="9"/>
    </row>
    <row r="37" spans="1:18" ht="15" x14ac:dyDescent="0.2">
      <c r="A37" s="16">
        <v>41974</v>
      </c>
      <c r="B37" s="10">
        <f>2.4999 * CHOOSE(CONTROL!$C$32, $C$9, 100%, $E$9)</f>
        <v>2.4998999999999998</v>
      </c>
      <c r="C37" s="10">
        <f>2.5102 * CHOOSE(CONTROL!$C$32, $C$9, 100%, $E$9)</f>
        <v>2.5102000000000002</v>
      </c>
      <c r="D37" s="10">
        <f>2.5448 * CHOOSE(CONTROL!$C$32, $C$9, 100%, $E$9)</f>
        <v>2.5448</v>
      </c>
      <c r="E37" s="9">
        <f>3.5215 * CHOOSE(CONTROL!$C$32, $C$9, 100%, $E$9)</f>
        <v>3.5215000000000001</v>
      </c>
      <c r="F37" s="9">
        <f>3.4799 * CHOOSE(CONTROL!$C$32, $C$9, 100%, $E$9)</f>
        <v>3.4799000000000002</v>
      </c>
      <c r="G37" s="9">
        <f>3.4914 * CHOOSE(CONTROL!$C$32, $C$9, 100%, $E$9)</f>
        <v>3.4914000000000001</v>
      </c>
      <c r="H37" s="9">
        <f>3.8744 * CHOOSE(CONTROL!$C$32, $C$9, 100%, $E$9)</f>
        <v>3.8744000000000001</v>
      </c>
      <c r="I37" s="9">
        <f>3.8859 * CHOOSE(CONTROL!$C$32, $C$9, 100%, $E$9)</f>
        <v>3.8858999999999999</v>
      </c>
      <c r="J37" s="9">
        <f>3.8744 * CHOOSE(CONTROL!$C$32, $C$9, 100%, $E$9)</f>
        <v>3.8744000000000001</v>
      </c>
      <c r="K37" s="9">
        <f>3.8859 * CHOOSE(CONTROL!$C$32, $C$9, 100%, $E$9)</f>
        <v>3.8858999999999999</v>
      </c>
      <c r="L37" s="9">
        <f>3.5215 * CHOOSE(CONTROL!$C$32, $C$9, 100%, $E$9)</f>
        <v>3.5215000000000001</v>
      </c>
      <c r="M37" s="9">
        <f>3.533 * CHOOSE(CONTROL!$C$32, $C$9, 100%, $E$9)</f>
        <v>3.5329999999999999</v>
      </c>
      <c r="N37" s="9">
        <f>3.5215 * CHOOSE(CONTROL!$C$32, $C$9, 100%, $E$9)</f>
        <v>3.5215000000000001</v>
      </c>
      <c r="O37" s="9">
        <f>3.533 * CHOOSE(CONTROL!$C$32, $C$9, 100%, $E$9)</f>
        <v>3.5329999999999999</v>
      </c>
      <c r="P37" s="17"/>
      <c r="Q37" s="9"/>
      <c r="R37" s="9"/>
    </row>
    <row r="38" spans="1:18" ht="15" x14ac:dyDescent="0.2">
      <c r="A38" s="16">
        <v>42005</v>
      </c>
      <c r="B38" s="10">
        <f>2.5418 * CHOOSE(CONTROL!$C$32, $C$9, 100%, $E$9)</f>
        <v>2.5417999999999998</v>
      </c>
      <c r="C38" s="10">
        <f>2.5418 * CHOOSE(CONTROL!$C$32, $C$9, 100%, $E$9)</f>
        <v>2.5417999999999998</v>
      </c>
      <c r="D38" s="10">
        <f>2.5427 * CHOOSE(CONTROL!$C$32, $C$9, 100%, $E$9)</f>
        <v>2.5427</v>
      </c>
      <c r="E38" s="9">
        <f>3.6045 * CHOOSE(CONTROL!$C$32, $C$9, 100%, $E$9)</f>
        <v>3.6044999999999998</v>
      </c>
      <c r="F38" s="9">
        <f>3.5836 * CHOOSE(CONTROL!$C$32, $C$9, 100%, $E$9)</f>
        <v>3.5836000000000001</v>
      </c>
      <c r="G38" s="9">
        <f>3.5868 * CHOOSE(CONTROL!$C$32, $C$9, 100%, $E$9)</f>
        <v>3.5868000000000002</v>
      </c>
      <c r="H38" s="9">
        <f>3.9275 * CHOOSE(CONTROL!$C$32, $C$9, 100%, $E$9)</f>
        <v>3.9275000000000002</v>
      </c>
      <c r="I38" s="9">
        <f>3.9307 * CHOOSE(CONTROL!$C$32, $C$9, 100%, $E$9)</f>
        <v>3.9306999999999999</v>
      </c>
      <c r="J38" s="9">
        <f>3.9275 * CHOOSE(CONTROL!$C$32, $C$9, 100%, $E$9)</f>
        <v>3.9275000000000002</v>
      </c>
      <c r="K38" s="9">
        <f>3.9307 * CHOOSE(CONTROL!$C$32, $C$9, 100%, $E$9)</f>
        <v>3.9306999999999999</v>
      </c>
      <c r="L38" s="9">
        <f>3.6045 * CHOOSE(CONTROL!$C$32, $C$9, 100%, $E$9)</f>
        <v>3.6044999999999998</v>
      </c>
      <c r="M38" s="9">
        <f>3.6077 * CHOOSE(CONTROL!$C$32, $C$9, 100%, $E$9)</f>
        <v>3.6076999999999999</v>
      </c>
      <c r="N38" s="9">
        <f>3.6045 * CHOOSE(CONTROL!$C$32, $C$9, 100%, $E$9)</f>
        <v>3.6044999999999998</v>
      </c>
      <c r="O38" s="9">
        <f>3.6077 * CHOOSE(CONTROL!$C$32, $C$9, 100%, $E$9)</f>
        <v>3.6076999999999999</v>
      </c>
      <c r="P38" s="17"/>
      <c r="Q38" s="9"/>
      <c r="R38" s="9"/>
    </row>
    <row r="39" spans="1:18" ht="15" x14ac:dyDescent="0.2">
      <c r="A39" s="16">
        <v>42036</v>
      </c>
      <c r="B39" s="10">
        <f>2.5436 * CHOOSE(CONTROL!$C$32, $C$9, 100%, $E$9)</f>
        <v>2.5436000000000001</v>
      </c>
      <c r="C39" s="10">
        <f>2.5436 * CHOOSE(CONTROL!$C$32, $C$9, 100%, $E$9)</f>
        <v>2.5436000000000001</v>
      </c>
      <c r="D39" s="10">
        <f>2.5446 * CHOOSE(CONTROL!$C$32, $C$9, 100%, $E$9)</f>
        <v>2.5446</v>
      </c>
      <c r="E39" s="9">
        <f>3.6045 * CHOOSE(CONTROL!$C$32, $C$9, 100%, $E$9)</f>
        <v>3.6044999999999998</v>
      </c>
      <c r="F39" s="9">
        <f>3.5836 * CHOOSE(CONTROL!$C$32, $C$9, 100%, $E$9)</f>
        <v>3.5836000000000001</v>
      </c>
      <c r="G39" s="9">
        <f>3.5868 * CHOOSE(CONTROL!$C$32, $C$9, 100%, $E$9)</f>
        <v>3.5868000000000002</v>
      </c>
      <c r="H39" s="9">
        <f>3.9255 * CHOOSE(CONTROL!$C$32, $C$9, 100%, $E$9)</f>
        <v>3.9255</v>
      </c>
      <c r="I39" s="9">
        <f>3.9287 * CHOOSE(CONTROL!$C$32, $C$9, 100%, $E$9)</f>
        <v>3.9287000000000001</v>
      </c>
      <c r="J39" s="9">
        <f>3.9255 * CHOOSE(CONTROL!$C$32, $C$9, 100%, $E$9)</f>
        <v>3.9255</v>
      </c>
      <c r="K39" s="9">
        <f>3.9287 * CHOOSE(CONTROL!$C$32, $C$9, 100%, $E$9)</f>
        <v>3.9287000000000001</v>
      </c>
      <c r="L39" s="9">
        <f>3.6045 * CHOOSE(CONTROL!$C$32, $C$9, 100%, $E$9)</f>
        <v>3.6044999999999998</v>
      </c>
      <c r="M39" s="9">
        <f>3.6077 * CHOOSE(CONTROL!$C$32, $C$9, 100%, $E$9)</f>
        <v>3.6076999999999999</v>
      </c>
      <c r="N39" s="9">
        <f>3.6045 * CHOOSE(CONTROL!$C$32, $C$9, 100%, $E$9)</f>
        <v>3.6044999999999998</v>
      </c>
      <c r="O39" s="9">
        <f>3.6077 * CHOOSE(CONTROL!$C$32, $C$9, 100%, $E$9)</f>
        <v>3.6076999999999999</v>
      </c>
      <c r="P39" s="17"/>
      <c r="Q39" s="9"/>
      <c r="R39" s="9"/>
    </row>
    <row r="40" spans="1:18" ht="15" x14ac:dyDescent="0.2">
      <c r="A40" s="16">
        <v>42064</v>
      </c>
      <c r="B40" s="10">
        <f>2.5403 * CHOOSE(CONTROL!$C$32, $C$9, 100%, $E$9)</f>
        <v>2.5402999999999998</v>
      </c>
      <c r="C40" s="10">
        <f>2.5403 * CHOOSE(CONTROL!$C$32, $C$9, 100%, $E$9)</f>
        <v>2.5402999999999998</v>
      </c>
      <c r="D40" s="10">
        <f>2.5413 * CHOOSE(CONTROL!$C$32, $C$9, 100%, $E$9)</f>
        <v>2.5413000000000001</v>
      </c>
      <c r="E40" s="9">
        <f>3.6045 * CHOOSE(CONTROL!$C$32, $C$9, 100%, $E$9)</f>
        <v>3.6044999999999998</v>
      </c>
      <c r="F40" s="9">
        <f>3.5836 * CHOOSE(CONTROL!$C$32, $C$9, 100%, $E$9)</f>
        <v>3.5836000000000001</v>
      </c>
      <c r="G40" s="9">
        <f>3.5868 * CHOOSE(CONTROL!$C$32, $C$9, 100%, $E$9)</f>
        <v>3.5868000000000002</v>
      </c>
      <c r="H40" s="9">
        <f>3.9235 * CHOOSE(CONTROL!$C$32, $C$9, 100%, $E$9)</f>
        <v>3.9235000000000002</v>
      </c>
      <c r="I40" s="9">
        <f>3.9267 * CHOOSE(CONTROL!$C$32, $C$9, 100%, $E$9)</f>
        <v>3.9266999999999999</v>
      </c>
      <c r="J40" s="9">
        <f>3.9235 * CHOOSE(CONTROL!$C$32, $C$9, 100%, $E$9)</f>
        <v>3.9235000000000002</v>
      </c>
      <c r="K40" s="9">
        <f>3.9267 * CHOOSE(CONTROL!$C$32, $C$9, 100%, $E$9)</f>
        <v>3.9266999999999999</v>
      </c>
      <c r="L40" s="9">
        <f>3.6045 * CHOOSE(CONTROL!$C$32, $C$9, 100%, $E$9)</f>
        <v>3.6044999999999998</v>
      </c>
      <c r="M40" s="9">
        <f>3.6077 * CHOOSE(CONTROL!$C$32, $C$9, 100%, $E$9)</f>
        <v>3.6076999999999999</v>
      </c>
      <c r="N40" s="9">
        <f>3.6045 * CHOOSE(CONTROL!$C$32, $C$9, 100%, $E$9)</f>
        <v>3.6044999999999998</v>
      </c>
      <c r="O40" s="9">
        <f>3.6077 * CHOOSE(CONTROL!$C$32, $C$9, 100%, $E$9)</f>
        <v>3.6076999999999999</v>
      </c>
      <c r="P40" s="17"/>
      <c r="Q40" s="9"/>
      <c r="R40" s="9"/>
    </row>
    <row r="41" spans="1:18" ht="15" x14ac:dyDescent="0.2">
      <c r="A41" s="16">
        <v>42095</v>
      </c>
      <c r="B41" s="10">
        <f>2.5343 * CHOOSE(CONTROL!$C$32, $C$9, 100%, $E$9)</f>
        <v>2.5343</v>
      </c>
      <c r="C41" s="10">
        <f>2.5343 * CHOOSE(CONTROL!$C$32, $C$9, 100%, $E$9)</f>
        <v>2.5343</v>
      </c>
      <c r="D41" s="10">
        <f>2.5352 * CHOOSE(CONTROL!$C$32, $C$9, 100%, $E$9)</f>
        <v>2.5352000000000001</v>
      </c>
      <c r="E41" s="9">
        <f>3.6045 * CHOOSE(CONTROL!$C$32, $C$9, 100%, $E$9)</f>
        <v>3.6044999999999998</v>
      </c>
      <c r="F41" s="9">
        <f>3.5836 * CHOOSE(CONTROL!$C$32, $C$9, 100%, $E$9)</f>
        <v>3.5836000000000001</v>
      </c>
      <c r="G41" s="9">
        <f>3.5868 * CHOOSE(CONTROL!$C$32, $C$9, 100%, $E$9)</f>
        <v>3.5868000000000002</v>
      </c>
      <c r="H41" s="9">
        <f>3.9214 * CHOOSE(CONTROL!$C$32, $C$9, 100%, $E$9)</f>
        <v>3.9214000000000002</v>
      </c>
      <c r="I41" s="9">
        <f>3.9246 * CHOOSE(CONTROL!$C$32, $C$9, 100%, $E$9)</f>
        <v>3.9245999999999999</v>
      </c>
      <c r="J41" s="9">
        <f>3.9214 * CHOOSE(CONTROL!$C$32, $C$9, 100%, $E$9)</f>
        <v>3.9214000000000002</v>
      </c>
      <c r="K41" s="9">
        <f>3.9246 * CHOOSE(CONTROL!$C$32, $C$9, 100%, $E$9)</f>
        <v>3.9245999999999999</v>
      </c>
      <c r="L41" s="9">
        <f>3.6045 * CHOOSE(CONTROL!$C$32, $C$9, 100%, $E$9)</f>
        <v>3.6044999999999998</v>
      </c>
      <c r="M41" s="9">
        <f>3.6077 * CHOOSE(CONTROL!$C$32, $C$9, 100%, $E$9)</f>
        <v>3.6076999999999999</v>
      </c>
      <c r="N41" s="9">
        <f>3.6045 * CHOOSE(CONTROL!$C$32, $C$9, 100%, $E$9)</f>
        <v>3.6044999999999998</v>
      </c>
      <c r="O41" s="9">
        <f>3.6077 * CHOOSE(CONTROL!$C$32, $C$9, 100%, $E$9)</f>
        <v>3.6076999999999999</v>
      </c>
      <c r="P41" s="17"/>
      <c r="Q41" s="9"/>
      <c r="R41" s="9"/>
    </row>
    <row r="42" spans="1:18" ht="15" x14ac:dyDescent="0.2">
      <c r="A42" s="16">
        <v>42125</v>
      </c>
      <c r="B42" s="10">
        <f>2.539 * CHOOSE(CONTROL!$C$32, $C$9, 100%, $E$9)</f>
        <v>2.5390000000000001</v>
      </c>
      <c r="C42" s="10">
        <f>2.539 * CHOOSE(CONTROL!$C$32, $C$9, 100%, $E$9)</f>
        <v>2.5390000000000001</v>
      </c>
      <c r="D42" s="10">
        <f>2.5402 * CHOOSE(CONTROL!$C$32, $C$9, 100%, $E$9)</f>
        <v>2.5402</v>
      </c>
      <c r="E42" s="9">
        <f>3.6045 * CHOOSE(CONTROL!$C$32, $C$9, 100%, $E$9)</f>
        <v>3.6044999999999998</v>
      </c>
      <c r="F42" s="9">
        <f>3.5836 * CHOOSE(CONTROL!$C$32, $C$9, 100%, $E$9)</f>
        <v>3.5836000000000001</v>
      </c>
      <c r="G42" s="9">
        <f>3.5878 * CHOOSE(CONTROL!$C$32, $C$9, 100%, $E$9)</f>
        <v>3.5878000000000001</v>
      </c>
      <c r="H42" s="9">
        <f>3.9214 * CHOOSE(CONTROL!$C$32, $C$9, 100%, $E$9)</f>
        <v>3.9214000000000002</v>
      </c>
      <c r="I42" s="9">
        <f>3.9256 * CHOOSE(CONTROL!$C$32, $C$9, 100%, $E$9)</f>
        <v>3.9256000000000002</v>
      </c>
      <c r="J42" s="9">
        <f>3.9214 * CHOOSE(CONTROL!$C$32, $C$9, 100%, $E$9)</f>
        <v>3.9214000000000002</v>
      </c>
      <c r="K42" s="9">
        <f>3.9256 * CHOOSE(CONTROL!$C$32, $C$9, 100%, $E$9)</f>
        <v>3.9256000000000002</v>
      </c>
      <c r="L42" s="9">
        <f>3.6045 * CHOOSE(CONTROL!$C$32, $C$9, 100%, $E$9)</f>
        <v>3.6044999999999998</v>
      </c>
      <c r="M42" s="9">
        <f>3.6087 * CHOOSE(CONTROL!$C$32, $C$9, 100%, $E$9)</f>
        <v>3.6086999999999998</v>
      </c>
      <c r="N42" s="9">
        <f>3.6045 * CHOOSE(CONTROL!$C$32, $C$9, 100%, $E$9)</f>
        <v>3.6044999999999998</v>
      </c>
      <c r="O42" s="9">
        <f>3.6087 * CHOOSE(CONTROL!$C$32, $C$9, 100%, $E$9)</f>
        <v>3.6086999999999998</v>
      </c>
      <c r="P42" s="17"/>
      <c r="Q42" s="9"/>
      <c r="R42" s="9"/>
    </row>
    <row r="43" spans="1:18" ht="15" x14ac:dyDescent="0.2">
      <c r="A43" s="16">
        <v>42156</v>
      </c>
      <c r="B43" s="10">
        <f>2.5448 * CHOOSE(CONTROL!$C$32, $C$9, 100%, $E$9)</f>
        <v>2.5448</v>
      </c>
      <c r="C43" s="10">
        <f>2.5448 * CHOOSE(CONTROL!$C$32, $C$9, 100%, $E$9)</f>
        <v>2.5448</v>
      </c>
      <c r="D43" s="10">
        <f>2.5461 * CHOOSE(CONTROL!$C$32, $C$9, 100%, $E$9)</f>
        <v>2.5461</v>
      </c>
      <c r="E43" s="9">
        <f>3.6045 * CHOOSE(CONTROL!$C$32, $C$9, 100%, $E$9)</f>
        <v>3.6044999999999998</v>
      </c>
      <c r="F43" s="9">
        <f>3.5836 * CHOOSE(CONTROL!$C$32, $C$9, 100%, $E$9)</f>
        <v>3.5836000000000001</v>
      </c>
      <c r="G43" s="9">
        <f>3.5878 * CHOOSE(CONTROL!$C$32, $C$9, 100%, $E$9)</f>
        <v>3.5878000000000001</v>
      </c>
      <c r="H43" s="9">
        <f>3.9254 * CHOOSE(CONTROL!$C$32, $C$9, 100%, $E$9)</f>
        <v>3.9253999999999998</v>
      </c>
      <c r="I43" s="9">
        <f>3.9296 * CHOOSE(CONTROL!$C$32, $C$9, 100%, $E$9)</f>
        <v>3.9296000000000002</v>
      </c>
      <c r="J43" s="9">
        <f>3.9254 * CHOOSE(CONTROL!$C$32, $C$9, 100%, $E$9)</f>
        <v>3.9253999999999998</v>
      </c>
      <c r="K43" s="9">
        <f>3.9296 * CHOOSE(CONTROL!$C$32, $C$9, 100%, $E$9)</f>
        <v>3.9296000000000002</v>
      </c>
      <c r="L43" s="9">
        <f>3.6045 * CHOOSE(CONTROL!$C$32, $C$9, 100%, $E$9)</f>
        <v>3.6044999999999998</v>
      </c>
      <c r="M43" s="9">
        <f>3.6087 * CHOOSE(CONTROL!$C$32, $C$9, 100%, $E$9)</f>
        <v>3.6086999999999998</v>
      </c>
      <c r="N43" s="9">
        <f>3.6045 * CHOOSE(CONTROL!$C$32, $C$9, 100%, $E$9)</f>
        <v>3.6044999999999998</v>
      </c>
      <c r="O43" s="9">
        <f>3.6087 * CHOOSE(CONTROL!$C$32, $C$9, 100%, $E$9)</f>
        <v>3.6086999999999998</v>
      </c>
      <c r="P43" s="17"/>
      <c r="Q43" s="9"/>
      <c r="R43" s="9"/>
    </row>
    <row r="44" spans="1:18" ht="15" x14ac:dyDescent="0.2">
      <c r="A44" s="16">
        <v>42186</v>
      </c>
      <c r="B44" s="10">
        <f>2.5884 * CHOOSE(CONTROL!$C$32, $C$9, 100%, $E$9)</f>
        <v>2.5884</v>
      </c>
      <c r="C44" s="10">
        <f>2.5884 * CHOOSE(CONTROL!$C$32, $C$9, 100%, $E$9)</f>
        <v>2.5884</v>
      </c>
      <c r="D44" s="10">
        <f>2.5897 * CHOOSE(CONTROL!$C$32, $C$9, 100%, $E$9)</f>
        <v>2.5897000000000001</v>
      </c>
      <c r="E44" s="9">
        <f>3.6045 * CHOOSE(CONTROL!$C$32, $C$9, 100%, $E$9)</f>
        <v>3.6044999999999998</v>
      </c>
      <c r="F44" s="9">
        <f>3.5836 * CHOOSE(CONTROL!$C$32, $C$9, 100%, $E$9)</f>
        <v>3.5836000000000001</v>
      </c>
      <c r="G44" s="9">
        <f>3.5878 * CHOOSE(CONTROL!$C$32, $C$9, 100%, $E$9)</f>
        <v>3.5878000000000001</v>
      </c>
      <c r="H44" s="9">
        <f>4.0448 * CHOOSE(CONTROL!$C$32, $C$9, 100%, $E$9)</f>
        <v>4.0448000000000004</v>
      </c>
      <c r="I44" s="9">
        <f>4.049 * CHOOSE(CONTROL!$C$32, $C$9, 100%, $E$9)</f>
        <v>4.0490000000000004</v>
      </c>
      <c r="J44" s="9">
        <f>4.0448 * CHOOSE(CONTROL!$C$32, $C$9, 100%, $E$9)</f>
        <v>4.0448000000000004</v>
      </c>
      <c r="K44" s="9">
        <f>4.049 * CHOOSE(CONTROL!$C$32, $C$9, 100%, $E$9)</f>
        <v>4.0490000000000004</v>
      </c>
      <c r="L44" s="9">
        <f>3.6045 * CHOOSE(CONTROL!$C$32, $C$9, 100%, $E$9)</f>
        <v>3.6044999999999998</v>
      </c>
      <c r="M44" s="9">
        <f>3.6087 * CHOOSE(CONTROL!$C$32, $C$9, 100%, $E$9)</f>
        <v>3.6086999999999998</v>
      </c>
      <c r="N44" s="9">
        <f>3.6045 * CHOOSE(CONTROL!$C$32, $C$9, 100%, $E$9)</f>
        <v>3.6044999999999998</v>
      </c>
      <c r="O44" s="9">
        <f>3.6087 * CHOOSE(CONTROL!$C$32, $C$9, 100%, $E$9)</f>
        <v>3.6086999999999998</v>
      </c>
      <c r="P44" s="17"/>
      <c r="Q44" s="9"/>
      <c r="R44" s="9"/>
    </row>
    <row r="45" spans="1:18" ht="15" x14ac:dyDescent="0.2">
      <c r="A45" s="16">
        <v>42217</v>
      </c>
      <c r="B45" s="10">
        <f>2.5998 * CHOOSE(CONTROL!$C$32, $C$9, 100%, $E$9)</f>
        <v>2.5998000000000001</v>
      </c>
      <c r="C45" s="10">
        <f>2.5998 * CHOOSE(CONTROL!$C$32, $C$9, 100%, $E$9)</f>
        <v>2.5998000000000001</v>
      </c>
      <c r="D45" s="10">
        <f>2.6011 * CHOOSE(CONTROL!$C$32, $C$9, 100%, $E$9)</f>
        <v>2.6011000000000002</v>
      </c>
      <c r="E45" s="9">
        <f>3.6045 * CHOOSE(CONTROL!$C$32, $C$9, 100%, $E$9)</f>
        <v>3.6044999999999998</v>
      </c>
      <c r="F45" s="9">
        <f>3.5836 * CHOOSE(CONTROL!$C$32, $C$9, 100%, $E$9)</f>
        <v>3.5836000000000001</v>
      </c>
      <c r="G45" s="9">
        <f>3.5878 * CHOOSE(CONTROL!$C$32, $C$9, 100%, $E$9)</f>
        <v>3.5878000000000001</v>
      </c>
      <c r="H45" s="9">
        <f>4.0492 * CHOOSE(CONTROL!$C$32, $C$9, 100%, $E$9)</f>
        <v>4.0491999999999999</v>
      </c>
      <c r="I45" s="9">
        <f>4.0534 * CHOOSE(CONTROL!$C$32, $C$9, 100%, $E$9)</f>
        <v>4.0533999999999999</v>
      </c>
      <c r="J45" s="9">
        <f>4.0492 * CHOOSE(CONTROL!$C$32, $C$9, 100%, $E$9)</f>
        <v>4.0491999999999999</v>
      </c>
      <c r="K45" s="9">
        <f>4.0534 * CHOOSE(CONTROL!$C$32, $C$9, 100%, $E$9)</f>
        <v>4.0533999999999999</v>
      </c>
      <c r="L45" s="9">
        <f>3.6045 * CHOOSE(CONTROL!$C$32, $C$9, 100%, $E$9)</f>
        <v>3.6044999999999998</v>
      </c>
      <c r="M45" s="9">
        <f>3.6087 * CHOOSE(CONTROL!$C$32, $C$9, 100%, $E$9)</f>
        <v>3.6086999999999998</v>
      </c>
      <c r="N45" s="9">
        <f>3.6045 * CHOOSE(CONTROL!$C$32, $C$9, 100%, $E$9)</f>
        <v>3.6044999999999998</v>
      </c>
      <c r="O45" s="9">
        <f>3.6087 * CHOOSE(CONTROL!$C$32, $C$9, 100%, $E$9)</f>
        <v>3.6086999999999998</v>
      </c>
      <c r="P45" s="17"/>
      <c r="Q45" s="9"/>
      <c r="R45" s="9"/>
    </row>
    <row r="46" spans="1:18" ht="15" x14ac:dyDescent="0.2">
      <c r="A46" s="16">
        <v>42248</v>
      </c>
      <c r="B46" s="10">
        <f>2.5965 * CHOOSE(CONTROL!$C$32, $C$9, 100%, $E$9)</f>
        <v>2.5964999999999998</v>
      </c>
      <c r="C46" s="10">
        <f>2.5965 * CHOOSE(CONTROL!$C$32, $C$9, 100%, $E$9)</f>
        <v>2.5964999999999998</v>
      </c>
      <c r="D46" s="10">
        <f>2.5978 * CHOOSE(CONTROL!$C$32, $C$9, 100%, $E$9)</f>
        <v>2.5977999999999999</v>
      </c>
      <c r="E46" s="9">
        <f>3.6045 * CHOOSE(CONTROL!$C$32, $C$9, 100%, $E$9)</f>
        <v>3.6044999999999998</v>
      </c>
      <c r="F46" s="9">
        <f>3.5836 * CHOOSE(CONTROL!$C$32, $C$9, 100%, $E$9)</f>
        <v>3.5836000000000001</v>
      </c>
      <c r="G46" s="9">
        <f>3.5878 * CHOOSE(CONTROL!$C$32, $C$9, 100%, $E$9)</f>
        <v>3.5878000000000001</v>
      </c>
      <c r="H46" s="9">
        <f>4.0472 * CHOOSE(CONTROL!$C$32, $C$9, 100%, $E$9)</f>
        <v>4.0472000000000001</v>
      </c>
      <c r="I46" s="9">
        <f>4.0514 * CHOOSE(CONTROL!$C$32, $C$9, 100%, $E$9)</f>
        <v>4.0514000000000001</v>
      </c>
      <c r="J46" s="9">
        <f>4.0472 * CHOOSE(CONTROL!$C$32, $C$9, 100%, $E$9)</f>
        <v>4.0472000000000001</v>
      </c>
      <c r="K46" s="9">
        <f>4.0514 * CHOOSE(CONTROL!$C$32, $C$9, 100%, $E$9)</f>
        <v>4.0514000000000001</v>
      </c>
      <c r="L46" s="9">
        <f>3.6045 * CHOOSE(CONTROL!$C$32, $C$9, 100%, $E$9)</f>
        <v>3.6044999999999998</v>
      </c>
      <c r="M46" s="9">
        <f>3.6087 * CHOOSE(CONTROL!$C$32, $C$9, 100%, $E$9)</f>
        <v>3.6086999999999998</v>
      </c>
      <c r="N46" s="9">
        <f>3.6045 * CHOOSE(CONTROL!$C$32, $C$9, 100%, $E$9)</f>
        <v>3.6044999999999998</v>
      </c>
      <c r="O46" s="9">
        <f>3.6087 * CHOOSE(CONTROL!$C$32, $C$9, 100%, $E$9)</f>
        <v>3.6086999999999998</v>
      </c>
      <c r="P46" s="17"/>
      <c r="Q46" s="9"/>
      <c r="R46" s="9"/>
    </row>
    <row r="47" spans="1:18" ht="15" x14ac:dyDescent="0.2">
      <c r="A47" s="16">
        <v>42278</v>
      </c>
      <c r="B47" s="10">
        <f>2.5773 * CHOOSE(CONTROL!$C$32, $C$9, 100%, $E$9)</f>
        <v>2.5773000000000001</v>
      </c>
      <c r="C47" s="10">
        <f>2.5773 * CHOOSE(CONTROL!$C$32, $C$9, 100%, $E$9)</f>
        <v>2.5773000000000001</v>
      </c>
      <c r="D47" s="10">
        <f>2.5783 * CHOOSE(CONTROL!$C$32, $C$9, 100%, $E$9)</f>
        <v>2.5783</v>
      </c>
      <c r="E47" s="9">
        <f>3.6045 * CHOOSE(CONTROL!$C$32, $C$9, 100%, $E$9)</f>
        <v>3.6044999999999998</v>
      </c>
      <c r="F47" s="9">
        <f>3.5836 * CHOOSE(CONTROL!$C$32, $C$9, 100%, $E$9)</f>
        <v>3.5836000000000001</v>
      </c>
      <c r="G47" s="9">
        <f>3.5868 * CHOOSE(CONTROL!$C$32, $C$9, 100%, $E$9)</f>
        <v>3.5868000000000002</v>
      </c>
      <c r="H47" s="9">
        <f>4.042 * CHOOSE(CONTROL!$C$32, $C$9, 100%, $E$9)</f>
        <v>4.0419999999999998</v>
      </c>
      <c r="I47" s="9">
        <f>4.0452 * CHOOSE(CONTROL!$C$32, $C$9, 100%, $E$9)</f>
        <v>4.0452000000000004</v>
      </c>
      <c r="J47" s="9">
        <f>4.042 * CHOOSE(CONTROL!$C$32, $C$9, 100%, $E$9)</f>
        <v>4.0419999999999998</v>
      </c>
      <c r="K47" s="9">
        <f>4.0452 * CHOOSE(CONTROL!$C$32, $C$9, 100%, $E$9)</f>
        <v>4.0452000000000004</v>
      </c>
      <c r="L47" s="9">
        <f>3.6045 * CHOOSE(CONTROL!$C$32, $C$9, 100%, $E$9)</f>
        <v>3.6044999999999998</v>
      </c>
      <c r="M47" s="9">
        <f>3.6077 * CHOOSE(CONTROL!$C$32, $C$9, 100%, $E$9)</f>
        <v>3.6076999999999999</v>
      </c>
      <c r="N47" s="9">
        <f>3.6045 * CHOOSE(CONTROL!$C$32, $C$9, 100%, $E$9)</f>
        <v>3.6044999999999998</v>
      </c>
      <c r="O47" s="9">
        <f>3.6077 * CHOOSE(CONTROL!$C$32, $C$9, 100%, $E$9)</f>
        <v>3.6076999999999999</v>
      </c>
      <c r="P47" s="17"/>
      <c r="Q47" s="9"/>
      <c r="R47" s="9"/>
    </row>
    <row r="48" spans="1:18" ht="15" x14ac:dyDescent="0.2">
      <c r="A48" s="16">
        <v>42309</v>
      </c>
      <c r="B48" s="10">
        <f>2.5851 * CHOOSE(CONTROL!$C$32, $C$9, 100%, $E$9)</f>
        <v>2.5851000000000002</v>
      </c>
      <c r="C48" s="10">
        <f>2.5851 * CHOOSE(CONTROL!$C$32, $C$9, 100%, $E$9)</f>
        <v>2.5851000000000002</v>
      </c>
      <c r="D48" s="10">
        <f>2.586 * CHOOSE(CONTROL!$C$32, $C$9, 100%, $E$9)</f>
        <v>2.5859999999999999</v>
      </c>
      <c r="E48" s="9">
        <f>3.6045 * CHOOSE(CONTROL!$C$32, $C$9, 100%, $E$9)</f>
        <v>3.6044999999999998</v>
      </c>
      <c r="F48" s="9">
        <f>3.5836 * CHOOSE(CONTROL!$C$32, $C$9, 100%, $E$9)</f>
        <v>3.5836000000000001</v>
      </c>
      <c r="G48" s="9">
        <f>3.5868 * CHOOSE(CONTROL!$C$32, $C$9, 100%, $E$9)</f>
        <v>3.5868000000000002</v>
      </c>
      <c r="H48" s="9">
        <f>4.044 * CHOOSE(CONTROL!$C$32, $C$9, 100%, $E$9)</f>
        <v>4.0439999999999996</v>
      </c>
      <c r="I48" s="9">
        <f>4.0472 * CHOOSE(CONTROL!$C$32, $C$9, 100%, $E$9)</f>
        <v>4.0472000000000001</v>
      </c>
      <c r="J48" s="9">
        <f>4.044 * CHOOSE(CONTROL!$C$32, $C$9, 100%, $E$9)</f>
        <v>4.0439999999999996</v>
      </c>
      <c r="K48" s="9">
        <f>4.0472 * CHOOSE(CONTROL!$C$32, $C$9, 100%, $E$9)</f>
        <v>4.0472000000000001</v>
      </c>
      <c r="L48" s="9">
        <f>3.6045 * CHOOSE(CONTROL!$C$32, $C$9, 100%, $E$9)</f>
        <v>3.6044999999999998</v>
      </c>
      <c r="M48" s="9">
        <f>3.6077 * CHOOSE(CONTROL!$C$32, $C$9, 100%, $E$9)</f>
        <v>3.6076999999999999</v>
      </c>
      <c r="N48" s="9">
        <f>3.6045 * CHOOSE(CONTROL!$C$32, $C$9, 100%, $E$9)</f>
        <v>3.6044999999999998</v>
      </c>
      <c r="O48" s="9">
        <f>3.6077 * CHOOSE(CONTROL!$C$32, $C$9, 100%, $E$9)</f>
        <v>3.6076999999999999</v>
      </c>
      <c r="P48" s="17"/>
      <c r="Q48" s="9"/>
      <c r="R48" s="9"/>
    </row>
    <row r="49" spans="1:18" ht="15" x14ac:dyDescent="0.2">
      <c r="A49" s="16">
        <v>42339</v>
      </c>
      <c r="B49" s="10">
        <f>2.5848 * CHOOSE(CONTROL!$C$32, $C$9, 100%, $E$9)</f>
        <v>2.5848</v>
      </c>
      <c r="C49" s="10">
        <f>2.5848 * CHOOSE(CONTROL!$C$32, $C$9, 100%, $E$9)</f>
        <v>2.5848</v>
      </c>
      <c r="D49" s="10">
        <f>2.5858 * CHOOSE(CONTROL!$C$32, $C$9, 100%, $E$9)</f>
        <v>2.5857999999999999</v>
      </c>
      <c r="E49" s="9">
        <f>3.6045 * CHOOSE(CONTROL!$C$32, $C$9, 100%, $E$9)</f>
        <v>3.6044999999999998</v>
      </c>
      <c r="F49" s="9">
        <f>3.5836 * CHOOSE(CONTROL!$C$32, $C$9, 100%, $E$9)</f>
        <v>3.5836000000000001</v>
      </c>
      <c r="G49" s="9">
        <f>3.5868 * CHOOSE(CONTROL!$C$32, $C$9, 100%, $E$9)</f>
        <v>3.5868000000000002</v>
      </c>
      <c r="H49" s="9">
        <f>4.044 * CHOOSE(CONTROL!$C$32, $C$9, 100%, $E$9)</f>
        <v>4.0439999999999996</v>
      </c>
      <c r="I49" s="9">
        <f>4.0472 * CHOOSE(CONTROL!$C$32, $C$9, 100%, $E$9)</f>
        <v>4.0472000000000001</v>
      </c>
      <c r="J49" s="9">
        <f>4.044 * CHOOSE(CONTROL!$C$32, $C$9, 100%, $E$9)</f>
        <v>4.0439999999999996</v>
      </c>
      <c r="K49" s="9">
        <f>4.0472 * CHOOSE(CONTROL!$C$32, $C$9, 100%, $E$9)</f>
        <v>4.0472000000000001</v>
      </c>
      <c r="L49" s="9">
        <f>3.6045 * CHOOSE(CONTROL!$C$32, $C$9, 100%, $E$9)</f>
        <v>3.6044999999999998</v>
      </c>
      <c r="M49" s="9">
        <f>3.6077 * CHOOSE(CONTROL!$C$32, $C$9, 100%, $E$9)</f>
        <v>3.6076999999999999</v>
      </c>
      <c r="N49" s="9">
        <f>3.6045 * CHOOSE(CONTROL!$C$32, $C$9, 100%, $E$9)</f>
        <v>3.6044999999999998</v>
      </c>
      <c r="O49" s="9">
        <f>3.6077 * CHOOSE(CONTROL!$C$32, $C$9, 100%, $E$9)</f>
        <v>3.6076999999999999</v>
      </c>
      <c r="P49" s="17"/>
      <c r="Q49" s="9"/>
      <c r="R49" s="9"/>
    </row>
    <row r="50" spans="1:18" ht="15" x14ac:dyDescent="0.2">
      <c r="A50" s="16">
        <v>42370</v>
      </c>
      <c r="B50" s="10">
        <f>2.5868 * CHOOSE(CONTROL!$C$32, $C$9, 100%, $E$9)</f>
        <v>2.5868000000000002</v>
      </c>
      <c r="C50" s="10">
        <f>2.5868 * CHOOSE(CONTROL!$C$32, $C$9, 100%, $E$9)</f>
        <v>2.5868000000000002</v>
      </c>
      <c r="D50" s="10">
        <f>2.5878 * CHOOSE(CONTROL!$C$32, $C$9, 100%, $E$9)</f>
        <v>2.5878000000000001</v>
      </c>
      <c r="E50" s="9">
        <f>3.7019 * CHOOSE(CONTROL!$C$32, $C$9, 100%, $E$9)</f>
        <v>3.7019000000000002</v>
      </c>
      <c r="F50" s="9">
        <f>3.6856 * CHOOSE(CONTROL!$C$32, $C$9, 100%, $E$9)</f>
        <v>3.6856</v>
      </c>
      <c r="G50" s="9">
        <f>3.6888 * CHOOSE(CONTROL!$C$32, $C$9, 100%, $E$9)</f>
        <v>3.6888000000000001</v>
      </c>
      <c r="H50" s="9">
        <f>4.0739 * CHOOSE(CONTROL!$C$32, $C$9, 100%, $E$9)</f>
        <v>4.0739000000000001</v>
      </c>
      <c r="I50" s="9">
        <f>4.0771 * CHOOSE(CONTROL!$C$32, $C$9, 100%, $E$9)</f>
        <v>4.0770999999999997</v>
      </c>
      <c r="J50" s="9">
        <f>4.0739 * CHOOSE(CONTROL!$C$32, $C$9, 100%, $E$9)</f>
        <v>4.0739000000000001</v>
      </c>
      <c r="K50" s="9">
        <f>4.0771 * CHOOSE(CONTROL!$C$32, $C$9, 100%, $E$9)</f>
        <v>4.0770999999999997</v>
      </c>
      <c r="L50" s="9">
        <f>3.7019 * CHOOSE(CONTROL!$C$32, $C$9, 100%, $E$9)</f>
        <v>3.7019000000000002</v>
      </c>
      <c r="M50" s="9">
        <f>3.7052 * CHOOSE(CONTROL!$C$32, $C$9, 100%, $E$9)</f>
        <v>3.7052</v>
      </c>
      <c r="N50" s="9">
        <f>3.7019 * CHOOSE(CONTROL!$C$32, $C$9, 100%, $E$9)</f>
        <v>3.7019000000000002</v>
      </c>
      <c r="O50" s="9">
        <f>3.7052 * CHOOSE(CONTROL!$C$32, $C$9, 100%, $E$9)</f>
        <v>3.7052</v>
      </c>
      <c r="P50" s="17"/>
      <c r="Q50" s="9"/>
      <c r="R50" s="9"/>
    </row>
    <row r="51" spans="1:18" ht="15" x14ac:dyDescent="0.2">
      <c r="A51" s="16">
        <v>42401</v>
      </c>
      <c r="B51" s="10">
        <f>2.5887 * CHOOSE(CONTROL!$C$32, $C$9, 100%, $E$9)</f>
        <v>2.5886999999999998</v>
      </c>
      <c r="C51" s="10">
        <f>2.5887 * CHOOSE(CONTROL!$C$32, $C$9, 100%, $E$9)</f>
        <v>2.5886999999999998</v>
      </c>
      <c r="D51" s="10">
        <f>2.5897 * CHOOSE(CONTROL!$C$32, $C$9, 100%, $E$9)</f>
        <v>2.5897000000000001</v>
      </c>
      <c r="E51" s="9">
        <f>3.7019 * CHOOSE(CONTROL!$C$32, $C$9, 100%, $E$9)</f>
        <v>3.7019000000000002</v>
      </c>
      <c r="F51" s="9">
        <f>3.6856 * CHOOSE(CONTROL!$C$32, $C$9, 100%, $E$9)</f>
        <v>3.6856</v>
      </c>
      <c r="G51" s="9">
        <f>3.6888 * CHOOSE(CONTROL!$C$32, $C$9, 100%, $E$9)</f>
        <v>3.6888000000000001</v>
      </c>
      <c r="H51" s="9">
        <f>4.0719 * CHOOSE(CONTROL!$C$32, $C$9, 100%, $E$9)</f>
        <v>4.0719000000000003</v>
      </c>
      <c r="I51" s="9">
        <f>4.0751 * CHOOSE(CONTROL!$C$32, $C$9, 100%, $E$9)</f>
        <v>4.0750999999999999</v>
      </c>
      <c r="J51" s="9">
        <f>4.0719 * CHOOSE(CONTROL!$C$32, $C$9, 100%, $E$9)</f>
        <v>4.0719000000000003</v>
      </c>
      <c r="K51" s="9">
        <f>4.0751 * CHOOSE(CONTROL!$C$32, $C$9, 100%, $E$9)</f>
        <v>4.0750999999999999</v>
      </c>
      <c r="L51" s="9">
        <f>3.7019 * CHOOSE(CONTROL!$C$32, $C$9, 100%, $E$9)</f>
        <v>3.7019000000000002</v>
      </c>
      <c r="M51" s="9">
        <f>3.7052 * CHOOSE(CONTROL!$C$32, $C$9, 100%, $E$9)</f>
        <v>3.7052</v>
      </c>
      <c r="N51" s="9">
        <f>3.7019 * CHOOSE(CONTROL!$C$32, $C$9, 100%, $E$9)</f>
        <v>3.7019000000000002</v>
      </c>
      <c r="O51" s="9">
        <f>3.7052 * CHOOSE(CONTROL!$C$32, $C$9, 100%, $E$9)</f>
        <v>3.7052</v>
      </c>
      <c r="P51" s="17"/>
      <c r="Q51" s="9"/>
      <c r="R51" s="9"/>
    </row>
    <row r="52" spans="1:18" ht="15" x14ac:dyDescent="0.2">
      <c r="A52" s="16">
        <v>42430</v>
      </c>
      <c r="B52" s="10">
        <f>2.5855 * CHOOSE(CONTROL!$C$32, $C$9, 100%, $E$9)</f>
        <v>2.5855000000000001</v>
      </c>
      <c r="C52" s="10">
        <f>2.5855 * CHOOSE(CONTROL!$C$32, $C$9, 100%, $E$9)</f>
        <v>2.5855000000000001</v>
      </c>
      <c r="D52" s="10">
        <f>2.5864 * CHOOSE(CONTROL!$C$32, $C$9, 100%, $E$9)</f>
        <v>2.5863999999999998</v>
      </c>
      <c r="E52" s="9">
        <f>3.7019 * CHOOSE(CONTROL!$C$32, $C$9, 100%, $E$9)</f>
        <v>3.7019000000000002</v>
      </c>
      <c r="F52" s="9">
        <f>3.6856 * CHOOSE(CONTROL!$C$32, $C$9, 100%, $E$9)</f>
        <v>3.6856</v>
      </c>
      <c r="G52" s="9">
        <f>3.6888 * CHOOSE(CONTROL!$C$32, $C$9, 100%, $E$9)</f>
        <v>3.6888000000000001</v>
      </c>
      <c r="H52" s="9">
        <f>4.0699 * CHOOSE(CONTROL!$C$32, $C$9, 100%, $E$9)</f>
        <v>4.0698999999999996</v>
      </c>
      <c r="I52" s="9">
        <f>4.0731 * CHOOSE(CONTROL!$C$32, $C$9, 100%, $E$9)</f>
        <v>4.0731000000000002</v>
      </c>
      <c r="J52" s="9">
        <f>4.0699 * CHOOSE(CONTROL!$C$32, $C$9, 100%, $E$9)</f>
        <v>4.0698999999999996</v>
      </c>
      <c r="K52" s="9">
        <f>4.0731 * CHOOSE(CONTROL!$C$32, $C$9, 100%, $E$9)</f>
        <v>4.0731000000000002</v>
      </c>
      <c r="L52" s="9">
        <f>3.7019 * CHOOSE(CONTROL!$C$32, $C$9, 100%, $E$9)</f>
        <v>3.7019000000000002</v>
      </c>
      <c r="M52" s="9">
        <f>3.7052 * CHOOSE(CONTROL!$C$32, $C$9, 100%, $E$9)</f>
        <v>3.7052</v>
      </c>
      <c r="N52" s="9">
        <f>3.7019 * CHOOSE(CONTROL!$C$32, $C$9, 100%, $E$9)</f>
        <v>3.7019000000000002</v>
      </c>
      <c r="O52" s="9">
        <f>3.7052 * CHOOSE(CONTROL!$C$32, $C$9, 100%, $E$9)</f>
        <v>3.7052</v>
      </c>
      <c r="P52" s="17"/>
      <c r="Q52" s="9"/>
      <c r="R52" s="9"/>
    </row>
    <row r="53" spans="1:18" ht="15" x14ac:dyDescent="0.2">
      <c r="A53" s="16">
        <v>42461</v>
      </c>
      <c r="B53" s="10">
        <f>2.5794 * CHOOSE(CONTROL!$C$32, $C$9, 100%, $E$9)</f>
        <v>2.5794000000000001</v>
      </c>
      <c r="C53" s="10">
        <f>2.5794 * CHOOSE(CONTROL!$C$32, $C$9, 100%, $E$9)</f>
        <v>2.5794000000000001</v>
      </c>
      <c r="D53" s="10">
        <f>2.5803 * CHOOSE(CONTROL!$C$32, $C$9, 100%, $E$9)</f>
        <v>2.5802999999999998</v>
      </c>
      <c r="E53" s="9">
        <f>3.7019 * CHOOSE(CONTROL!$C$32, $C$9, 100%, $E$9)</f>
        <v>3.7019000000000002</v>
      </c>
      <c r="F53" s="9">
        <f>3.6856 * CHOOSE(CONTROL!$C$32, $C$9, 100%, $E$9)</f>
        <v>3.6856</v>
      </c>
      <c r="G53" s="9">
        <f>3.6888 * CHOOSE(CONTROL!$C$32, $C$9, 100%, $E$9)</f>
        <v>3.6888000000000001</v>
      </c>
      <c r="H53" s="9">
        <f>4.0678 * CHOOSE(CONTROL!$C$32, $C$9, 100%, $E$9)</f>
        <v>4.0678000000000001</v>
      </c>
      <c r="I53" s="9">
        <f>4.071 * CHOOSE(CONTROL!$C$32, $C$9, 100%, $E$9)</f>
        <v>4.0709999999999997</v>
      </c>
      <c r="J53" s="9">
        <f>4.0678 * CHOOSE(CONTROL!$C$32, $C$9, 100%, $E$9)</f>
        <v>4.0678000000000001</v>
      </c>
      <c r="K53" s="9">
        <f>4.071 * CHOOSE(CONTROL!$C$32, $C$9, 100%, $E$9)</f>
        <v>4.0709999999999997</v>
      </c>
      <c r="L53" s="9">
        <f>3.7019 * CHOOSE(CONTROL!$C$32, $C$9, 100%, $E$9)</f>
        <v>3.7019000000000002</v>
      </c>
      <c r="M53" s="9">
        <f>3.7052 * CHOOSE(CONTROL!$C$32, $C$9, 100%, $E$9)</f>
        <v>3.7052</v>
      </c>
      <c r="N53" s="9">
        <f>3.7019 * CHOOSE(CONTROL!$C$32, $C$9, 100%, $E$9)</f>
        <v>3.7019000000000002</v>
      </c>
      <c r="O53" s="9">
        <f>3.7052 * CHOOSE(CONTROL!$C$32, $C$9, 100%, $E$9)</f>
        <v>3.7052</v>
      </c>
      <c r="P53" s="17"/>
      <c r="Q53" s="9"/>
      <c r="R53" s="9"/>
    </row>
    <row r="54" spans="1:18" ht="15" x14ac:dyDescent="0.2">
      <c r="A54" s="16">
        <v>42491</v>
      </c>
      <c r="B54" s="10">
        <f>2.5842 * CHOOSE(CONTROL!$C$32, $C$9, 100%, $E$9)</f>
        <v>2.5842000000000001</v>
      </c>
      <c r="C54" s="10">
        <f>2.5842 * CHOOSE(CONTROL!$C$32, $C$9, 100%, $E$9)</f>
        <v>2.5842000000000001</v>
      </c>
      <c r="D54" s="10">
        <f>2.5854 * CHOOSE(CONTROL!$C$32, $C$9, 100%, $E$9)</f>
        <v>2.5853999999999999</v>
      </c>
      <c r="E54" s="9">
        <f>3.7019 * CHOOSE(CONTROL!$C$32, $C$9, 100%, $E$9)</f>
        <v>3.7019000000000002</v>
      </c>
      <c r="F54" s="9">
        <f>3.6856 * CHOOSE(CONTROL!$C$32, $C$9, 100%, $E$9)</f>
        <v>3.6856</v>
      </c>
      <c r="G54" s="9">
        <f>3.6898 * CHOOSE(CONTROL!$C$32, $C$9, 100%, $E$9)</f>
        <v>3.6898</v>
      </c>
      <c r="H54" s="9">
        <f>4.0678 * CHOOSE(CONTROL!$C$32, $C$9, 100%, $E$9)</f>
        <v>4.0678000000000001</v>
      </c>
      <c r="I54" s="9">
        <f>4.072 * CHOOSE(CONTROL!$C$32, $C$9, 100%, $E$9)</f>
        <v>4.0720000000000001</v>
      </c>
      <c r="J54" s="9">
        <f>4.0678 * CHOOSE(CONTROL!$C$32, $C$9, 100%, $E$9)</f>
        <v>4.0678000000000001</v>
      </c>
      <c r="K54" s="9">
        <f>4.072 * CHOOSE(CONTROL!$C$32, $C$9, 100%, $E$9)</f>
        <v>4.0720000000000001</v>
      </c>
      <c r="L54" s="9">
        <f>3.7019 * CHOOSE(CONTROL!$C$32, $C$9, 100%, $E$9)</f>
        <v>3.7019000000000002</v>
      </c>
      <c r="M54" s="9">
        <f>3.7061 * CHOOSE(CONTROL!$C$32, $C$9, 100%, $E$9)</f>
        <v>3.7061000000000002</v>
      </c>
      <c r="N54" s="9">
        <f>3.7019 * CHOOSE(CONTROL!$C$32, $C$9, 100%, $E$9)</f>
        <v>3.7019000000000002</v>
      </c>
      <c r="O54" s="9">
        <f>3.7061 * CHOOSE(CONTROL!$C$32, $C$9, 100%, $E$9)</f>
        <v>3.7061000000000002</v>
      </c>
      <c r="P54" s="17"/>
      <c r="Q54" s="9"/>
      <c r="R54" s="9"/>
    </row>
    <row r="55" spans="1:18" ht="15" x14ac:dyDescent="0.2">
      <c r="A55" s="16">
        <v>42522</v>
      </c>
      <c r="B55" s="10">
        <f>2.59 * CHOOSE(CONTROL!$C$32, $C$9, 100%, $E$9)</f>
        <v>2.59</v>
      </c>
      <c r="C55" s="10">
        <f>2.59 * CHOOSE(CONTROL!$C$32, $C$9, 100%, $E$9)</f>
        <v>2.59</v>
      </c>
      <c r="D55" s="10">
        <f>2.5913 * CHOOSE(CONTROL!$C$32, $C$9, 100%, $E$9)</f>
        <v>2.5912999999999999</v>
      </c>
      <c r="E55" s="9">
        <f>3.7019 * CHOOSE(CONTROL!$C$32, $C$9, 100%, $E$9)</f>
        <v>3.7019000000000002</v>
      </c>
      <c r="F55" s="9">
        <f>3.6856 * CHOOSE(CONTROL!$C$32, $C$9, 100%, $E$9)</f>
        <v>3.6856</v>
      </c>
      <c r="G55" s="9">
        <f>3.6898 * CHOOSE(CONTROL!$C$32, $C$9, 100%, $E$9)</f>
        <v>3.6898</v>
      </c>
      <c r="H55" s="9">
        <f>4.0718 * CHOOSE(CONTROL!$C$32, $C$9, 100%, $E$9)</f>
        <v>4.0717999999999996</v>
      </c>
      <c r="I55" s="9">
        <f>4.076 * CHOOSE(CONTROL!$C$32, $C$9, 100%, $E$9)</f>
        <v>4.0759999999999996</v>
      </c>
      <c r="J55" s="9">
        <f>4.0718 * CHOOSE(CONTROL!$C$32, $C$9, 100%, $E$9)</f>
        <v>4.0717999999999996</v>
      </c>
      <c r="K55" s="9">
        <f>4.076 * CHOOSE(CONTROL!$C$32, $C$9, 100%, $E$9)</f>
        <v>4.0759999999999996</v>
      </c>
      <c r="L55" s="9">
        <f>3.7019 * CHOOSE(CONTROL!$C$32, $C$9, 100%, $E$9)</f>
        <v>3.7019000000000002</v>
      </c>
      <c r="M55" s="9">
        <f>3.7061 * CHOOSE(CONTROL!$C$32, $C$9, 100%, $E$9)</f>
        <v>3.7061000000000002</v>
      </c>
      <c r="N55" s="9">
        <f>3.7019 * CHOOSE(CONTROL!$C$32, $C$9, 100%, $E$9)</f>
        <v>3.7019000000000002</v>
      </c>
      <c r="O55" s="9">
        <f>3.7061 * CHOOSE(CONTROL!$C$32, $C$9, 100%, $E$9)</f>
        <v>3.7061000000000002</v>
      </c>
      <c r="P55" s="17"/>
      <c r="Q55" s="9"/>
      <c r="R55" s="9"/>
    </row>
    <row r="56" spans="1:18" ht="15" x14ac:dyDescent="0.2">
      <c r="A56" s="16">
        <v>42552</v>
      </c>
      <c r="B56" s="10">
        <f>2.5606 * CHOOSE(CONTROL!$C$32, $C$9, 100%, $E$9)</f>
        <v>2.5606</v>
      </c>
      <c r="C56" s="10">
        <f>2.5606 * CHOOSE(CONTROL!$C$32, $C$9, 100%, $E$9)</f>
        <v>2.5606</v>
      </c>
      <c r="D56" s="10">
        <f>2.5619 * CHOOSE(CONTROL!$C$32, $C$9, 100%, $E$9)</f>
        <v>2.5619000000000001</v>
      </c>
      <c r="E56" s="9">
        <f>3.7019 * CHOOSE(CONTROL!$C$32, $C$9, 100%, $E$9)</f>
        <v>3.7019000000000002</v>
      </c>
      <c r="F56" s="9">
        <f>3.6856 * CHOOSE(CONTROL!$C$32, $C$9, 100%, $E$9)</f>
        <v>3.6856</v>
      </c>
      <c r="G56" s="9">
        <f>3.6898 * CHOOSE(CONTROL!$C$32, $C$9, 100%, $E$9)</f>
        <v>3.6898</v>
      </c>
      <c r="H56" s="9">
        <f>4.1308 * CHOOSE(CONTROL!$C$32, $C$9, 100%, $E$9)</f>
        <v>4.1307999999999998</v>
      </c>
      <c r="I56" s="9">
        <f>4.135 * CHOOSE(CONTROL!$C$32, $C$9, 100%, $E$9)</f>
        <v>4.1349999999999998</v>
      </c>
      <c r="J56" s="9">
        <f>4.1308 * CHOOSE(CONTROL!$C$32, $C$9, 100%, $E$9)</f>
        <v>4.1307999999999998</v>
      </c>
      <c r="K56" s="9">
        <f>4.135 * CHOOSE(CONTROL!$C$32, $C$9, 100%, $E$9)</f>
        <v>4.1349999999999998</v>
      </c>
      <c r="L56" s="9">
        <f>3.7019 * CHOOSE(CONTROL!$C$32, $C$9, 100%, $E$9)</f>
        <v>3.7019000000000002</v>
      </c>
      <c r="M56" s="9">
        <f>3.7061 * CHOOSE(CONTROL!$C$32, $C$9, 100%, $E$9)</f>
        <v>3.7061000000000002</v>
      </c>
      <c r="N56" s="9">
        <f>3.7019 * CHOOSE(CONTROL!$C$32, $C$9, 100%, $E$9)</f>
        <v>3.7019000000000002</v>
      </c>
      <c r="O56" s="9">
        <f>3.7061 * CHOOSE(CONTROL!$C$32, $C$9, 100%, $E$9)</f>
        <v>3.7061000000000002</v>
      </c>
      <c r="P56" s="17"/>
      <c r="Q56" s="17"/>
      <c r="R56" s="17"/>
    </row>
    <row r="57" spans="1:18" ht="15" x14ac:dyDescent="0.2">
      <c r="A57" s="16">
        <v>42583</v>
      </c>
      <c r="B57" s="10">
        <f>2.5721 * CHOOSE(CONTROL!$C$32, $C$9, 100%, $E$9)</f>
        <v>2.5720999999999998</v>
      </c>
      <c r="C57" s="10">
        <f>2.5721 * CHOOSE(CONTROL!$C$32, $C$9, 100%, $E$9)</f>
        <v>2.5720999999999998</v>
      </c>
      <c r="D57" s="10">
        <f>2.5734 * CHOOSE(CONTROL!$C$32, $C$9, 100%, $E$9)</f>
        <v>2.5733999999999999</v>
      </c>
      <c r="E57" s="9">
        <f>3.7019 * CHOOSE(CONTROL!$C$32, $C$9, 100%, $E$9)</f>
        <v>3.7019000000000002</v>
      </c>
      <c r="F57" s="9">
        <f>3.6856 * CHOOSE(CONTROL!$C$32, $C$9, 100%, $E$9)</f>
        <v>3.6856</v>
      </c>
      <c r="G57" s="9">
        <f>3.6898 * CHOOSE(CONTROL!$C$32, $C$9, 100%, $E$9)</f>
        <v>3.6898</v>
      </c>
      <c r="H57" s="9">
        <f>4.1352 * CHOOSE(CONTROL!$C$32, $C$9, 100%, $E$9)</f>
        <v>4.1352000000000002</v>
      </c>
      <c r="I57" s="9">
        <f>4.1394 * CHOOSE(CONTROL!$C$32, $C$9, 100%, $E$9)</f>
        <v>4.1394000000000002</v>
      </c>
      <c r="J57" s="9">
        <f>4.1352 * CHOOSE(CONTROL!$C$32, $C$9, 100%, $E$9)</f>
        <v>4.1352000000000002</v>
      </c>
      <c r="K57" s="9">
        <f>4.1394 * CHOOSE(CONTROL!$C$32, $C$9, 100%, $E$9)</f>
        <v>4.1394000000000002</v>
      </c>
      <c r="L57" s="9">
        <f>3.7019 * CHOOSE(CONTROL!$C$32, $C$9, 100%, $E$9)</f>
        <v>3.7019000000000002</v>
      </c>
      <c r="M57" s="9">
        <f>3.7061 * CHOOSE(CONTROL!$C$32, $C$9, 100%, $E$9)</f>
        <v>3.7061000000000002</v>
      </c>
      <c r="N57" s="9">
        <f>3.7019 * CHOOSE(CONTROL!$C$32, $C$9, 100%, $E$9)</f>
        <v>3.7019000000000002</v>
      </c>
      <c r="O57" s="9">
        <f>3.7061 * CHOOSE(CONTROL!$C$32, $C$9, 100%, $E$9)</f>
        <v>3.7061000000000002</v>
      </c>
      <c r="P57" s="17"/>
      <c r="Q57" s="17"/>
      <c r="R57" s="17"/>
    </row>
    <row r="58" spans="1:18" ht="15" x14ac:dyDescent="0.2">
      <c r="A58" s="16">
        <v>42614</v>
      </c>
      <c r="B58" s="10">
        <f>2.5688 * CHOOSE(CONTROL!$C$32, $C$9, 100%, $E$9)</f>
        <v>2.5688</v>
      </c>
      <c r="C58" s="10">
        <f>2.5688 * CHOOSE(CONTROL!$C$32, $C$9, 100%, $E$9)</f>
        <v>2.5688</v>
      </c>
      <c r="D58" s="10">
        <f>2.5701 * CHOOSE(CONTROL!$C$32, $C$9, 100%, $E$9)</f>
        <v>2.5701000000000001</v>
      </c>
      <c r="E58" s="9">
        <f>3.7019 * CHOOSE(CONTROL!$C$32, $C$9, 100%, $E$9)</f>
        <v>3.7019000000000002</v>
      </c>
      <c r="F58" s="9">
        <f>3.6856 * CHOOSE(CONTROL!$C$32, $C$9, 100%, $E$9)</f>
        <v>3.6856</v>
      </c>
      <c r="G58" s="9">
        <f>3.6898 * CHOOSE(CONTROL!$C$32, $C$9, 100%, $E$9)</f>
        <v>3.6898</v>
      </c>
      <c r="H58" s="9">
        <f>4.1332 * CHOOSE(CONTROL!$C$32, $C$9, 100%, $E$9)</f>
        <v>4.1332000000000004</v>
      </c>
      <c r="I58" s="9">
        <f>4.1374 * CHOOSE(CONTROL!$C$32, $C$9, 100%, $E$9)</f>
        <v>4.1374000000000004</v>
      </c>
      <c r="J58" s="9">
        <f>4.1332 * CHOOSE(CONTROL!$C$32, $C$9, 100%, $E$9)</f>
        <v>4.1332000000000004</v>
      </c>
      <c r="K58" s="9">
        <f>4.1374 * CHOOSE(CONTROL!$C$32, $C$9, 100%, $E$9)</f>
        <v>4.1374000000000004</v>
      </c>
      <c r="L58" s="9">
        <f>3.7019 * CHOOSE(CONTROL!$C$32, $C$9, 100%, $E$9)</f>
        <v>3.7019000000000002</v>
      </c>
      <c r="M58" s="9">
        <f>3.7061 * CHOOSE(CONTROL!$C$32, $C$9, 100%, $E$9)</f>
        <v>3.7061000000000002</v>
      </c>
      <c r="N58" s="9">
        <f>3.7019 * CHOOSE(CONTROL!$C$32, $C$9, 100%, $E$9)</f>
        <v>3.7019000000000002</v>
      </c>
      <c r="O58" s="9">
        <f>3.7061 * CHOOSE(CONTROL!$C$32, $C$9, 100%, $E$9)</f>
        <v>3.7061000000000002</v>
      </c>
      <c r="P58" s="17"/>
      <c r="Q58" s="17"/>
      <c r="R58" s="17"/>
    </row>
    <row r="59" spans="1:18" ht="15" x14ac:dyDescent="0.2">
      <c r="A59" s="16">
        <v>42644</v>
      </c>
      <c r="B59" s="10">
        <f>2.5496 * CHOOSE(CONTROL!$C$32, $C$9, 100%, $E$9)</f>
        <v>2.5495999999999999</v>
      </c>
      <c r="C59" s="10">
        <f>2.5496 * CHOOSE(CONTROL!$C$32, $C$9, 100%, $E$9)</f>
        <v>2.5495999999999999</v>
      </c>
      <c r="D59" s="10">
        <f>2.5505 * CHOOSE(CONTROL!$C$32, $C$9, 100%, $E$9)</f>
        <v>2.5505</v>
      </c>
      <c r="E59" s="9">
        <f>3.7019 * CHOOSE(CONTROL!$C$32, $C$9, 100%, $E$9)</f>
        <v>3.7019000000000002</v>
      </c>
      <c r="F59" s="9">
        <f>3.6856 * CHOOSE(CONTROL!$C$32, $C$9, 100%, $E$9)</f>
        <v>3.6856</v>
      </c>
      <c r="G59" s="9">
        <f>3.6888 * CHOOSE(CONTROL!$C$32, $C$9, 100%, $E$9)</f>
        <v>3.6888000000000001</v>
      </c>
      <c r="H59" s="9">
        <f>4.1283 * CHOOSE(CONTROL!$C$32, $C$9, 100%, $E$9)</f>
        <v>4.1283000000000003</v>
      </c>
      <c r="I59" s="9">
        <f>4.1315 * CHOOSE(CONTROL!$C$32, $C$9, 100%, $E$9)</f>
        <v>4.1315</v>
      </c>
      <c r="J59" s="9">
        <f>4.1283 * CHOOSE(CONTROL!$C$32, $C$9, 100%, $E$9)</f>
        <v>4.1283000000000003</v>
      </c>
      <c r="K59" s="9">
        <f>4.1315 * CHOOSE(CONTROL!$C$32, $C$9, 100%, $E$9)</f>
        <v>4.1315</v>
      </c>
      <c r="L59" s="9">
        <f>3.7019 * CHOOSE(CONTROL!$C$32, $C$9, 100%, $E$9)</f>
        <v>3.7019000000000002</v>
      </c>
      <c r="M59" s="9">
        <f>3.7052 * CHOOSE(CONTROL!$C$32, $C$9, 100%, $E$9)</f>
        <v>3.7052</v>
      </c>
      <c r="N59" s="9">
        <f>3.7019 * CHOOSE(CONTROL!$C$32, $C$9, 100%, $E$9)</f>
        <v>3.7019000000000002</v>
      </c>
      <c r="O59" s="9">
        <f>3.7052 * CHOOSE(CONTROL!$C$32, $C$9, 100%, $E$9)</f>
        <v>3.7052</v>
      </c>
      <c r="P59" s="17"/>
      <c r="Q59" s="17"/>
      <c r="R59" s="17"/>
    </row>
    <row r="60" spans="1:18" ht="15" x14ac:dyDescent="0.2">
      <c r="A60" s="16">
        <v>42675</v>
      </c>
      <c r="B60" s="10">
        <f>2.5575 * CHOOSE(CONTROL!$C$32, $C$9, 100%, $E$9)</f>
        <v>2.5575000000000001</v>
      </c>
      <c r="C60" s="10">
        <f>2.5575 * CHOOSE(CONTROL!$C$32, $C$9, 100%, $E$9)</f>
        <v>2.5575000000000001</v>
      </c>
      <c r="D60" s="10">
        <f>2.5584 * CHOOSE(CONTROL!$C$32, $C$9, 100%, $E$9)</f>
        <v>2.5583999999999998</v>
      </c>
      <c r="E60" s="9">
        <f>3.7019 * CHOOSE(CONTROL!$C$32, $C$9, 100%, $E$9)</f>
        <v>3.7019000000000002</v>
      </c>
      <c r="F60" s="9">
        <f>3.6856 * CHOOSE(CONTROL!$C$32, $C$9, 100%, $E$9)</f>
        <v>3.6856</v>
      </c>
      <c r="G60" s="9">
        <f>3.6888 * CHOOSE(CONTROL!$C$32, $C$9, 100%, $E$9)</f>
        <v>3.6888000000000001</v>
      </c>
      <c r="H60" s="9">
        <f>4.1303 * CHOOSE(CONTROL!$C$32, $C$9, 100%, $E$9)</f>
        <v>4.1303000000000001</v>
      </c>
      <c r="I60" s="9">
        <f>4.1335 * CHOOSE(CONTROL!$C$32, $C$9, 100%, $E$9)</f>
        <v>4.1334999999999997</v>
      </c>
      <c r="J60" s="9">
        <f>4.1303 * CHOOSE(CONTROL!$C$32, $C$9, 100%, $E$9)</f>
        <v>4.1303000000000001</v>
      </c>
      <c r="K60" s="9">
        <f>4.1335 * CHOOSE(CONTROL!$C$32, $C$9, 100%, $E$9)</f>
        <v>4.1334999999999997</v>
      </c>
      <c r="L60" s="9">
        <f>3.7019 * CHOOSE(CONTROL!$C$32, $C$9, 100%, $E$9)</f>
        <v>3.7019000000000002</v>
      </c>
      <c r="M60" s="9">
        <f>3.7052 * CHOOSE(CONTROL!$C$32, $C$9, 100%, $E$9)</f>
        <v>3.7052</v>
      </c>
      <c r="N60" s="9">
        <f>3.7019 * CHOOSE(CONTROL!$C$32, $C$9, 100%, $E$9)</f>
        <v>3.7019000000000002</v>
      </c>
      <c r="O60" s="9">
        <f>3.7052 * CHOOSE(CONTROL!$C$32, $C$9, 100%, $E$9)</f>
        <v>3.7052</v>
      </c>
      <c r="P60" s="17"/>
      <c r="Q60" s="17"/>
      <c r="R60" s="17"/>
    </row>
    <row r="61" spans="1:18" ht="15" x14ac:dyDescent="0.2">
      <c r="A61" s="16">
        <v>42705</v>
      </c>
      <c r="B61" s="10">
        <f>2.5572 * CHOOSE(CONTROL!$C$32, $C$9, 100%, $E$9)</f>
        <v>2.5571999999999999</v>
      </c>
      <c r="C61" s="10">
        <f>2.5572 * CHOOSE(CONTROL!$C$32, $C$9, 100%, $E$9)</f>
        <v>2.5571999999999999</v>
      </c>
      <c r="D61" s="10">
        <f>2.5581 * CHOOSE(CONTROL!$C$32, $C$9, 100%, $E$9)</f>
        <v>2.5581</v>
      </c>
      <c r="E61" s="9">
        <f>3.7019 * CHOOSE(CONTROL!$C$32, $C$9, 100%, $E$9)</f>
        <v>3.7019000000000002</v>
      </c>
      <c r="F61" s="9">
        <f>3.6856 * CHOOSE(CONTROL!$C$32, $C$9, 100%, $E$9)</f>
        <v>3.6856</v>
      </c>
      <c r="G61" s="9">
        <f>3.6888 * CHOOSE(CONTROL!$C$32, $C$9, 100%, $E$9)</f>
        <v>3.6888000000000001</v>
      </c>
      <c r="H61" s="9">
        <f>4.1303 * CHOOSE(CONTROL!$C$32, $C$9, 100%, $E$9)</f>
        <v>4.1303000000000001</v>
      </c>
      <c r="I61" s="9">
        <f>4.1335 * CHOOSE(CONTROL!$C$32, $C$9, 100%, $E$9)</f>
        <v>4.1334999999999997</v>
      </c>
      <c r="J61" s="9">
        <f>4.1303 * CHOOSE(CONTROL!$C$32, $C$9, 100%, $E$9)</f>
        <v>4.1303000000000001</v>
      </c>
      <c r="K61" s="9">
        <f>4.1335 * CHOOSE(CONTROL!$C$32, $C$9, 100%, $E$9)</f>
        <v>4.1334999999999997</v>
      </c>
      <c r="L61" s="9">
        <f>3.7019 * CHOOSE(CONTROL!$C$32, $C$9, 100%, $E$9)</f>
        <v>3.7019000000000002</v>
      </c>
      <c r="M61" s="9">
        <f>3.7052 * CHOOSE(CONTROL!$C$32, $C$9, 100%, $E$9)</f>
        <v>3.7052</v>
      </c>
      <c r="N61" s="9">
        <f>3.7019 * CHOOSE(CONTROL!$C$32, $C$9, 100%, $E$9)</f>
        <v>3.7019000000000002</v>
      </c>
      <c r="O61" s="9">
        <f>3.7052 * CHOOSE(CONTROL!$C$32, $C$9, 100%, $E$9)</f>
        <v>3.7052</v>
      </c>
      <c r="P61" s="17"/>
      <c r="Q61" s="17"/>
      <c r="R61" s="17"/>
    </row>
    <row r="62" spans="1:18" ht="15" x14ac:dyDescent="0.2">
      <c r="A62" s="16">
        <v>42736</v>
      </c>
      <c r="B62" s="10">
        <f>2.6003 * CHOOSE(CONTROL!$C$32, $C$9, 100%, $E$9)</f>
        <v>2.6002999999999998</v>
      </c>
      <c r="C62" s="10">
        <f>2.6003 * CHOOSE(CONTROL!$C$32, $C$9, 100%, $E$9)</f>
        <v>2.6002999999999998</v>
      </c>
      <c r="D62" s="10">
        <f>2.6013 * CHOOSE(CONTROL!$C$32, $C$9, 100%, $E$9)</f>
        <v>2.6013000000000002</v>
      </c>
      <c r="E62" s="9">
        <f>3.7587 * CHOOSE(CONTROL!$C$32, $C$9, 100%, $E$9)</f>
        <v>3.7587000000000002</v>
      </c>
      <c r="F62" s="9">
        <f>3.7587 * CHOOSE(CONTROL!$C$32, $C$9, 100%, $E$9)</f>
        <v>3.7587000000000002</v>
      </c>
      <c r="G62" s="9">
        <f>3.7619 * CHOOSE(CONTROL!$C$32, $C$9, 100%, $E$9)</f>
        <v>3.7618999999999998</v>
      </c>
      <c r="H62" s="9">
        <f>4.1828 * CHOOSE(CONTROL!$C$32, $C$9, 100%, $E$9)</f>
        <v>4.1828000000000003</v>
      </c>
      <c r="I62" s="9">
        <f>4.1861 * CHOOSE(CONTROL!$C$32, $C$9, 100%, $E$9)</f>
        <v>4.1860999999999997</v>
      </c>
      <c r="J62" s="9">
        <f>4.1828 * CHOOSE(CONTROL!$C$32, $C$9, 100%, $E$9)</f>
        <v>4.1828000000000003</v>
      </c>
      <c r="K62" s="9">
        <f>4.1861 * CHOOSE(CONTROL!$C$32, $C$9, 100%, $E$9)</f>
        <v>4.1860999999999997</v>
      </c>
      <c r="L62" s="9">
        <f>3.7587 * CHOOSE(CONTROL!$C$32, $C$9, 100%, $E$9)</f>
        <v>3.7587000000000002</v>
      </c>
      <c r="M62" s="9">
        <f>3.7619 * CHOOSE(CONTROL!$C$32, $C$9, 100%, $E$9)</f>
        <v>3.7618999999999998</v>
      </c>
      <c r="N62" s="9">
        <f>3.7587 * CHOOSE(CONTROL!$C$32, $C$9, 100%, $E$9)</f>
        <v>3.7587000000000002</v>
      </c>
      <c r="O62" s="9">
        <f>3.7619 * CHOOSE(CONTROL!$C$32, $C$9, 100%, $E$9)</f>
        <v>3.7618999999999998</v>
      </c>
      <c r="P62" s="17"/>
      <c r="Q62" s="17"/>
      <c r="R62" s="17"/>
    </row>
    <row r="63" spans="1:18" ht="15" x14ac:dyDescent="0.2">
      <c r="A63" s="16">
        <v>42767</v>
      </c>
      <c r="B63" s="10">
        <f>2.6023 * CHOOSE(CONTROL!$C$32, $C$9, 100%, $E$9)</f>
        <v>2.6023000000000001</v>
      </c>
      <c r="C63" s="10">
        <f>2.6023 * CHOOSE(CONTROL!$C$32, $C$9, 100%, $E$9)</f>
        <v>2.6023000000000001</v>
      </c>
      <c r="D63" s="10">
        <f>2.6033 * CHOOSE(CONTROL!$C$32, $C$9, 100%, $E$9)</f>
        <v>2.6032999999999999</v>
      </c>
      <c r="E63" s="9">
        <f>3.7567 * CHOOSE(CONTROL!$C$32, $C$9, 100%, $E$9)</f>
        <v>3.7566999999999999</v>
      </c>
      <c r="F63" s="9">
        <f>3.7567 * CHOOSE(CONTROL!$C$32, $C$9, 100%, $E$9)</f>
        <v>3.7566999999999999</v>
      </c>
      <c r="G63" s="9">
        <f>3.7599 * CHOOSE(CONTROL!$C$32, $C$9, 100%, $E$9)</f>
        <v>3.7599</v>
      </c>
      <c r="H63" s="9">
        <f>4.1808 * CHOOSE(CONTROL!$C$32, $C$9, 100%, $E$9)</f>
        <v>4.1807999999999996</v>
      </c>
      <c r="I63" s="9">
        <f>4.1841 * CHOOSE(CONTROL!$C$32, $C$9, 100%, $E$9)</f>
        <v>4.1840999999999999</v>
      </c>
      <c r="J63" s="9">
        <f>4.1808 * CHOOSE(CONTROL!$C$32, $C$9, 100%, $E$9)</f>
        <v>4.1807999999999996</v>
      </c>
      <c r="K63" s="9">
        <f>4.1841 * CHOOSE(CONTROL!$C$32, $C$9, 100%, $E$9)</f>
        <v>4.1840999999999999</v>
      </c>
      <c r="L63" s="9">
        <f>3.7567 * CHOOSE(CONTROL!$C$32, $C$9, 100%, $E$9)</f>
        <v>3.7566999999999999</v>
      </c>
      <c r="M63" s="9">
        <f>3.7599 * CHOOSE(CONTROL!$C$32, $C$9, 100%, $E$9)</f>
        <v>3.7599</v>
      </c>
      <c r="N63" s="9">
        <f>3.7567 * CHOOSE(CONTROL!$C$32, $C$9, 100%, $E$9)</f>
        <v>3.7566999999999999</v>
      </c>
      <c r="O63" s="9">
        <f>3.7599 * CHOOSE(CONTROL!$C$32, $C$9, 100%, $E$9)</f>
        <v>3.7599</v>
      </c>
      <c r="P63" s="17"/>
      <c r="Q63" s="17"/>
      <c r="R63" s="17"/>
    </row>
    <row r="64" spans="1:18" ht="15" x14ac:dyDescent="0.2">
      <c r="A64" s="16">
        <v>42795</v>
      </c>
      <c r="B64" s="10">
        <f>2.5991 * CHOOSE(CONTROL!$C$32, $C$9, 100%, $E$9)</f>
        <v>2.5991</v>
      </c>
      <c r="C64" s="10">
        <f>2.5991 * CHOOSE(CONTROL!$C$32, $C$9, 100%, $E$9)</f>
        <v>2.5991</v>
      </c>
      <c r="D64" s="10">
        <f>2.6 * CHOOSE(CONTROL!$C$32, $C$9, 100%, $E$9)</f>
        <v>2.6</v>
      </c>
      <c r="E64" s="9">
        <f>3.7547 * CHOOSE(CONTROL!$C$32, $C$9, 100%, $E$9)</f>
        <v>3.7547000000000001</v>
      </c>
      <c r="F64" s="9">
        <f>3.7547 * CHOOSE(CONTROL!$C$32, $C$9, 100%, $E$9)</f>
        <v>3.7547000000000001</v>
      </c>
      <c r="G64" s="9">
        <f>3.7579 * CHOOSE(CONTROL!$C$32, $C$9, 100%, $E$9)</f>
        <v>3.7578999999999998</v>
      </c>
      <c r="H64" s="9">
        <f>4.1788 * CHOOSE(CONTROL!$C$32, $C$9, 100%, $E$9)</f>
        <v>4.1787999999999998</v>
      </c>
      <c r="I64" s="9">
        <f>4.1821 * CHOOSE(CONTROL!$C$32, $C$9, 100%, $E$9)</f>
        <v>4.1821000000000002</v>
      </c>
      <c r="J64" s="9">
        <f>4.1788 * CHOOSE(CONTROL!$C$32, $C$9, 100%, $E$9)</f>
        <v>4.1787999999999998</v>
      </c>
      <c r="K64" s="9">
        <f>4.1821 * CHOOSE(CONTROL!$C$32, $C$9, 100%, $E$9)</f>
        <v>4.1821000000000002</v>
      </c>
      <c r="L64" s="9">
        <f>3.7547 * CHOOSE(CONTROL!$C$32, $C$9, 100%, $E$9)</f>
        <v>3.7547000000000001</v>
      </c>
      <c r="M64" s="9">
        <f>3.7579 * CHOOSE(CONTROL!$C$32, $C$9, 100%, $E$9)</f>
        <v>3.7578999999999998</v>
      </c>
      <c r="N64" s="9">
        <f>3.7547 * CHOOSE(CONTROL!$C$32, $C$9, 100%, $E$9)</f>
        <v>3.7547000000000001</v>
      </c>
      <c r="O64" s="9">
        <f>3.7579 * CHOOSE(CONTROL!$C$32, $C$9, 100%, $E$9)</f>
        <v>3.7578999999999998</v>
      </c>
      <c r="P64" s="17"/>
      <c r="Q64" s="17"/>
      <c r="R64" s="17"/>
    </row>
    <row r="65" spans="1:18" ht="15" x14ac:dyDescent="0.2">
      <c r="A65" s="16">
        <v>42826</v>
      </c>
      <c r="B65" s="10">
        <f>2.593 * CHOOSE(CONTROL!$C$32, $C$9, 100%, $E$9)</f>
        <v>2.593</v>
      </c>
      <c r="C65" s="10">
        <f>2.593 * CHOOSE(CONTROL!$C$32, $C$9, 100%, $E$9)</f>
        <v>2.593</v>
      </c>
      <c r="D65" s="10">
        <f>2.594 * CHOOSE(CONTROL!$C$32, $C$9, 100%, $E$9)</f>
        <v>2.5939999999999999</v>
      </c>
      <c r="E65" s="9">
        <f>3.7522 * CHOOSE(CONTROL!$C$32, $C$9, 100%, $E$9)</f>
        <v>3.7522000000000002</v>
      </c>
      <c r="F65" s="9">
        <f>3.7522 * CHOOSE(CONTROL!$C$32, $C$9, 100%, $E$9)</f>
        <v>3.7522000000000002</v>
      </c>
      <c r="G65" s="9">
        <f>3.7554 * CHOOSE(CONTROL!$C$32, $C$9, 100%, $E$9)</f>
        <v>3.7553999999999998</v>
      </c>
      <c r="H65" s="9">
        <f>4.1769 * CHOOSE(CONTROL!$C$32, $C$9, 100%, $E$9)</f>
        <v>4.1768999999999998</v>
      </c>
      <c r="I65" s="9">
        <f>4.1801 * CHOOSE(CONTROL!$C$32, $C$9, 100%, $E$9)</f>
        <v>4.1801000000000004</v>
      </c>
      <c r="J65" s="9">
        <f>4.1769 * CHOOSE(CONTROL!$C$32, $C$9, 100%, $E$9)</f>
        <v>4.1768999999999998</v>
      </c>
      <c r="K65" s="9">
        <f>4.1801 * CHOOSE(CONTROL!$C$32, $C$9, 100%, $E$9)</f>
        <v>4.1801000000000004</v>
      </c>
      <c r="L65" s="9">
        <f>3.7522 * CHOOSE(CONTROL!$C$32, $C$9, 100%, $E$9)</f>
        <v>3.7522000000000002</v>
      </c>
      <c r="M65" s="9">
        <f>3.7554 * CHOOSE(CONTROL!$C$32, $C$9, 100%, $E$9)</f>
        <v>3.7553999999999998</v>
      </c>
      <c r="N65" s="9">
        <f>3.7522 * CHOOSE(CONTROL!$C$32, $C$9, 100%, $E$9)</f>
        <v>3.7522000000000002</v>
      </c>
      <c r="O65" s="9">
        <f>3.7554 * CHOOSE(CONTROL!$C$32, $C$9, 100%, $E$9)</f>
        <v>3.7553999999999998</v>
      </c>
      <c r="P65" s="17"/>
      <c r="Q65" s="17"/>
      <c r="R65" s="17"/>
    </row>
    <row r="66" spans="1:18" ht="15" x14ac:dyDescent="0.2">
      <c r="A66" s="16">
        <v>42856</v>
      </c>
      <c r="B66" s="10">
        <f>2.5979 * CHOOSE(CONTROL!$C$32, $C$9, 100%, $E$9)</f>
        <v>2.5979000000000001</v>
      </c>
      <c r="C66" s="10">
        <f>2.5979 * CHOOSE(CONTROL!$C$32, $C$9, 100%, $E$9)</f>
        <v>2.5979000000000001</v>
      </c>
      <c r="D66" s="10">
        <f>2.5991 * CHOOSE(CONTROL!$C$32, $C$9, 100%, $E$9)</f>
        <v>2.5991</v>
      </c>
      <c r="E66" s="9">
        <f>3.7522 * CHOOSE(CONTROL!$C$32, $C$9, 100%, $E$9)</f>
        <v>3.7522000000000002</v>
      </c>
      <c r="F66" s="9">
        <f>3.7522 * CHOOSE(CONTROL!$C$32, $C$9, 100%, $E$9)</f>
        <v>3.7522000000000002</v>
      </c>
      <c r="G66" s="9">
        <f>3.7564 * CHOOSE(CONTROL!$C$32, $C$9, 100%, $E$9)</f>
        <v>3.7564000000000002</v>
      </c>
      <c r="H66" s="9">
        <f>4.1769 * CHOOSE(CONTROL!$C$32, $C$9, 100%, $E$9)</f>
        <v>4.1768999999999998</v>
      </c>
      <c r="I66" s="9">
        <f>4.1811 * CHOOSE(CONTROL!$C$32, $C$9, 100%, $E$9)</f>
        <v>4.1810999999999998</v>
      </c>
      <c r="J66" s="9">
        <f>4.1769 * CHOOSE(CONTROL!$C$32, $C$9, 100%, $E$9)</f>
        <v>4.1768999999999998</v>
      </c>
      <c r="K66" s="9">
        <f>4.1811 * CHOOSE(CONTROL!$C$32, $C$9, 100%, $E$9)</f>
        <v>4.1810999999999998</v>
      </c>
      <c r="L66" s="9">
        <f>3.7522 * CHOOSE(CONTROL!$C$32, $C$9, 100%, $E$9)</f>
        <v>3.7522000000000002</v>
      </c>
      <c r="M66" s="9">
        <f>3.7564 * CHOOSE(CONTROL!$C$32, $C$9, 100%, $E$9)</f>
        <v>3.7564000000000002</v>
      </c>
      <c r="N66" s="9">
        <f>3.7522 * CHOOSE(CONTROL!$C$32, $C$9, 100%, $E$9)</f>
        <v>3.7522000000000002</v>
      </c>
      <c r="O66" s="9">
        <f>3.7564 * CHOOSE(CONTROL!$C$32, $C$9, 100%, $E$9)</f>
        <v>3.7564000000000002</v>
      </c>
      <c r="P66" s="17"/>
      <c r="Q66" s="17"/>
      <c r="R66" s="17"/>
    </row>
    <row r="67" spans="1:18" ht="15" x14ac:dyDescent="0.2">
      <c r="A67" s="16">
        <v>42887</v>
      </c>
      <c r="B67" s="10">
        <f>2.6037 * CHOOSE(CONTROL!$C$32, $C$9, 100%, $E$9)</f>
        <v>2.6036999999999999</v>
      </c>
      <c r="C67" s="10">
        <f>2.6037 * CHOOSE(CONTROL!$C$32, $C$9, 100%, $E$9)</f>
        <v>2.6036999999999999</v>
      </c>
      <c r="D67" s="10">
        <f>2.605 * CHOOSE(CONTROL!$C$32, $C$9, 100%, $E$9)</f>
        <v>2.605</v>
      </c>
      <c r="E67" s="9">
        <f>3.7562 * CHOOSE(CONTROL!$C$32, $C$9, 100%, $E$9)</f>
        <v>3.7562000000000002</v>
      </c>
      <c r="F67" s="9">
        <f>3.7562 * CHOOSE(CONTROL!$C$32, $C$9, 100%, $E$9)</f>
        <v>3.7562000000000002</v>
      </c>
      <c r="G67" s="9">
        <f>3.7604 * CHOOSE(CONTROL!$C$32, $C$9, 100%, $E$9)</f>
        <v>3.7604000000000002</v>
      </c>
      <c r="H67" s="9">
        <f>4.1809 * CHOOSE(CONTROL!$C$32, $C$9, 100%, $E$9)</f>
        <v>4.1809000000000003</v>
      </c>
      <c r="I67" s="9">
        <f>4.1851 * CHOOSE(CONTROL!$C$32, $C$9, 100%, $E$9)</f>
        <v>4.1851000000000003</v>
      </c>
      <c r="J67" s="9">
        <f>4.1809 * CHOOSE(CONTROL!$C$32, $C$9, 100%, $E$9)</f>
        <v>4.1809000000000003</v>
      </c>
      <c r="K67" s="9">
        <f>4.1851 * CHOOSE(CONTROL!$C$32, $C$9, 100%, $E$9)</f>
        <v>4.1851000000000003</v>
      </c>
      <c r="L67" s="9">
        <f>3.7562 * CHOOSE(CONTROL!$C$32, $C$9, 100%, $E$9)</f>
        <v>3.7562000000000002</v>
      </c>
      <c r="M67" s="9">
        <f>3.7604 * CHOOSE(CONTROL!$C$32, $C$9, 100%, $E$9)</f>
        <v>3.7604000000000002</v>
      </c>
      <c r="N67" s="9">
        <f>3.7562 * CHOOSE(CONTROL!$C$32, $C$9, 100%, $E$9)</f>
        <v>3.7562000000000002</v>
      </c>
      <c r="O67" s="9">
        <f>3.7604 * CHOOSE(CONTROL!$C$32, $C$9, 100%, $E$9)</f>
        <v>3.7604000000000002</v>
      </c>
      <c r="P67" s="17"/>
      <c r="Q67" s="17"/>
      <c r="R67" s="17"/>
    </row>
    <row r="68" spans="1:18" ht="15" x14ac:dyDescent="0.2">
      <c r="A68" s="16">
        <v>42917</v>
      </c>
      <c r="B68" s="10">
        <f>2.6742 * CHOOSE(CONTROL!$C$32, $C$9, 100%, $E$9)</f>
        <v>2.6741999999999999</v>
      </c>
      <c r="C68" s="10">
        <f>2.6742 * CHOOSE(CONTROL!$C$32, $C$9, 100%, $E$9)</f>
        <v>2.6741999999999999</v>
      </c>
      <c r="D68" s="10">
        <f>2.6754 * CHOOSE(CONTROL!$C$32, $C$9, 100%, $E$9)</f>
        <v>2.6753999999999998</v>
      </c>
      <c r="E68" s="9">
        <f>3.8719 * CHOOSE(CONTROL!$C$32, $C$9, 100%, $E$9)</f>
        <v>3.8719000000000001</v>
      </c>
      <c r="F68" s="9">
        <f>3.8719 * CHOOSE(CONTROL!$C$32, $C$9, 100%, $E$9)</f>
        <v>3.8719000000000001</v>
      </c>
      <c r="G68" s="9">
        <f>3.8761 * CHOOSE(CONTROL!$C$32, $C$9, 100%, $E$9)</f>
        <v>3.8761000000000001</v>
      </c>
      <c r="H68" s="9">
        <f>4.2997 * CHOOSE(CONTROL!$C$32, $C$9, 100%, $E$9)</f>
        <v>4.2996999999999996</v>
      </c>
      <c r="I68" s="9">
        <f>4.3039 * CHOOSE(CONTROL!$C$32, $C$9, 100%, $E$9)</f>
        <v>4.3038999999999996</v>
      </c>
      <c r="J68" s="9">
        <f>4.2997 * CHOOSE(CONTROL!$C$32, $C$9, 100%, $E$9)</f>
        <v>4.2996999999999996</v>
      </c>
      <c r="K68" s="9">
        <f>4.3039 * CHOOSE(CONTROL!$C$32, $C$9, 100%, $E$9)</f>
        <v>4.3038999999999996</v>
      </c>
      <c r="L68" s="9">
        <f>3.8719 * CHOOSE(CONTROL!$C$32, $C$9, 100%, $E$9)</f>
        <v>3.8719000000000001</v>
      </c>
      <c r="M68" s="9">
        <f>3.8761 * CHOOSE(CONTROL!$C$32, $C$9, 100%, $E$9)</f>
        <v>3.8761000000000001</v>
      </c>
      <c r="N68" s="9">
        <f>3.8719 * CHOOSE(CONTROL!$C$32, $C$9, 100%, $E$9)</f>
        <v>3.8719000000000001</v>
      </c>
      <c r="O68" s="9">
        <f>3.8761 * CHOOSE(CONTROL!$C$32, $C$9, 100%, $E$9)</f>
        <v>3.8761000000000001</v>
      </c>
      <c r="P68" s="17"/>
      <c r="Q68" s="17"/>
      <c r="R68" s="17"/>
    </row>
    <row r="69" spans="1:18" ht="15" x14ac:dyDescent="0.2">
      <c r="A69" s="16">
        <v>42948</v>
      </c>
      <c r="B69" s="10">
        <f>2.6858 * CHOOSE(CONTROL!$C$32, $C$9, 100%, $E$9)</f>
        <v>2.6858</v>
      </c>
      <c r="C69" s="10">
        <f>2.6858 * CHOOSE(CONTROL!$C$32, $C$9, 100%, $E$9)</f>
        <v>2.6858</v>
      </c>
      <c r="D69" s="10">
        <f>2.687 * CHOOSE(CONTROL!$C$32, $C$9, 100%, $E$9)</f>
        <v>2.6869999999999998</v>
      </c>
      <c r="E69" s="9">
        <f>3.8763 * CHOOSE(CONTROL!$C$32, $C$9, 100%, $E$9)</f>
        <v>3.8763000000000001</v>
      </c>
      <c r="F69" s="9">
        <f>3.8763 * CHOOSE(CONTROL!$C$32, $C$9, 100%, $E$9)</f>
        <v>3.8763000000000001</v>
      </c>
      <c r="G69" s="9">
        <f>3.8805 * CHOOSE(CONTROL!$C$32, $C$9, 100%, $E$9)</f>
        <v>3.8805000000000001</v>
      </c>
      <c r="H69" s="9">
        <f>4.3041 * CHOOSE(CONTROL!$C$32, $C$9, 100%, $E$9)</f>
        <v>4.3041</v>
      </c>
      <c r="I69" s="9">
        <f>4.3083 * CHOOSE(CONTROL!$C$32, $C$9, 100%, $E$9)</f>
        <v>4.3083</v>
      </c>
      <c r="J69" s="9">
        <f>4.3041 * CHOOSE(CONTROL!$C$32, $C$9, 100%, $E$9)</f>
        <v>4.3041</v>
      </c>
      <c r="K69" s="9">
        <f>4.3083 * CHOOSE(CONTROL!$C$32, $C$9, 100%, $E$9)</f>
        <v>4.3083</v>
      </c>
      <c r="L69" s="9">
        <f>3.8763 * CHOOSE(CONTROL!$C$32, $C$9, 100%, $E$9)</f>
        <v>3.8763000000000001</v>
      </c>
      <c r="M69" s="9">
        <f>3.8805 * CHOOSE(CONTROL!$C$32, $C$9, 100%, $E$9)</f>
        <v>3.8805000000000001</v>
      </c>
      <c r="N69" s="9">
        <f>3.8763 * CHOOSE(CONTROL!$C$32, $C$9, 100%, $E$9)</f>
        <v>3.8763000000000001</v>
      </c>
      <c r="O69" s="9">
        <f>3.8805 * CHOOSE(CONTROL!$C$32, $C$9, 100%, $E$9)</f>
        <v>3.8805000000000001</v>
      </c>
      <c r="P69" s="17"/>
      <c r="Q69" s="17"/>
      <c r="R69" s="17"/>
    </row>
    <row r="70" spans="1:18" ht="15" x14ac:dyDescent="0.2">
      <c r="A70" s="16">
        <v>42979</v>
      </c>
      <c r="B70" s="10">
        <f>2.6825 * CHOOSE(CONTROL!$C$32, $C$9, 100%, $E$9)</f>
        <v>2.6825000000000001</v>
      </c>
      <c r="C70" s="10">
        <f>2.6825 * CHOOSE(CONTROL!$C$32, $C$9, 100%, $E$9)</f>
        <v>2.6825000000000001</v>
      </c>
      <c r="D70" s="10">
        <f>2.6837 * CHOOSE(CONTROL!$C$32, $C$9, 100%, $E$9)</f>
        <v>2.6837</v>
      </c>
      <c r="E70" s="9">
        <f>3.8743 * CHOOSE(CONTROL!$C$32, $C$9, 100%, $E$9)</f>
        <v>3.8742999999999999</v>
      </c>
      <c r="F70" s="9">
        <f>3.8743 * CHOOSE(CONTROL!$C$32, $C$9, 100%, $E$9)</f>
        <v>3.8742999999999999</v>
      </c>
      <c r="G70" s="9">
        <f>3.8785 * CHOOSE(CONTROL!$C$32, $C$9, 100%, $E$9)</f>
        <v>3.8784999999999998</v>
      </c>
      <c r="H70" s="9">
        <f>4.3021 * CHOOSE(CONTROL!$C$32, $C$9, 100%, $E$9)</f>
        <v>4.3021000000000003</v>
      </c>
      <c r="I70" s="9">
        <f>4.3063 * CHOOSE(CONTROL!$C$32, $C$9, 100%, $E$9)</f>
        <v>4.3063000000000002</v>
      </c>
      <c r="J70" s="9">
        <f>4.3021 * CHOOSE(CONTROL!$C$32, $C$9, 100%, $E$9)</f>
        <v>4.3021000000000003</v>
      </c>
      <c r="K70" s="9">
        <f>4.3063 * CHOOSE(CONTROL!$C$32, $C$9, 100%, $E$9)</f>
        <v>4.3063000000000002</v>
      </c>
      <c r="L70" s="9">
        <f>3.8743 * CHOOSE(CONTROL!$C$32, $C$9, 100%, $E$9)</f>
        <v>3.8742999999999999</v>
      </c>
      <c r="M70" s="9">
        <f>3.8785 * CHOOSE(CONTROL!$C$32, $C$9, 100%, $E$9)</f>
        <v>3.8784999999999998</v>
      </c>
      <c r="N70" s="9">
        <f>3.8743 * CHOOSE(CONTROL!$C$32, $C$9, 100%, $E$9)</f>
        <v>3.8742999999999999</v>
      </c>
      <c r="O70" s="9">
        <f>3.8785 * CHOOSE(CONTROL!$C$32, $C$9, 100%, $E$9)</f>
        <v>3.8784999999999998</v>
      </c>
      <c r="P70" s="17"/>
      <c r="Q70" s="17"/>
      <c r="R70" s="17"/>
    </row>
    <row r="71" spans="1:18" ht="15" x14ac:dyDescent="0.2">
      <c r="A71" s="16">
        <v>43009</v>
      </c>
      <c r="B71" s="10">
        <f>2.6632 * CHOOSE(CONTROL!$C$32, $C$9, 100%, $E$9)</f>
        <v>2.6631999999999998</v>
      </c>
      <c r="C71" s="10">
        <f>2.6632 * CHOOSE(CONTROL!$C$32, $C$9, 100%, $E$9)</f>
        <v>2.6631999999999998</v>
      </c>
      <c r="D71" s="10">
        <f>2.6642 * CHOOSE(CONTROL!$C$32, $C$9, 100%, $E$9)</f>
        <v>2.6642000000000001</v>
      </c>
      <c r="E71" s="9">
        <f>3.8673 * CHOOSE(CONTROL!$C$32, $C$9, 100%, $E$9)</f>
        <v>3.8673000000000002</v>
      </c>
      <c r="F71" s="9">
        <f>3.8673 * CHOOSE(CONTROL!$C$32, $C$9, 100%, $E$9)</f>
        <v>3.8673000000000002</v>
      </c>
      <c r="G71" s="9">
        <f>3.8706 * CHOOSE(CONTROL!$C$32, $C$9, 100%, $E$9)</f>
        <v>3.8706</v>
      </c>
      <c r="H71" s="9">
        <f>4.2973 * CHOOSE(CONTROL!$C$32, $C$9, 100%, $E$9)</f>
        <v>4.2972999999999999</v>
      </c>
      <c r="I71" s="9">
        <f>4.3005 * CHOOSE(CONTROL!$C$32, $C$9, 100%, $E$9)</f>
        <v>4.3005000000000004</v>
      </c>
      <c r="J71" s="9">
        <f>4.2973 * CHOOSE(CONTROL!$C$32, $C$9, 100%, $E$9)</f>
        <v>4.2972999999999999</v>
      </c>
      <c r="K71" s="9">
        <f>4.3005 * CHOOSE(CONTROL!$C$32, $C$9, 100%, $E$9)</f>
        <v>4.3005000000000004</v>
      </c>
      <c r="L71" s="9">
        <f>3.8673 * CHOOSE(CONTROL!$C$32, $C$9, 100%, $E$9)</f>
        <v>3.8673000000000002</v>
      </c>
      <c r="M71" s="9">
        <f>3.8706 * CHOOSE(CONTROL!$C$32, $C$9, 100%, $E$9)</f>
        <v>3.8706</v>
      </c>
      <c r="N71" s="9">
        <f>3.8673 * CHOOSE(CONTROL!$C$32, $C$9, 100%, $E$9)</f>
        <v>3.8673000000000002</v>
      </c>
      <c r="O71" s="9">
        <f>3.8706 * CHOOSE(CONTROL!$C$32, $C$9, 100%, $E$9)</f>
        <v>3.8706</v>
      </c>
      <c r="P71" s="17"/>
      <c r="Q71" s="17"/>
      <c r="R71" s="17"/>
    </row>
    <row r="72" spans="1:18" ht="15" x14ac:dyDescent="0.2">
      <c r="A72" s="16">
        <v>43040</v>
      </c>
      <c r="B72" s="10">
        <f>2.6712 * CHOOSE(CONTROL!$C$32, $C$9, 100%, $E$9)</f>
        <v>2.6711999999999998</v>
      </c>
      <c r="C72" s="10">
        <f>2.6712 * CHOOSE(CONTROL!$C$32, $C$9, 100%, $E$9)</f>
        <v>2.6711999999999998</v>
      </c>
      <c r="D72" s="10">
        <f>2.6722 * CHOOSE(CONTROL!$C$32, $C$9, 100%, $E$9)</f>
        <v>2.6722000000000001</v>
      </c>
      <c r="E72" s="9">
        <f>3.8693 * CHOOSE(CONTROL!$C$32, $C$9, 100%, $E$9)</f>
        <v>3.8693</v>
      </c>
      <c r="F72" s="9">
        <f>3.8693 * CHOOSE(CONTROL!$C$32, $C$9, 100%, $E$9)</f>
        <v>3.8693</v>
      </c>
      <c r="G72" s="9">
        <f>3.8726 * CHOOSE(CONTROL!$C$32, $C$9, 100%, $E$9)</f>
        <v>3.8725999999999998</v>
      </c>
      <c r="H72" s="9">
        <f>4.2993 * CHOOSE(CONTROL!$C$32, $C$9, 100%, $E$9)</f>
        <v>4.2992999999999997</v>
      </c>
      <c r="I72" s="9">
        <f>4.3025 * CHOOSE(CONTROL!$C$32, $C$9, 100%, $E$9)</f>
        <v>4.3025000000000002</v>
      </c>
      <c r="J72" s="9">
        <f>4.2993 * CHOOSE(CONTROL!$C$32, $C$9, 100%, $E$9)</f>
        <v>4.2992999999999997</v>
      </c>
      <c r="K72" s="9">
        <f>4.3025 * CHOOSE(CONTROL!$C$32, $C$9, 100%, $E$9)</f>
        <v>4.3025000000000002</v>
      </c>
      <c r="L72" s="9">
        <f>3.8693 * CHOOSE(CONTROL!$C$32, $C$9, 100%, $E$9)</f>
        <v>3.8693</v>
      </c>
      <c r="M72" s="9">
        <f>3.8726 * CHOOSE(CONTROL!$C$32, $C$9, 100%, $E$9)</f>
        <v>3.8725999999999998</v>
      </c>
      <c r="N72" s="9">
        <f>3.8693 * CHOOSE(CONTROL!$C$32, $C$9, 100%, $E$9)</f>
        <v>3.8693</v>
      </c>
      <c r="O72" s="9">
        <f>3.8726 * CHOOSE(CONTROL!$C$32, $C$9, 100%, $E$9)</f>
        <v>3.8725999999999998</v>
      </c>
      <c r="P72" s="17"/>
      <c r="Q72" s="17"/>
      <c r="R72" s="17"/>
    </row>
    <row r="73" spans="1:18" ht="15" x14ac:dyDescent="0.2">
      <c r="A73" s="16">
        <v>43070</v>
      </c>
      <c r="B73" s="10">
        <f>2.6709 * CHOOSE(CONTROL!$C$32, $C$9, 100%, $E$9)</f>
        <v>2.6709000000000001</v>
      </c>
      <c r="C73" s="10">
        <f>2.6709 * CHOOSE(CONTROL!$C$32, $C$9, 100%, $E$9)</f>
        <v>2.6709000000000001</v>
      </c>
      <c r="D73" s="10">
        <f>2.6719 * CHOOSE(CONTROL!$C$32, $C$9, 100%, $E$9)</f>
        <v>2.6718999999999999</v>
      </c>
      <c r="E73" s="9">
        <f>3.8693 * CHOOSE(CONTROL!$C$32, $C$9, 100%, $E$9)</f>
        <v>3.8693</v>
      </c>
      <c r="F73" s="9">
        <f>3.8693 * CHOOSE(CONTROL!$C$32, $C$9, 100%, $E$9)</f>
        <v>3.8693</v>
      </c>
      <c r="G73" s="9">
        <f>3.8726 * CHOOSE(CONTROL!$C$32, $C$9, 100%, $E$9)</f>
        <v>3.8725999999999998</v>
      </c>
      <c r="H73" s="9">
        <f>4.2993 * CHOOSE(CONTROL!$C$32, $C$9, 100%, $E$9)</f>
        <v>4.2992999999999997</v>
      </c>
      <c r="I73" s="9">
        <f>4.3025 * CHOOSE(CONTROL!$C$32, $C$9, 100%, $E$9)</f>
        <v>4.3025000000000002</v>
      </c>
      <c r="J73" s="9">
        <f>4.2993 * CHOOSE(CONTROL!$C$32, $C$9, 100%, $E$9)</f>
        <v>4.2992999999999997</v>
      </c>
      <c r="K73" s="9">
        <f>4.3025 * CHOOSE(CONTROL!$C$32, $C$9, 100%, $E$9)</f>
        <v>4.3025000000000002</v>
      </c>
      <c r="L73" s="9">
        <f>3.8693 * CHOOSE(CONTROL!$C$32, $C$9, 100%, $E$9)</f>
        <v>3.8693</v>
      </c>
      <c r="M73" s="9">
        <f>3.8726 * CHOOSE(CONTROL!$C$32, $C$9, 100%, $E$9)</f>
        <v>3.8725999999999998</v>
      </c>
      <c r="N73" s="9">
        <f>3.8693 * CHOOSE(CONTROL!$C$32, $C$9, 100%, $E$9)</f>
        <v>3.8693</v>
      </c>
      <c r="O73" s="9">
        <f>3.8726 * CHOOSE(CONTROL!$C$32, $C$9, 100%, $E$9)</f>
        <v>3.8725999999999998</v>
      </c>
      <c r="P73" s="17"/>
      <c r="Q73" s="17"/>
      <c r="R73" s="17"/>
    </row>
    <row r="74" spans="1:18" ht="15" x14ac:dyDescent="0.2">
      <c r="A74" s="16">
        <v>43101</v>
      </c>
      <c r="B74" s="10">
        <f>2.6913 * CHOOSE(CONTROL!$C$32, $C$9, 100%, $E$9)</f>
        <v>2.6913</v>
      </c>
      <c r="C74" s="10">
        <f>2.6913 * CHOOSE(CONTROL!$C$32, $C$9, 100%, $E$9)</f>
        <v>2.6913</v>
      </c>
      <c r="D74" s="10">
        <f>2.6922 * CHOOSE(CONTROL!$C$32, $C$9, 100%, $E$9)</f>
        <v>2.6922000000000001</v>
      </c>
      <c r="E74" s="9">
        <f>3.8998 * CHOOSE(CONTROL!$C$32, $C$9, 100%, $E$9)</f>
        <v>3.8997999999999999</v>
      </c>
      <c r="F74" s="9">
        <f>3.8998 * CHOOSE(CONTROL!$C$32, $C$9, 100%, $E$9)</f>
        <v>3.8997999999999999</v>
      </c>
      <c r="G74" s="9">
        <f>3.9031 * CHOOSE(CONTROL!$C$32, $C$9, 100%, $E$9)</f>
        <v>3.9030999999999998</v>
      </c>
      <c r="H74" s="9">
        <f>4.3339 * CHOOSE(CONTROL!$C$32, $C$9, 100%, $E$9)</f>
        <v>4.3338999999999999</v>
      </c>
      <c r="I74" s="9">
        <f>4.3371 * CHOOSE(CONTROL!$C$32, $C$9, 100%, $E$9)</f>
        <v>4.3371000000000004</v>
      </c>
      <c r="J74" s="9">
        <f>4.3339 * CHOOSE(CONTROL!$C$32, $C$9, 100%, $E$9)</f>
        <v>4.3338999999999999</v>
      </c>
      <c r="K74" s="9">
        <f>4.3371 * CHOOSE(CONTROL!$C$32, $C$9, 100%, $E$9)</f>
        <v>4.3371000000000004</v>
      </c>
      <c r="L74" s="9">
        <f>3.8998 * CHOOSE(CONTROL!$C$32, $C$9, 100%, $E$9)</f>
        <v>3.8997999999999999</v>
      </c>
      <c r="M74" s="9">
        <f>3.9031 * CHOOSE(CONTROL!$C$32, $C$9, 100%, $E$9)</f>
        <v>3.9030999999999998</v>
      </c>
      <c r="N74" s="9">
        <f>3.8998 * CHOOSE(CONTROL!$C$32, $C$9, 100%, $E$9)</f>
        <v>3.8997999999999999</v>
      </c>
      <c r="O74" s="9">
        <f>3.9031 * CHOOSE(CONTROL!$C$32, $C$9, 100%, $E$9)</f>
        <v>3.9030999999999998</v>
      </c>
      <c r="P74" s="17"/>
      <c r="Q74" s="17"/>
      <c r="R74" s="17"/>
    </row>
    <row r="75" spans="1:18" ht="15" x14ac:dyDescent="0.2">
      <c r="A75" s="16">
        <v>43132</v>
      </c>
      <c r="B75" s="10">
        <f>2.6934 * CHOOSE(CONTROL!$C$32, $C$9, 100%, $E$9)</f>
        <v>2.6934</v>
      </c>
      <c r="C75" s="10">
        <f>2.6934 * CHOOSE(CONTROL!$C$32, $C$9, 100%, $E$9)</f>
        <v>2.6934</v>
      </c>
      <c r="D75" s="10">
        <f>2.6943 * CHOOSE(CONTROL!$C$32, $C$9, 100%, $E$9)</f>
        <v>2.6943000000000001</v>
      </c>
      <c r="E75" s="9">
        <f>3.8978 * CHOOSE(CONTROL!$C$32, $C$9, 100%, $E$9)</f>
        <v>3.8978000000000002</v>
      </c>
      <c r="F75" s="9">
        <f>3.8978 * CHOOSE(CONTROL!$C$32, $C$9, 100%, $E$9)</f>
        <v>3.8978000000000002</v>
      </c>
      <c r="G75" s="9">
        <f>3.9011 * CHOOSE(CONTROL!$C$32, $C$9, 100%, $E$9)</f>
        <v>3.9011</v>
      </c>
      <c r="H75" s="9">
        <f>4.3319 * CHOOSE(CONTROL!$C$32, $C$9, 100%, $E$9)</f>
        <v>4.3319000000000001</v>
      </c>
      <c r="I75" s="9">
        <f>4.3351 * CHOOSE(CONTROL!$C$32, $C$9, 100%, $E$9)</f>
        <v>4.3350999999999997</v>
      </c>
      <c r="J75" s="9">
        <f>4.3319 * CHOOSE(CONTROL!$C$32, $C$9, 100%, $E$9)</f>
        <v>4.3319000000000001</v>
      </c>
      <c r="K75" s="9">
        <f>4.3351 * CHOOSE(CONTROL!$C$32, $C$9, 100%, $E$9)</f>
        <v>4.3350999999999997</v>
      </c>
      <c r="L75" s="9">
        <f>3.8978 * CHOOSE(CONTROL!$C$32, $C$9, 100%, $E$9)</f>
        <v>3.8978000000000002</v>
      </c>
      <c r="M75" s="9">
        <f>3.9011 * CHOOSE(CONTROL!$C$32, $C$9, 100%, $E$9)</f>
        <v>3.9011</v>
      </c>
      <c r="N75" s="9">
        <f>3.8978 * CHOOSE(CONTROL!$C$32, $C$9, 100%, $E$9)</f>
        <v>3.8978000000000002</v>
      </c>
      <c r="O75" s="9">
        <f>3.9011 * CHOOSE(CONTROL!$C$32, $C$9, 100%, $E$9)</f>
        <v>3.9011</v>
      </c>
      <c r="P75" s="17"/>
      <c r="Q75" s="17"/>
      <c r="R75" s="17"/>
    </row>
    <row r="76" spans="1:18" ht="15" x14ac:dyDescent="0.2">
      <c r="A76" s="16">
        <v>43160</v>
      </c>
      <c r="B76" s="10">
        <f>2.6901 * CHOOSE(CONTROL!$C$32, $C$9, 100%, $E$9)</f>
        <v>2.6901000000000002</v>
      </c>
      <c r="C76" s="10">
        <f>2.6901 * CHOOSE(CONTROL!$C$32, $C$9, 100%, $E$9)</f>
        <v>2.6901000000000002</v>
      </c>
      <c r="D76" s="10">
        <f>2.6911 * CHOOSE(CONTROL!$C$32, $C$9, 100%, $E$9)</f>
        <v>2.6911</v>
      </c>
      <c r="E76" s="9">
        <f>3.8958 * CHOOSE(CONTROL!$C$32, $C$9, 100%, $E$9)</f>
        <v>3.8957999999999999</v>
      </c>
      <c r="F76" s="9">
        <f>3.8958 * CHOOSE(CONTROL!$C$32, $C$9, 100%, $E$9)</f>
        <v>3.8957999999999999</v>
      </c>
      <c r="G76" s="9">
        <f>3.8991 * CHOOSE(CONTROL!$C$32, $C$9, 100%, $E$9)</f>
        <v>3.8990999999999998</v>
      </c>
      <c r="H76" s="9">
        <f>4.3299 * CHOOSE(CONTROL!$C$32, $C$9, 100%, $E$9)</f>
        <v>4.3299000000000003</v>
      </c>
      <c r="I76" s="9">
        <f>4.3331 * CHOOSE(CONTROL!$C$32, $C$9, 100%, $E$9)</f>
        <v>4.3331</v>
      </c>
      <c r="J76" s="9">
        <f>4.3299 * CHOOSE(CONTROL!$C$32, $C$9, 100%, $E$9)</f>
        <v>4.3299000000000003</v>
      </c>
      <c r="K76" s="9">
        <f>4.3331 * CHOOSE(CONTROL!$C$32, $C$9, 100%, $E$9)</f>
        <v>4.3331</v>
      </c>
      <c r="L76" s="9">
        <f>3.8958 * CHOOSE(CONTROL!$C$32, $C$9, 100%, $E$9)</f>
        <v>3.8957999999999999</v>
      </c>
      <c r="M76" s="9">
        <f>3.8991 * CHOOSE(CONTROL!$C$32, $C$9, 100%, $E$9)</f>
        <v>3.8990999999999998</v>
      </c>
      <c r="N76" s="9">
        <f>3.8958 * CHOOSE(CONTROL!$C$32, $C$9, 100%, $E$9)</f>
        <v>3.8957999999999999</v>
      </c>
      <c r="O76" s="9">
        <f>3.8991 * CHOOSE(CONTROL!$C$32, $C$9, 100%, $E$9)</f>
        <v>3.8990999999999998</v>
      </c>
      <c r="P76" s="17"/>
      <c r="Q76" s="17"/>
      <c r="R76" s="17"/>
    </row>
    <row r="77" spans="1:18" ht="15" x14ac:dyDescent="0.2">
      <c r="A77" s="16">
        <v>43191</v>
      </c>
      <c r="B77" s="10">
        <f>2.684 * CHOOSE(CONTROL!$C$32, $C$9, 100%, $E$9)</f>
        <v>2.6840000000000002</v>
      </c>
      <c r="C77" s="10">
        <f>2.684 * CHOOSE(CONTROL!$C$32, $C$9, 100%, $E$9)</f>
        <v>2.6840000000000002</v>
      </c>
      <c r="D77" s="10">
        <f>2.685 * CHOOSE(CONTROL!$C$32, $C$9, 100%, $E$9)</f>
        <v>2.6850000000000001</v>
      </c>
      <c r="E77" s="9">
        <f>3.8933 * CHOOSE(CONTROL!$C$32, $C$9, 100%, $E$9)</f>
        <v>3.8933</v>
      </c>
      <c r="F77" s="9">
        <f>3.8933 * CHOOSE(CONTROL!$C$32, $C$9, 100%, $E$9)</f>
        <v>3.8933</v>
      </c>
      <c r="G77" s="9">
        <f>3.8966 * CHOOSE(CONTROL!$C$32, $C$9, 100%, $E$9)</f>
        <v>3.8965999999999998</v>
      </c>
      <c r="H77" s="9">
        <f>4.3279 * CHOOSE(CONTROL!$C$32, $C$9, 100%, $E$9)</f>
        <v>4.3278999999999996</v>
      </c>
      <c r="I77" s="9">
        <f>4.3312 * CHOOSE(CONTROL!$C$32, $C$9, 100%, $E$9)</f>
        <v>4.3311999999999999</v>
      </c>
      <c r="J77" s="9">
        <f>4.3279 * CHOOSE(CONTROL!$C$32, $C$9, 100%, $E$9)</f>
        <v>4.3278999999999996</v>
      </c>
      <c r="K77" s="9">
        <f>4.3312 * CHOOSE(CONTROL!$C$32, $C$9, 100%, $E$9)</f>
        <v>4.3311999999999999</v>
      </c>
      <c r="L77" s="9">
        <f>3.8933 * CHOOSE(CONTROL!$C$32, $C$9, 100%, $E$9)</f>
        <v>3.8933</v>
      </c>
      <c r="M77" s="9">
        <f>3.8966 * CHOOSE(CONTROL!$C$32, $C$9, 100%, $E$9)</f>
        <v>3.8965999999999998</v>
      </c>
      <c r="N77" s="9">
        <f>3.8933 * CHOOSE(CONTROL!$C$32, $C$9, 100%, $E$9)</f>
        <v>3.8933</v>
      </c>
      <c r="O77" s="9">
        <f>3.8966 * CHOOSE(CONTROL!$C$32, $C$9, 100%, $E$9)</f>
        <v>3.8965999999999998</v>
      </c>
      <c r="P77" s="17"/>
      <c r="Q77" s="17"/>
      <c r="R77" s="17"/>
    </row>
    <row r="78" spans="1:18" ht="15" x14ac:dyDescent="0.2">
      <c r="A78" s="16">
        <v>43221</v>
      </c>
      <c r="B78" s="10">
        <f>2.689 * CHOOSE(CONTROL!$C$32, $C$9, 100%, $E$9)</f>
        <v>2.6890000000000001</v>
      </c>
      <c r="C78" s="10">
        <f>2.689 * CHOOSE(CONTROL!$C$32, $C$9, 100%, $E$9)</f>
        <v>2.6890000000000001</v>
      </c>
      <c r="D78" s="10">
        <f>2.6903 * CHOOSE(CONTROL!$C$32, $C$9, 100%, $E$9)</f>
        <v>2.6903000000000001</v>
      </c>
      <c r="E78" s="9">
        <f>3.8933 * CHOOSE(CONTROL!$C$32, $C$9, 100%, $E$9)</f>
        <v>3.8933</v>
      </c>
      <c r="F78" s="9">
        <f>3.8933 * CHOOSE(CONTROL!$C$32, $C$9, 100%, $E$9)</f>
        <v>3.8933</v>
      </c>
      <c r="G78" s="9">
        <f>3.8975 * CHOOSE(CONTROL!$C$32, $C$9, 100%, $E$9)</f>
        <v>3.8975</v>
      </c>
      <c r="H78" s="9">
        <f>4.3279 * CHOOSE(CONTROL!$C$32, $C$9, 100%, $E$9)</f>
        <v>4.3278999999999996</v>
      </c>
      <c r="I78" s="9">
        <f>4.3321 * CHOOSE(CONTROL!$C$32, $C$9, 100%, $E$9)</f>
        <v>4.3320999999999996</v>
      </c>
      <c r="J78" s="9">
        <f>4.3279 * CHOOSE(CONTROL!$C$32, $C$9, 100%, $E$9)</f>
        <v>4.3278999999999996</v>
      </c>
      <c r="K78" s="9">
        <f>4.3321 * CHOOSE(CONTROL!$C$32, $C$9, 100%, $E$9)</f>
        <v>4.3320999999999996</v>
      </c>
      <c r="L78" s="9">
        <f>3.8933 * CHOOSE(CONTROL!$C$32, $C$9, 100%, $E$9)</f>
        <v>3.8933</v>
      </c>
      <c r="M78" s="9">
        <f>3.8975 * CHOOSE(CONTROL!$C$32, $C$9, 100%, $E$9)</f>
        <v>3.8975</v>
      </c>
      <c r="N78" s="9">
        <f>3.8933 * CHOOSE(CONTROL!$C$32, $C$9, 100%, $E$9)</f>
        <v>3.8933</v>
      </c>
      <c r="O78" s="9">
        <f>3.8975 * CHOOSE(CONTROL!$C$32, $C$9, 100%, $E$9)</f>
        <v>3.8975</v>
      </c>
      <c r="P78" s="17"/>
      <c r="Q78" s="17"/>
      <c r="R78" s="17"/>
    </row>
    <row r="79" spans="1:18" ht="15" x14ac:dyDescent="0.2">
      <c r="A79" s="16">
        <v>43252</v>
      </c>
      <c r="B79" s="10">
        <f>2.6949 * CHOOSE(CONTROL!$C$32, $C$9, 100%, $E$9)</f>
        <v>2.6949000000000001</v>
      </c>
      <c r="C79" s="10">
        <f>2.6949 * CHOOSE(CONTROL!$C$32, $C$9, 100%, $E$9)</f>
        <v>2.6949000000000001</v>
      </c>
      <c r="D79" s="10">
        <f>2.6961 * CHOOSE(CONTROL!$C$32, $C$9, 100%, $E$9)</f>
        <v>2.6960999999999999</v>
      </c>
      <c r="E79" s="9">
        <f>3.8973 * CHOOSE(CONTROL!$C$32, $C$9, 100%, $E$9)</f>
        <v>3.8973</v>
      </c>
      <c r="F79" s="9">
        <f>3.8973 * CHOOSE(CONTROL!$C$32, $C$9, 100%, $E$9)</f>
        <v>3.8973</v>
      </c>
      <c r="G79" s="9">
        <f>3.9015 * CHOOSE(CONTROL!$C$32, $C$9, 100%, $E$9)</f>
        <v>3.9015</v>
      </c>
      <c r="H79" s="9">
        <f>4.3319 * CHOOSE(CONTROL!$C$32, $C$9, 100%, $E$9)</f>
        <v>4.3319000000000001</v>
      </c>
      <c r="I79" s="9">
        <f>4.3361 * CHOOSE(CONTROL!$C$32, $C$9, 100%, $E$9)</f>
        <v>4.3361000000000001</v>
      </c>
      <c r="J79" s="9">
        <f>4.3319 * CHOOSE(CONTROL!$C$32, $C$9, 100%, $E$9)</f>
        <v>4.3319000000000001</v>
      </c>
      <c r="K79" s="9">
        <f>4.3361 * CHOOSE(CONTROL!$C$32, $C$9, 100%, $E$9)</f>
        <v>4.3361000000000001</v>
      </c>
      <c r="L79" s="9">
        <f>3.8973 * CHOOSE(CONTROL!$C$32, $C$9, 100%, $E$9)</f>
        <v>3.8973</v>
      </c>
      <c r="M79" s="9">
        <f>3.9015 * CHOOSE(CONTROL!$C$32, $C$9, 100%, $E$9)</f>
        <v>3.9015</v>
      </c>
      <c r="N79" s="9">
        <f>3.8973 * CHOOSE(CONTROL!$C$32, $C$9, 100%, $E$9)</f>
        <v>3.8973</v>
      </c>
      <c r="O79" s="9">
        <f>3.9015 * CHOOSE(CONTROL!$C$32, $C$9, 100%, $E$9)</f>
        <v>3.9015</v>
      </c>
      <c r="P79" s="17"/>
      <c r="Q79" s="17"/>
      <c r="R79" s="17"/>
    </row>
    <row r="80" spans="1:18" ht="15" x14ac:dyDescent="0.2">
      <c r="A80" s="16">
        <v>43282</v>
      </c>
      <c r="B80" s="10">
        <f>2.7088 * CHOOSE(CONTROL!$C$32, $C$9, 100%, $E$9)</f>
        <v>2.7088000000000001</v>
      </c>
      <c r="C80" s="10">
        <f>2.7088 * CHOOSE(CONTROL!$C$32, $C$9, 100%, $E$9)</f>
        <v>2.7088000000000001</v>
      </c>
      <c r="D80" s="10">
        <f>2.7101 * CHOOSE(CONTROL!$C$32, $C$9, 100%, $E$9)</f>
        <v>2.7101000000000002</v>
      </c>
      <c r="E80" s="9">
        <f>3.9634 * CHOOSE(CONTROL!$C$32, $C$9, 100%, $E$9)</f>
        <v>3.9634</v>
      </c>
      <c r="F80" s="9">
        <f>3.9634 * CHOOSE(CONTROL!$C$32, $C$9, 100%, $E$9)</f>
        <v>3.9634</v>
      </c>
      <c r="G80" s="9">
        <f>3.9676 * CHOOSE(CONTROL!$C$32, $C$9, 100%, $E$9)</f>
        <v>3.9676</v>
      </c>
      <c r="H80" s="9">
        <f>4.4041 * CHOOSE(CONTROL!$C$32, $C$9, 100%, $E$9)</f>
        <v>4.4040999999999997</v>
      </c>
      <c r="I80" s="9">
        <f>4.4083 * CHOOSE(CONTROL!$C$32, $C$9, 100%, $E$9)</f>
        <v>4.4082999999999997</v>
      </c>
      <c r="J80" s="9">
        <f>4.4041 * CHOOSE(CONTROL!$C$32, $C$9, 100%, $E$9)</f>
        <v>4.4040999999999997</v>
      </c>
      <c r="K80" s="9">
        <f>4.4083 * CHOOSE(CONTROL!$C$32, $C$9, 100%, $E$9)</f>
        <v>4.4082999999999997</v>
      </c>
      <c r="L80" s="9">
        <f>3.9634 * CHOOSE(CONTROL!$C$32, $C$9, 100%, $E$9)</f>
        <v>3.9634</v>
      </c>
      <c r="M80" s="9">
        <f>3.9676 * CHOOSE(CONTROL!$C$32, $C$9, 100%, $E$9)</f>
        <v>3.9676</v>
      </c>
      <c r="N80" s="9">
        <f>3.9634 * CHOOSE(CONTROL!$C$32, $C$9, 100%, $E$9)</f>
        <v>3.9634</v>
      </c>
      <c r="O80" s="9">
        <f>3.9676 * CHOOSE(CONTROL!$C$32, $C$9, 100%, $E$9)</f>
        <v>3.9676</v>
      </c>
      <c r="P80" s="17"/>
      <c r="Q80" s="17"/>
      <c r="R80" s="17"/>
    </row>
    <row r="81" spans="1:18" ht="15" x14ac:dyDescent="0.2">
      <c r="A81" s="16">
        <v>43313</v>
      </c>
      <c r="B81" s="10">
        <f>2.7205 * CHOOSE(CONTROL!$C$32, $C$9, 100%, $E$9)</f>
        <v>2.7204999999999999</v>
      </c>
      <c r="C81" s="10">
        <f>2.7205 * CHOOSE(CONTROL!$C$32, $C$9, 100%, $E$9)</f>
        <v>2.7204999999999999</v>
      </c>
      <c r="D81" s="10">
        <f>2.7218 * CHOOSE(CONTROL!$C$32, $C$9, 100%, $E$9)</f>
        <v>2.7218</v>
      </c>
      <c r="E81" s="9">
        <f>3.9678 * CHOOSE(CONTROL!$C$32, $C$9, 100%, $E$9)</f>
        <v>3.9678</v>
      </c>
      <c r="F81" s="9">
        <f>3.9678 * CHOOSE(CONTROL!$C$32, $C$9, 100%, $E$9)</f>
        <v>3.9678</v>
      </c>
      <c r="G81" s="9">
        <f>3.972 * CHOOSE(CONTROL!$C$32, $C$9, 100%, $E$9)</f>
        <v>3.972</v>
      </c>
      <c r="H81" s="9">
        <f>4.4085 * CHOOSE(CONTROL!$C$32, $C$9, 100%, $E$9)</f>
        <v>4.4085000000000001</v>
      </c>
      <c r="I81" s="9">
        <f>4.4127 * CHOOSE(CONTROL!$C$32, $C$9, 100%, $E$9)</f>
        <v>4.4127000000000001</v>
      </c>
      <c r="J81" s="9">
        <f>4.4085 * CHOOSE(CONTROL!$C$32, $C$9, 100%, $E$9)</f>
        <v>4.4085000000000001</v>
      </c>
      <c r="K81" s="9">
        <f>4.4127 * CHOOSE(CONTROL!$C$32, $C$9, 100%, $E$9)</f>
        <v>4.4127000000000001</v>
      </c>
      <c r="L81" s="9">
        <f>3.9678 * CHOOSE(CONTROL!$C$32, $C$9, 100%, $E$9)</f>
        <v>3.9678</v>
      </c>
      <c r="M81" s="9">
        <f>3.972 * CHOOSE(CONTROL!$C$32, $C$9, 100%, $E$9)</f>
        <v>3.972</v>
      </c>
      <c r="N81" s="9">
        <f>3.9678 * CHOOSE(CONTROL!$C$32, $C$9, 100%, $E$9)</f>
        <v>3.9678</v>
      </c>
      <c r="O81" s="9">
        <f>3.972 * CHOOSE(CONTROL!$C$32, $C$9, 100%, $E$9)</f>
        <v>3.972</v>
      </c>
      <c r="P81" s="17"/>
      <c r="Q81" s="17"/>
      <c r="R81" s="17"/>
    </row>
    <row r="82" spans="1:18" ht="15" x14ac:dyDescent="0.2">
      <c r="A82" s="16">
        <v>43344</v>
      </c>
      <c r="B82" s="10">
        <f>2.7172 * CHOOSE(CONTROL!$C$32, $C$9, 100%, $E$9)</f>
        <v>2.7172000000000001</v>
      </c>
      <c r="C82" s="10">
        <f>2.7172 * CHOOSE(CONTROL!$C$32, $C$9, 100%, $E$9)</f>
        <v>2.7172000000000001</v>
      </c>
      <c r="D82" s="10">
        <f>2.7185 * CHOOSE(CONTROL!$C$32, $C$9, 100%, $E$9)</f>
        <v>2.7185000000000001</v>
      </c>
      <c r="E82" s="9">
        <f>3.9658 * CHOOSE(CONTROL!$C$32, $C$9, 100%, $E$9)</f>
        <v>3.9658000000000002</v>
      </c>
      <c r="F82" s="9">
        <f>3.9658 * CHOOSE(CONTROL!$C$32, $C$9, 100%, $E$9)</f>
        <v>3.9658000000000002</v>
      </c>
      <c r="G82" s="9">
        <f>3.97 * CHOOSE(CONTROL!$C$32, $C$9, 100%, $E$9)</f>
        <v>3.97</v>
      </c>
      <c r="H82" s="9">
        <f>4.4065 * CHOOSE(CONTROL!$C$32, $C$9, 100%, $E$9)</f>
        <v>4.4065000000000003</v>
      </c>
      <c r="I82" s="9">
        <f>4.4107 * CHOOSE(CONTROL!$C$32, $C$9, 100%, $E$9)</f>
        <v>4.4107000000000003</v>
      </c>
      <c r="J82" s="9">
        <f>4.4065 * CHOOSE(CONTROL!$C$32, $C$9, 100%, $E$9)</f>
        <v>4.4065000000000003</v>
      </c>
      <c r="K82" s="9">
        <f>4.4107 * CHOOSE(CONTROL!$C$32, $C$9, 100%, $E$9)</f>
        <v>4.4107000000000003</v>
      </c>
      <c r="L82" s="9">
        <f>3.9658 * CHOOSE(CONTROL!$C$32, $C$9, 100%, $E$9)</f>
        <v>3.9658000000000002</v>
      </c>
      <c r="M82" s="9">
        <f>3.97 * CHOOSE(CONTROL!$C$32, $C$9, 100%, $E$9)</f>
        <v>3.97</v>
      </c>
      <c r="N82" s="9">
        <f>3.9658 * CHOOSE(CONTROL!$C$32, $C$9, 100%, $E$9)</f>
        <v>3.9658000000000002</v>
      </c>
      <c r="O82" s="9">
        <f>3.97 * CHOOSE(CONTROL!$C$32, $C$9, 100%, $E$9)</f>
        <v>3.97</v>
      </c>
      <c r="P82" s="17"/>
      <c r="Q82" s="17"/>
      <c r="R82" s="17"/>
    </row>
    <row r="83" spans="1:18" ht="15" x14ac:dyDescent="0.2">
      <c r="A83" s="16">
        <v>43374</v>
      </c>
      <c r="B83" s="10">
        <f>2.698 * CHOOSE(CONTROL!$C$32, $C$9, 100%, $E$9)</f>
        <v>2.698</v>
      </c>
      <c r="C83" s="10">
        <f>2.698 * CHOOSE(CONTROL!$C$32, $C$9, 100%, $E$9)</f>
        <v>2.698</v>
      </c>
      <c r="D83" s="10">
        <f>2.6989 * CHOOSE(CONTROL!$C$32, $C$9, 100%, $E$9)</f>
        <v>2.6989000000000001</v>
      </c>
      <c r="E83" s="9">
        <f>3.959 * CHOOSE(CONTROL!$C$32, $C$9, 100%, $E$9)</f>
        <v>3.9590000000000001</v>
      </c>
      <c r="F83" s="9">
        <f>3.959 * CHOOSE(CONTROL!$C$32, $C$9, 100%, $E$9)</f>
        <v>3.9590000000000001</v>
      </c>
      <c r="G83" s="9">
        <f>3.9622 * CHOOSE(CONTROL!$C$32, $C$9, 100%, $E$9)</f>
        <v>3.9622000000000002</v>
      </c>
      <c r="H83" s="9">
        <f>4.4019 * CHOOSE(CONTROL!$C$32, $C$9, 100%, $E$9)</f>
        <v>4.4019000000000004</v>
      </c>
      <c r="I83" s="9">
        <f>4.4052 * CHOOSE(CONTROL!$C$32, $C$9, 100%, $E$9)</f>
        <v>4.4051999999999998</v>
      </c>
      <c r="J83" s="9">
        <f>4.4019 * CHOOSE(CONTROL!$C$32, $C$9, 100%, $E$9)</f>
        <v>4.4019000000000004</v>
      </c>
      <c r="K83" s="9">
        <f>4.4052 * CHOOSE(CONTROL!$C$32, $C$9, 100%, $E$9)</f>
        <v>4.4051999999999998</v>
      </c>
      <c r="L83" s="9">
        <f>3.959 * CHOOSE(CONTROL!$C$32, $C$9, 100%, $E$9)</f>
        <v>3.9590000000000001</v>
      </c>
      <c r="M83" s="9">
        <f>3.9622 * CHOOSE(CONTROL!$C$32, $C$9, 100%, $E$9)</f>
        <v>3.9622000000000002</v>
      </c>
      <c r="N83" s="9">
        <f>3.959 * CHOOSE(CONTROL!$C$32, $C$9, 100%, $E$9)</f>
        <v>3.9590000000000001</v>
      </c>
      <c r="O83" s="9">
        <f>3.9622 * CHOOSE(CONTROL!$C$32, $C$9, 100%, $E$9)</f>
        <v>3.9622000000000002</v>
      </c>
      <c r="P83" s="17"/>
      <c r="Q83" s="17"/>
      <c r="R83" s="17"/>
    </row>
    <row r="84" spans="1:18" ht="15" x14ac:dyDescent="0.2">
      <c r="A84" s="16">
        <v>43405</v>
      </c>
      <c r="B84" s="10">
        <f>2.7061 * CHOOSE(CONTROL!$C$32, $C$9, 100%, $E$9)</f>
        <v>2.7061000000000002</v>
      </c>
      <c r="C84" s="10">
        <f>2.7061 * CHOOSE(CONTROL!$C$32, $C$9, 100%, $E$9)</f>
        <v>2.7061000000000002</v>
      </c>
      <c r="D84" s="10">
        <f>2.707 * CHOOSE(CONTROL!$C$32, $C$9, 100%, $E$9)</f>
        <v>2.7069999999999999</v>
      </c>
      <c r="E84" s="9">
        <f>3.961 * CHOOSE(CONTROL!$C$32, $C$9, 100%, $E$9)</f>
        <v>3.9609999999999999</v>
      </c>
      <c r="F84" s="9">
        <f>3.961 * CHOOSE(CONTROL!$C$32, $C$9, 100%, $E$9)</f>
        <v>3.9609999999999999</v>
      </c>
      <c r="G84" s="9">
        <f>3.9642 * CHOOSE(CONTROL!$C$32, $C$9, 100%, $E$9)</f>
        <v>3.9641999999999999</v>
      </c>
      <c r="H84" s="9">
        <f>4.4039 * CHOOSE(CONTROL!$C$32, $C$9, 100%, $E$9)</f>
        <v>4.4039000000000001</v>
      </c>
      <c r="I84" s="9">
        <f>4.4072 * CHOOSE(CONTROL!$C$32, $C$9, 100%, $E$9)</f>
        <v>4.4071999999999996</v>
      </c>
      <c r="J84" s="9">
        <f>4.4039 * CHOOSE(CONTROL!$C$32, $C$9, 100%, $E$9)</f>
        <v>4.4039000000000001</v>
      </c>
      <c r="K84" s="9">
        <f>4.4072 * CHOOSE(CONTROL!$C$32, $C$9, 100%, $E$9)</f>
        <v>4.4071999999999996</v>
      </c>
      <c r="L84" s="9">
        <f>3.961 * CHOOSE(CONTROL!$C$32, $C$9, 100%, $E$9)</f>
        <v>3.9609999999999999</v>
      </c>
      <c r="M84" s="9">
        <f>3.9642 * CHOOSE(CONTROL!$C$32, $C$9, 100%, $E$9)</f>
        <v>3.9641999999999999</v>
      </c>
      <c r="N84" s="9">
        <f>3.961 * CHOOSE(CONTROL!$C$32, $C$9, 100%, $E$9)</f>
        <v>3.9609999999999999</v>
      </c>
      <c r="O84" s="9">
        <f>3.9642 * CHOOSE(CONTROL!$C$32, $C$9, 100%, $E$9)</f>
        <v>3.9641999999999999</v>
      </c>
      <c r="P84" s="17"/>
      <c r="Q84" s="17"/>
      <c r="R84" s="17"/>
    </row>
    <row r="85" spans="1:18" ht="15" x14ac:dyDescent="0.2">
      <c r="A85" s="16">
        <v>43435</v>
      </c>
      <c r="B85" s="10">
        <f>2.7058 * CHOOSE(CONTROL!$C$32, $C$9, 100%, $E$9)</f>
        <v>2.7058</v>
      </c>
      <c r="C85" s="10">
        <f>2.7058 * CHOOSE(CONTROL!$C$32, $C$9, 100%, $E$9)</f>
        <v>2.7058</v>
      </c>
      <c r="D85" s="10">
        <f>2.7067 * CHOOSE(CONTROL!$C$32, $C$9, 100%, $E$9)</f>
        <v>2.7067000000000001</v>
      </c>
      <c r="E85" s="9">
        <f>3.961 * CHOOSE(CONTROL!$C$32, $C$9, 100%, $E$9)</f>
        <v>3.9609999999999999</v>
      </c>
      <c r="F85" s="9">
        <f>3.961 * CHOOSE(CONTROL!$C$32, $C$9, 100%, $E$9)</f>
        <v>3.9609999999999999</v>
      </c>
      <c r="G85" s="9">
        <f>3.9642 * CHOOSE(CONTROL!$C$32, $C$9, 100%, $E$9)</f>
        <v>3.9641999999999999</v>
      </c>
      <c r="H85" s="9">
        <f>4.4039 * CHOOSE(CONTROL!$C$32, $C$9, 100%, $E$9)</f>
        <v>4.4039000000000001</v>
      </c>
      <c r="I85" s="9">
        <f>4.4072 * CHOOSE(CONTROL!$C$32, $C$9, 100%, $E$9)</f>
        <v>4.4071999999999996</v>
      </c>
      <c r="J85" s="9">
        <f>4.4039 * CHOOSE(CONTROL!$C$32, $C$9, 100%, $E$9)</f>
        <v>4.4039000000000001</v>
      </c>
      <c r="K85" s="9">
        <f>4.4072 * CHOOSE(CONTROL!$C$32, $C$9, 100%, $E$9)</f>
        <v>4.4071999999999996</v>
      </c>
      <c r="L85" s="9">
        <f>3.961 * CHOOSE(CONTROL!$C$32, $C$9, 100%, $E$9)</f>
        <v>3.9609999999999999</v>
      </c>
      <c r="M85" s="9">
        <f>3.9642 * CHOOSE(CONTROL!$C$32, $C$9, 100%, $E$9)</f>
        <v>3.9641999999999999</v>
      </c>
      <c r="N85" s="9">
        <f>3.961 * CHOOSE(CONTROL!$C$32, $C$9, 100%, $E$9)</f>
        <v>3.9609999999999999</v>
      </c>
      <c r="O85" s="9">
        <f>3.9642 * CHOOSE(CONTROL!$C$32, $C$9, 100%, $E$9)</f>
        <v>3.9641999999999999</v>
      </c>
      <c r="P85" s="17"/>
      <c r="Q85" s="17"/>
      <c r="R85" s="17"/>
    </row>
    <row r="86" spans="1:18" ht="15" x14ac:dyDescent="0.2">
      <c r="A86" s="16">
        <v>43466</v>
      </c>
      <c r="B86" s="10">
        <f>3.5916 * CHOOSE(CONTROL!$C$32, $C$9, 100%, $E$9)</f>
        <v>3.5916000000000001</v>
      </c>
      <c r="C86" s="10">
        <f>3.5916 * CHOOSE(CONTROL!$C$32, $C$9, 100%, $E$9)</f>
        <v>3.5916000000000001</v>
      </c>
      <c r="D86" s="10">
        <f>3.5926 * CHOOSE(CONTROL!$C$32, $C$9, 100%, $E$9)</f>
        <v>3.5926</v>
      </c>
      <c r="E86" s="9">
        <f>4.003 * CHOOSE(CONTROL!$C$32, $C$9, 100%, $E$9)</f>
        <v>4.0030000000000001</v>
      </c>
      <c r="F86" s="9">
        <f>4.003 * CHOOSE(CONTROL!$C$32, $C$9, 100%, $E$9)</f>
        <v>4.0030000000000001</v>
      </c>
      <c r="G86" s="9">
        <f>4.0062 * CHOOSE(CONTROL!$C$32, $C$9, 100%, $E$9)</f>
        <v>4.0061999999999998</v>
      </c>
      <c r="H86" s="9">
        <f>4.4495 * CHOOSE(CONTROL!$C$32, $C$9, 100%, $E$9)</f>
        <v>4.4494999999999996</v>
      </c>
      <c r="I86" s="9">
        <f>4.4527 * CHOOSE(CONTROL!$C$32, $C$9, 100%, $E$9)</f>
        <v>4.4527000000000001</v>
      </c>
      <c r="J86" s="9">
        <f>4.4495 * CHOOSE(CONTROL!$C$32, $C$9, 100%, $E$9)</f>
        <v>4.4494999999999996</v>
      </c>
      <c r="K86" s="9">
        <f>4.4527 * CHOOSE(CONTROL!$C$32, $C$9, 100%, $E$9)</f>
        <v>4.4527000000000001</v>
      </c>
      <c r="L86" s="9">
        <f>4.003 * CHOOSE(CONTROL!$C$32, $C$9, 100%, $E$9)</f>
        <v>4.0030000000000001</v>
      </c>
      <c r="M86" s="9">
        <f>4.0062 * CHOOSE(CONTROL!$C$32, $C$9, 100%, $E$9)</f>
        <v>4.0061999999999998</v>
      </c>
      <c r="N86" s="9">
        <f>4.003 * CHOOSE(CONTROL!$C$32, $C$9, 100%, $E$9)</f>
        <v>4.0030000000000001</v>
      </c>
      <c r="O86" s="9">
        <f>4.0062 * CHOOSE(CONTROL!$C$32, $C$9, 100%, $E$9)</f>
        <v>4.0061999999999998</v>
      </c>
      <c r="P86" s="17"/>
      <c r="Q86" s="17"/>
      <c r="R86" s="17"/>
    </row>
    <row r="87" spans="1:18" ht="15" x14ac:dyDescent="0.2">
      <c r="A87" s="16">
        <v>43497</v>
      </c>
      <c r="B87" s="10">
        <f>3.5886 * CHOOSE(CONTROL!$C$32, $C$9, 100%, $E$9)</f>
        <v>3.5886</v>
      </c>
      <c r="C87" s="10">
        <f>3.5886 * CHOOSE(CONTROL!$C$32, $C$9, 100%, $E$9)</f>
        <v>3.5886</v>
      </c>
      <c r="D87" s="10">
        <f>3.5895 * CHOOSE(CONTROL!$C$32, $C$9, 100%, $E$9)</f>
        <v>3.5895000000000001</v>
      </c>
      <c r="E87" s="9">
        <f>4.2325 * CHOOSE(CONTROL!$C$32, $C$9, 100%, $E$9)</f>
        <v>4.2324999999999999</v>
      </c>
      <c r="F87" s="9">
        <f>4.2325 * CHOOSE(CONTROL!$C$32, $C$9, 100%, $E$9)</f>
        <v>4.2324999999999999</v>
      </c>
      <c r="G87" s="9">
        <f>4.2357 * CHOOSE(CONTROL!$C$32, $C$9, 100%, $E$9)</f>
        <v>4.2356999999999996</v>
      </c>
      <c r="H87" s="9">
        <f>4.4475 * CHOOSE(CONTROL!$C$32, $C$9, 100%, $E$9)</f>
        <v>4.4474999999999998</v>
      </c>
      <c r="I87" s="9">
        <f>4.4507 * CHOOSE(CONTROL!$C$32, $C$9, 100%, $E$9)</f>
        <v>4.4507000000000003</v>
      </c>
      <c r="J87" s="9">
        <f>4.4475 * CHOOSE(CONTROL!$C$32, $C$9, 100%, $E$9)</f>
        <v>4.4474999999999998</v>
      </c>
      <c r="K87" s="9">
        <f>4.4507 * CHOOSE(CONTROL!$C$32, $C$9, 100%, $E$9)</f>
        <v>4.4507000000000003</v>
      </c>
      <c r="L87" s="9">
        <f>4.2325 * CHOOSE(CONTROL!$C$32, $C$9, 100%, $E$9)</f>
        <v>4.2324999999999999</v>
      </c>
      <c r="M87" s="9">
        <f>4.2357 * CHOOSE(CONTROL!$C$32, $C$9, 100%, $E$9)</f>
        <v>4.2356999999999996</v>
      </c>
      <c r="N87" s="9">
        <f>4.2325 * CHOOSE(CONTROL!$C$32, $C$9, 100%, $E$9)</f>
        <v>4.2324999999999999</v>
      </c>
      <c r="O87" s="9">
        <f>4.2357 * CHOOSE(CONTROL!$C$32, $C$9, 100%, $E$9)</f>
        <v>4.2356999999999996</v>
      </c>
      <c r="P87" s="17"/>
      <c r="Q87" s="17"/>
      <c r="R87" s="17"/>
    </row>
    <row r="88" spans="1:18" ht="15" x14ac:dyDescent="0.2">
      <c r="A88" s="16">
        <v>43525</v>
      </c>
      <c r="B88" s="10">
        <f>3.5855 * CHOOSE(CONTROL!$C$32, $C$9, 100%, $E$9)</f>
        <v>3.5855000000000001</v>
      </c>
      <c r="C88" s="10">
        <f>3.5855 * CHOOSE(CONTROL!$C$32, $C$9, 100%, $E$9)</f>
        <v>3.5855000000000001</v>
      </c>
      <c r="D88" s="10">
        <f>3.5865 * CHOOSE(CONTROL!$C$32, $C$9, 100%, $E$9)</f>
        <v>3.5865</v>
      </c>
      <c r="E88" s="9">
        <f>3.999 * CHOOSE(CONTROL!$C$32, $C$9, 100%, $E$9)</f>
        <v>3.9990000000000001</v>
      </c>
      <c r="F88" s="9">
        <f>3.999 * CHOOSE(CONTROL!$C$32, $C$9, 100%, $E$9)</f>
        <v>3.9990000000000001</v>
      </c>
      <c r="G88" s="9">
        <f>4.0022 * CHOOSE(CONTROL!$C$32, $C$9, 100%, $E$9)</f>
        <v>4.0022000000000002</v>
      </c>
      <c r="H88" s="9">
        <f>4.4455 * CHOOSE(CONTROL!$C$32, $C$9, 100%, $E$9)</f>
        <v>4.4455</v>
      </c>
      <c r="I88" s="9">
        <f>4.4487 * CHOOSE(CONTROL!$C$32, $C$9, 100%, $E$9)</f>
        <v>4.4486999999999997</v>
      </c>
      <c r="J88" s="9">
        <f>4.4455 * CHOOSE(CONTROL!$C$32, $C$9, 100%, $E$9)</f>
        <v>4.4455</v>
      </c>
      <c r="K88" s="9">
        <f>4.4487 * CHOOSE(CONTROL!$C$32, $C$9, 100%, $E$9)</f>
        <v>4.4486999999999997</v>
      </c>
      <c r="L88" s="9">
        <f>3.999 * CHOOSE(CONTROL!$C$32, $C$9, 100%, $E$9)</f>
        <v>3.9990000000000001</v>
      </c>
      <c r="M88" s="9">
        <f>4.0022 * CHOOSE(CONTROL!$C$32, $C$9, 100%, $E$9)</f>
        <v>4.0022000000000002</v>
      </c>
      <c r="N88" s="9">
        <f>3.999 * CHOOSE(CONTROL!$C$32, $C$9, 100%, $E$9)</f>
        <v>3.9990000000000001</v>
      </c>
      <c r="O88" s="9">
        <f>4.0022 * CHOOSE(CONTROL!$C$32, $C$9, 100%, $E$9)</f>
        <v>4.0022000000000002</v>
      </c>
      <c r="P88" s="17"/>
      <c r="Q88" s="17"/>
      <c r="R88" s="17"/>
    </row>
    <row r="89" spans="1:18" ht="15" x14ac:dyDescent="0.2">
      <c r="A89" s="16">
        <v>43556</v>
      </c>
      <c r="B89" s="10">
        <f>3.5829 * CHOOSE(CONTROL!$C$32, $C$9, 100%, $E$9)</f>
        <v>3.5829</v>
      </c>
      <c r="C89" s="10">
        <f>3.5829 * CHOOSE(CONTROL!$C$32, $C$9, 100%, $E$9)</f>
        <v>3.5829</v>
      </c>
      <c r="D89" s="10">
        <f>3.5839 * CHOOSE(CONTROL!$C$32, $C$9, 100%, $E$9)</f>
        <v>3.5838999999999999</v>
      </c>
      <c r="E89" s="9">
        <f>3.9966 * CHOOSE(CONTROL!$C$32, $C$9, 100%, $E$9)</f>
        <v>3.9965999999999999</v>
      </c>
      <c r="F89" s="9">
        <f>3.9966 * CHOOSE(CONTROL!$C$32, $C$9, 100%, $E$9)</f>
        <v>3.9965999999999999</v>
      </c>
      <c r="G89" s="9">
        <f>3.9998 * CHOOSE(CONTROL!$C$32, $C$9, 100%, $E$9)</f>
        <v>3.9998</v>
      </c>
      <c r="H89" s="9">
        <f>4.4436 * CHOOSE(CONTROL!$C$32, $C$9, 100%, $E$9)</f>
        <v>4.4436</v>
      </c>
      <c r="I89" s="9">
        <f>4.4468 * CHOOSE(CONTROL!$C$32, $C$9, 100%, $E$9)</f>
        <v>4.4467999999999996</v>
      </c>
      <c r="J89" s="9">
        <f>4.4436 * CHOOSE(CONTROL!$C$32, $C$9, 100%, $E$9)</f>
        <v>4.4436</v>
      </c>
      <c r="K89" s="9">
        <f>4.4468 * CHOOSE(CONTROL!$C$32, $C$9, 100%, $E$9)</f>
        <v>4.4467999999999996</v>
      </c>
      <c r="L89" s="9">
        <f>3.9966 * CHOOSE(CONTROL!$C$32, $C$9, 100%, $E$9)</f>
        <v>3.9965999999999999</v>
      </c>
      <c r="M89" s="9">
        <f>3.9998 * CHOOSE(CONTROL!$C$32, $C$9, 100%, $E$9)</f>
        <v>3.9998</v>
      </c>
      <c r="N89" s="9">
        <f>3.9966 * CHOOSE(CONTROL!$C$32, $C$9, 100%, $E$9)</f>
        <v>3.9965999999999999</v>
      </c>
      <c r="O89" s="9">
        <f>3.9998 * CHOOSE(CONTROL!$C$32, $C$9, 100%, $E$9)</f>
        <v>3.9998</v>
      </c>
      <c r="P89" s="17"/>
      <c r="Q89" s="17"/>
      <c r="R89" s="17"/>
    </row>
    <row r="90" spans="1:18" ht="15" x14ac:dyDescent="0.2">
      <c r="A90" s="16">
        <v>43586</v>
      </c>
      <c r="B90" s="10">
        <f>3.5829 * CHOOSE(CONTROL!$C$32, $C$9, 100%, $E$9)</f>
        <v>3.5829</v>
      </c>
      <c r="C90" s="10">
        <f>3.5829 * CHOOSE(CONTROL!$C$32, $C$9, 100%, $E$9)</f>
        <v>3.5829</v>
      </c>
      <c r="D90" s="10">
        <f>3.5841 * CHOOSE(CONTROL!$C$32, $C$9, 100%, $E$9)</f>
        <v>3.5840999999999998</v>
      </c>
      <c r="E90" s="9">
        <f>3.9966 * CHOOSE(CONTROL!$C$32, $C$9, 100%, $E$9)</f>
        <v>3.9965999999999999</v>
      </c>
      <c r="F90" s="9">
        <f>3.9966 * CHOOSE(CONTROL!$C$32, $C$9, 100%, $E$9)</f>
        <v>3.9965999999999999</v>
      </c>
      <c r="G90" s="9">
        <f>4.0008 * CHOOSE(CONTROL!$C$32, $C$9, 100%, $E$9)</f>
        <v>4.0007999999999999</v>
      </c>
      <c r="H90" s="9">
        <f>4.4436 * CHOOSE(CONTROL!$C$32, $C$9, 100%, $E$9)</f>
        <v>4.4436</v>
      </c>
      <c r="I90" s="9">
        <f>4.4478 * CHOOSE(CONTROL!$C$32, $C$9, 100%, $E$9)</f>
        <v>4.4478</v>
      </c>
      <c r="J90" s="9">
        <f>4.4436 * CHOOSE(CONTROL!$C$32, $C$9, 100%, $E$9)</f>
        <v>4.4436</v>
      </c>
      <c r="K90" s="9">
        <f>4.4478 * CHOOSE(CONTROL!$C$32, $C$9, 100%, $E$9)</f>
        <v>4.4478</v>
      </c>
      <c r="L90" s="9">
        <f>3.9966 * CHOOSE(CONTROL!$C$32, $C$9, 100%, $E$9)</f>
        <v>3.9965999999999999</v>
      </c>
      <c r="M90" s="9">
        <f>4.0008 * CHOOSE(CONTROL!$C$32, $C$9, 100%, $E$9)</f>
        <v>4.0007999999999999</v>
      </c>
      <c r="N90" s="9">
        <f>3.9966 * CHOOSE(CONTROL!$C$32, $C$9, 100%, $E$9)</f>
        <v>3.9965999999999999</v>
      </c>
      <c r="O90" s="9">
        <f>4.0008 * CHOOSE(CONTROL!$C$32, $C$9, 100%, $E$9)</f>
        <v>4.0007999999999999</v>
      </c>
      <c r="P90" s="17"/>
      <c r="Q90" s="17"/>
      <c r="R90" s="17"/>
    </row>
    <row r="91" spans="1:18" ht="15" x14ac:dyDescent="0.2">
      <c r="A91" s="16">
        <v>43617</v>
      </c>
      <c r="B91" s="10">
        <f>3.589 * CHOOSE(CONTROL!$C$32, $C$9, 100%, $E$9)</f>
        <v>3.589</v>
      </c>
      <c r="C91" s="10">
        <f>3.589 * CHOOSE(CONTROL!$C$32, $C$9, 100%, $E$9)</f>
        <v>3.589</v>
      </c>
      <c r="D91" s="10">
        <f>3.5902 * CHOOSE(CONTROL!$C$32, $C$9, 100%, $E$9)</f>
        <v>3.5901999999999998</v>
      </c>
      <c r="E91" s="9">
        <f>4.0006 * CHOOSE(CONTROL!$C$32, $C$9, 100%, $E$9)</f>
        <v>4.0006000000000004</v>
      </c>
      <c r="F91" s="9">
        <f>4.0006 * CHOOSE(CONTROL!$C$32, $C$9, 100%, $E$9)</f>
        <v>4.0006000000000004</v>
      </c>
      <c r="G91" s="9">
        <f>4.0048 * CHOOSE(CONTROL!$C$32, $C$9, 100%, $E$9)</f>
        <v>4.0048000000000004</v>
      </c>
      <c r="H91" s="9">
        <f>4.4476 * CHOOSE(CONTROL!$C$32, $C$9, 100%, $E$9)</f>
        <v>4.4476000000000004</v>
      </c>
      <c r="I91" s="9">
        <f>4.4518 * CHOOSE(CONTROL!$C$32, $C$9, 100%, $E$9)</f>
        <v>4.4518000000000004</v>
      </c>
      <c r="J91" s="9">
        <f>4.4476 * CHOOSE(CONTROL!$C$32, $C$9, 100%, $E$9)</f>
        <v>4.4476000000000004</v>
      </c>
      <c r="K91" s="9">
        <f>4.4518 * CHOOSE(CONTROL!$C$32, $C$9, 100%, $E$9)</f>
        <v>4.4518000000000004</v>
      </c>
      <c r="L91" s="9">
        <f>4.0006 * CHOOSE(CONTROL!$C$32, $C$9, 100%, $E$9)</f>
        <v>4.0006000000000004</v>
      </c>
      <c r="M91" s="9">
        <f>4.0048 * CHOOSE(CONTROL!$C$32, $C$9, 100%, $E$9)</f>
        <v>4.0048000000000004</v>
      </c>
      <c r="N91" s="9">
        <f>4.0006 * CHOOSE(CONTROL!$C$32, $C$9, 100%, $E$9)</f>
        <v>4.0006000000000004</v>
      </c>
      <c r="O91" s="9">
        <f>4.0048 * CHOOSE(CONTROL!$C$32, $C$9, 100%, $E$9)</f>
        <v>4.0048000000000004</v>
      </c>
      <c r="P91" s="17"/>
      <c r="Q91" s="17"/>
      <c r="R91" s="17"/>
    </row>
    <row r="92" spans="1:18" ht="15" x14ac:dyDescent="0.2">
      <c r="A92" s="16">
        <v>43647</v>
      </c>
      <c r="B92" s="10">
        <f>3.6647 * CHOOSE(CONTROL!$C$32, $C$9, 100%, $E$9)</f>
        <v>3.6646999999999998</v>
      </c>
      <c r="C92" s="10">
        <f>3.6647 * CHOOSE(CONTROL!$C$32, $C$9, 100%, $E$9)</f>
        <v>3.6646999999999998</v>
      </c>
      <c r="D92" s="10">
        <f>3.666 * CHOOSE(CONTROL!$C$32, $C$9, 100%, $E$9)</f>
        <v>3.6659999999999999</v>
      </c>
      <c r="E92" s="9">
        <f>4.2819 * CHOOSE(CONTROL!$C$32, $C$9, 100%, $E$9)</f>
        <v>4.2819000000000003</v>
      </c>
      <c r="F92" s="9">
        <f>4.2819 * CHOOSE(CONTROL!$C$32, $C$9, 100%, $E$9)</f>
        <v>4.2819000000000003</v>
      </c>
      <c r="G92" s="9">
        <f>4.2861 * CHOOSE(CONTROL!$C$32, $C$9, 100%, $E$9)</f>
        <v>4.2861000000000002</v>
      </c>
      <c r="H92" s="9">
        <f>4.5473 * CHOOSE(CONTROL!$C$32, $C$9, 100%, $E$9)</f>
        <v>4.5472999999999999</v>
      </c>
      <c r="I92" s="9">
        <f>4.5515 * CHOOSE(CONTROL!$C$32, $C$9, 100%, $E$9)</f>
        <v>4.5514999999999999</v>
      </c>
      <c r="J92" s="9">
        <f>4.5473 * CHOOSE(CONTROL!$C$32, $C$9, 100%, $E$9)</f>
        <v>4.5472999999999999</v>
      </c>
      <c r="K92" s="9">
        <f>4.5515 * CHOOSE(CONTROL!$C$32, $C$9, 100%, $E$9)</f>
        <v>4.5514999999999999</v>
      </c>
      <c r="L92" s="9">
        <f>4.2819 * CHOOSE(CONTROL!$C$32, $C$9, 100%, $E$9)</f>
        <v>4.2819000000000003</v>
      </c>
      <c r="M92" s="9">
        <f>4.2861 * CHOOSE(CONTROL!$C$32, $C$9, 100%, $E$9)</f>
        <v>4.2861000000000002</v>
      </c>
      <c r="N92" s="9">
        <f>4.2819 * CHOOSE(CONTROL!$C$32, $C$9, 100%, $E$9)</f>
        <v>4.2819000000000003</v>
      </c>
      <c r="O92" s="9">
        <f>4.2861 * CHOOSE(CONTROL!$C$32, $C$9, 100%, $E$9)</f>
        <v>4.2861000000000002</v>
      </c>
      <c r="P92" s="17"/>
      <c r="Q92" s="17"/>
      <c r="R92" s="17"/>
    </row>
    <row r="93" spans="1:18" ht="15" x14ac:dyDescent="0.2">
      <c r="A93" s="16">
        <v>43678</v>
      </c>
      <c r="B93" s="10">
        <f>3.6714 * CHOOSE(CONTROL!$C$32, $C$9, 100%, $E$9)</f>
        <v>3.6714000000000002</v>
      </c>
      <c r="C93" s="10">
        <f>3.6714 * CHOOSE(CONTROL!$C$32, $C$9, 100%, $E$9)</f>
        <v>3.6714000000000002</v>
      </c>
      <c r="D93" s="10">
        <f>3.6727 * CHOOSE(CONTROL!$C$32, $C$9, 100%, $E$9)</f>
        <v>3.6726999999999999</v>
      </c>
      <c r="E93" s="9">
        <f>4.2315 * CHOOSE(CONTROL!$C$32, $C$9, 100%, $E$9)</f>
        <v>4.2314999999999996</v>
      </c>
      <c r="F93" s="9">
        <f>4.2315 * CHOOSE(CONTROL!$C$32, $C$9, 100%, $E$9)</f>
        <v>4.2314999999999996</v>
      </c>
      <c r="G93" s="9">
        <f>4.2357 * CHOOSE(CONTROL!$C$32, $C$9, 100%, $E$9)</f>
        <v>4.2356999999999996</v>
      </c>
      <c r="H93" s="9">
        <f>4.5517 * CHOOSE(CONTROL!$C$32, $C$9, 100%, $E$9)</f>
        <v>4.5517000000000003</v>
      </c>
      <c r="I93" s="9">
        <f>4.5559 * CHOOSE(CONTROL!$C$32, $C$9, 100%, $E$9)</f>
        <v>4.5559000000000003</v>
      </c>
      <c r="J93" s="9">
        <f>4.5517 * CHOOSE(CONTROL!$C$32, $C$9, 100%, $E$9)</f>
        <v>4.5517000000000003</v>
      </c>
      <c r="K93" s="9">
        <f>4.5559 * CHOOSE(CONTROL!$C$32, $C$9, 100%, $E$9)</f>
        <v>4.5559000000000003</v>
      </c>
      <c r="L93" s="9">
        <f>4.2315 * CHOOSE(CONTROL!$C$32, $C$9, 100%, $E$9)</f>
        <v>4.2314999999999996</v>
      </c>
      <c r="M93" s="9">
        <f>4.2357 * CHOOSE(CONTROL!$C$32, $C$9, 100%, $E$9)</f>
        <v>4.2356999999999996</v>
      </c>
      <c r="N93" s="9">
        <f>4.2315 * CHOOSE(CONTROL!$C$32, $C$9, 100%, $E$9)</f>
        <v>4.2314999999999996</v>
      </c>
      <c r="O93" s="9">
        <f>4.2357 * CHOOSE(CONTROL!$C$32, $C$9, 100%, $E$9)</f>
        <v>4.2356999999999996</v>
      </c>
      <c r="P93" s="17"/>
      <c r="Q93" s="17"/>
      <c r="R93" s="17"/>
    </row>
    <row r="94" spans="1:18" ht="15" x14ac:dyDescent="0.2">
      <c r="A94" s="16">
        <v>43709</v>
      </c>
      <c r="B94" s="10">
        <f>3.6684 * CHOOSE(CONTROL!$C$32, $C$9, 100%, $E$9)</f>
        <v>3.6684000000000001</v>
      </c>
      <c r="C94" s="10">
        <f>3.6684 * CHOOSE(CONTROL!$C$32, $C$9, 100%, $E$9)</f>
        <v>3.6684000000000001</v>
      </c>
      <c r="D94" s="10">
        <f>3.6696 * CHOOSE(CONTROL!$C$32, $C$9, 100%, $E$9)</f>
        <v>3.6696</v>
      </c>
      <c r="E94" s="9">
        <f>4.2233 * CHOOSE(CONTROL!$C$32, $C$9, 100%, $E$9)</f>
        <v>4.2233000000000001</v>
      </c>
      <c r="F94" s="9">
        <f>4.2233 * CHOOSE(CONTROL!$C$32, $C$9, 100%, $E$9)</f>
        <v>4.2233000000000001</v>
      </c>
      <c r="G94" s="9">
        <f>4.2275 * CHOOSE(CONTROL!$C$32, $C$9, 100%, $E$9)</f>
        <v>4.2275</v>
      </c>
      <c r="H94" s="9">
        <f>4.5497 * CHOOSE(CONTROL!$C$32, $C$9, 100%, $E$9)</f>
        <v>4.5496999999999996</v>
      </c>
      <c r="I94" s="9">
        <f>4.5539 * CHOOSE(CONTROL!$C$32, $C$9, 100%, $E$9)</f>
        <v>4.5538999999999996</v>
      </c>
      <c r="J94" s="9">
        <f>4.5497 * CHOOSE(CONTROL!$C$32, $C$9, 100%, $E$9)</f>
        <v>4.5496999999999996</v>
      </c>
      <c r="K94" s="9">
        <f>4.5539 * CHOOSE(CONTROL!$C$32, $C$9, 100%, $E$9)</f>
        <v>4.5538999999999996</v>
      </c>
      <c r="L94" s="9">
        <f>4.2233 * CHOOSE(CONTROL!$C$32, $C$9, 100%, $E$9)</f>
        <v>4.2233000000000001</v>
      </c>
      <c r="M94" s="9">
        <f>4.2275 * CHOOSE(CONTROL!$C$32, $C$9, 100%, $E$9)</f>
        <v>4.2275</v>
      </c>
      <c r="N94" s="9">
        <f>4.2233 * CHOOSE(CONTROL!$C$32, $C$9, 100%, $E$9)</f>
        <v>4.2233000000000001</v>
      </c>
      <c r="O94" s="9">
        <f>4.2275 * CHOOSE(CONTROL!$C$32, $C$9, 100%, $E$9)</f>
        <v>4.2275</v>
      </c>
      <c r="P94" s="17"/>
      <c r="Q94" s="17"/>
      <c r="R94" s="17"/>
    </row>
    <row r="95" spans="1:18" ht="15" x14ac:dyDescent="0.2">
      <c r="A95" s="16">
        <v>43739</v>
      </c>
      <c r="B95" s="10">
        <f>3.6625 * CHOOSE(CONTROL!$C$32, $C$9, 100%, $E$9)</f>
        <v>3.6625000000000001</v>
      </c>
      <c r="C95" s="10">
        <f>3.6625 * CHOOSE(CONTROL!$C$32, $C$9, 100%, $E$9)</f>
        <v>3.6625000000000001</v>
      </c>
      <c r="D95" s="10">
        <f>3.6635 * CHOOSE(CONTROL!$C$32, $C$9, 100%, $E$9)</f>
        <v>3.6635</v>
      </c>
      <c r="E95" s="9">
        <f>4.2343 * CHOOSE(CONTROL!$C$32, $C$9, 100%, $E$9)</f>
        <v>4.2343000000000002</v>
      </c>
      <c r="F95" s="9">
        <f>4.2343 * CHOOSE(CONTROL!$C$32, $C$9, 100%, $E$9)</f>
        <v>4.2343000000000002</v>
      </c>
      <c r="G95" s="9">
        <f>4.2376 * CHOOSE(CONTROL!$C$32, $C$9, 100%, $E$9)</f>
        <v>4.2375999999999996</v>
      </c>
      <c r="H95" s="9">
        <f>4.5454 * CHOOSE(CONTROL!$C$32, $C$9, 100%, $E$9)</f>
        <v>4.5453999999999999</v>
      </c>
      <c r="I95" s="9">
        <f>4.5486 * CHOOSE(CONTROL!$C$32, $C$9, 100%, $E$9)</f>
        <v>4.5486000000000004</v>
      </c>
      <c r="J95" s="9">
        <f>4.5454 * CHOOSE(CONTROL!$C$32, $C$9, 100%, $E$9)</f>
        <v>4.5453999999999999</v>
      </c>
      <c r="K95" s="9">
        <f>4.5486 * CHOOSE(CONTROL!$C$32, $C$9, 100%, $E$9)</f>
        <v>4.5486000000000004</v>
      </c>
      <c r="L95" s="9">
        <f>4.2343 * CHOOSE(CONTROL!$C$32, $C$9, 100%, $E$9)</f>
        <v>4.2343000000000002</v>
      </c>
      <c r="M95" s="9">
        <f>4.2376 * CHOOSE(CONTROL!$C$32, $C$9, 100%, $E$9)</f>
        <v>4.2375999999999996</v>
      </c>
      <c r="N95" s="9">
        <f>4.2343 * CHOOSE(CONTROL!$C$32, $C$9, 100%, $E$9)</f>
        <v>4.2343000000000002</v>
      </c>
      <c r="O95" s="9">
        <f>4.2376 * CHOOSE(CONTROL!$C$32, $C$9, 100%, $E$9)</f>
        <v>4.2375999999999996</v>
      </c>
      <c r="P95" s="17"/>
      <c r="Q95" s="17"/>
      <c r="R95" s="17"/>
    </row>
    <row r="96" spans="1:18" ht="15" x14ac:dyDescent="0.2">
      <c r="A96" s="16">
        <v>43770</v>
      </c>
      <c r="B96" s="10">
        <f>3.6656 * CHOOSE(CONTROL!$C$32, $C$9, 100%, $E$9)</f>
        <v>3.6656</v>
      </c>
      <c r="C96" s="10">
        <f>3.6656 * CHOOSE(CONTROL!$C$32, $C$9, 100%, $E$9)</f>
        <v>3.6656</v>
      </c>
      <c r="D96" s="10">
        <f>3.6665 * CHOOSE(CONTROL!$C$32, $C$9, 100%, $E$9)</f>
        <v>3.6665000000000001</v>
      </c>
      <c r="E96" s="9">
        <f>4.2487 * CHOOSE(CONTROL!$C$32, $C$9, 100%, $E$9)</f>
        <v>4.2487000000000004</v>
      </c>
      <c r="F96" s="9">
        <f>4.2487 * CHOOSE(CONTROL!$C$32, $C$9, 100%, $E$9)</f>
        <v>4.2487000000000004</v>
      </c>
      <c r="G96" s="9">
        <f>4.2519 * CHOOSE(CONTROL!$C$32, $C$9, 100%, $E$9)</f>
        <v>4.2519</v>
      </c>
      <c r="H96" s="9">
        <f>4.5474 * CHOOSE(CONTROL!$C$32, $C$9, 100%, $E$9)</f>
        <v>4.5473999999999997</v>
      </c>
      <c r="I96" s="9">
        <f>4.5506 * CHOOSE(CONTROL!$C$32, $C$9, 100%, $E$9)</f>
        <v>4.5506000000000002</v>
      </c>
      <c r="J96" s="9">
        <f>4.5474 * CHOOSE(CONTROL!$C$32, $C$9, 100%, $E$9)</f>
        <v>4.5473999999999997</v>
      </c>
      <c r="K96" s="9">
        <f>4.5506 * CHOOSE(CONTROL!$C$32, $C$9, 100%, $E$9)</f>
        <v>4.5506000000000002</v>
      </c>
      <c r="L96" s="9">
        <f>4.2487 * CHOOSE(CONTROL!$C$32, $C$9, 100%, $E$9)</f>
        <v>4.2487000000000004</v>
      </c>
      <c r="M96" s="9">
        <f>4.2519 * CHOOSE(CONTROL!$C$32, $C$9, 100%, $E$9)</f>
        <v>4.2519</v>
      </c>
      <c r="N96" s="9">
        <f>4.2487 * CHOOSE(CONTROL!$C$32, $C$9, 100%, $E$9)</f>
        <v>4.2487000000000004</v>
      </c>
      <c r="O96" s="9">
        <f>4.2519 * CHOOSE(CONTROL!$C$32, $C$9, 100%, $E$9)</f>
        <v>4.2519</v>
      </c>
      <c r="P96" s="17"/>
      <c r="Q96" s="17"/>
      <c r="R96" s="17"/>
    </row>
    <row r="97" spans="1:18" ht="15" x14ac:dyDescent="0.2">
      <c r="A97" s="16">
        <v>43800</v>
      </c>
      <c r="B97" s="10">
        <f>3.6656 * CHOOSE(CONTROL!$C$32, $C$9, 100%, $E$9)</f>
        <v>3.6656</v>
      </c>
      <c r="C97" s="10">
        <f>3.6656 * CHOOSE(CONTROL!$C$32, $C$9, 100%, $E$9)</f>
        <v>3.6656</v>
      </c>
      <c r="D97" s="10">
        <f>3.6665 * CHOOSE(CONTROL!$C$32, $C$9, 100%, $E$9)</f>
        <v>3.6665000000000001</v>
      </c>
      <c r="E97" s="9">
        <f>4.2181 * CHOOSE(CONTROL!$C$32, $C$9, 100%, $E$9)</f>
        <v>4.2180999999999997</v>
      </c>
      <c r="F97" s="9">
        <f>4.2181 * CHOOSE(CONTROL!$C$32, $C$9, 100%, $E$9)</f>
        <v>4.2180999999999997</v>
      </c>
      <c r="G97" s="9">
        <f>4.2213 * CHOOSE(CONTROL!$C$32, $C$9, 100%, $E$9)</f>
        <v>4.2213000000000003</v>
      </c>
      <c r="H97" s="9">
        <f>4.5474 * CHOOSE(CONTROL!$C$32, $C$9, 100%, $E$9)</f>
        <v>4.5473999999999997</v>
      </c>
      <c r="I97" s="9">
        <f>4.5506 * CHOOSE(CONTROL!$C$32, $C$9, 100%, $E$9)</f>
        <v>4.5506000000000002</v>
      </c>
      <c r="J97" s="9">
        <f>4.5474 * CHOOSE(CONTROL!$C$32, $C$9, 100%, $E$9)</f>
        <v>4.5473999999999997</v>
      </c>
      <c r="K97" s="9">
        <f>4.5506 * CHOOSE(CONTROL!$C$32, $C$9, 100%, $E$9)</f>
        <v>4.5506000000000002</v>
      </c>
      <c r="L97" s="9">
        <f>4.2181 * CHOOSE(CONTROL!$C$32, $C$9, 100%, $E$9)</f>
        <v>4.2180999999999997</v>
      </c>
      <c r="M97" s="9">
        <f>4.2213 * CHOOSE(CONTROL!$C$32, $C$9, 100%, $E$9)</f>
        <v>4.2213000000000003</v>
      </c>
      <c r="N97" s="9">
        <f>4.2181 * CHOOSE(CONTROL!$C$32, $C$9, 100%, $E$9)</f>
        <v>4.2180999999999997</v>
      </c>
      <c r="O97" s="9">
        <f>4.2213 * CHOOSE(CONTROL!$C$32, $C$9, 100%, $E$9)</f>
        <v>4.2213000000000003</v>
      </c>
      <c r="P97" s="17"/>
      <c r="Q97" s="17"/>
      <c r="R97" s="17"/>
    </row>
    <row r="98" spans="1:18" ht="15" x14ac:dyDescent="0.2">
      <c r="A98" s="16">
        <v>43831</v>
      </c>
      <c r="B98" s="10">
        <f>3.7012 * CHOOSE(CONTROL!$C$32, $C$9, 100%, $E$9)</f>
        <v>3.7012</v>
      </c>
      <c r="C98" s="10">
        <f>3.7012 * CHOOSE(CONTROL!$C$32, $C$9, 100%, $E$9)</f>
        <v>3.7012</v>
      </c>
      <c r="D98" s="10">
        <f>3.7022 * CHOOSE(CONTROL!$C$32, $C$9, 100%, $E$9)</f>
        <v>3.7021999999999999</v>
      </c>
      <c r="E98" s="9">
        <f>4.287 * CHOOSE(CONTROL!$C$32, $C$9, 100%, $E$9)</f>
        <v>4.2869999999999999</v>
      </c>
      <c r="F98" s="9">
        <f>4.287 * CHOOSE(CONTROL!$C$32, $C$9, 100%, $E$9)</f>
        <v>4.2869999999999999</v>
      </c>
      <c r="G98" s="9">
        <f>4.2902 * CHOOSE(CONTROL!$C$32, $C$9, 100%, $E$9)</f>
        <v>4.2901999999999996</v>
      </c>
      <c r="H98" s="9">
        <f>4.5908 * CHOOSE(CONTROL!$C$32, $C$9, 100%, $E$9)</f>
        <v>4.5907999999999998</v>
      </c>
      <c r="I98" s="9">
        <f>4.594 * CHOOSE(CONTROL!$C$32, $C$9, 100%, $E$9)</f>
        <v>4.5940000000000003</v>
      </c>
      <c r="J98" s="9">
        <f>4.5908 * CHOOSE(CONTROL!$C$32, $C$9, 100%, $E$9)</f>
        <v>4.5907999999999998</v>
      </c>
      <c r="K98" s="9">
        <f>4.594 * CHOOSE(CONTROL!$C$32, $C$9, 100%, $E$9)</f>
        <v>4.5940000000000003</v>
      </c>
      <c r="L98" s="9">
        <f>4.287 * CHOOSE(CONTROL!$C$32, $C$9, 100%, $E$9)</f>
        <v>4.2869999999999999</v>
      </c>
      <c r="M98" s="9">
        <f>4.2902 * CHOOSE(CONTROL!$C$32, $C$9, 100%, $E$9)</f>
        <v>4.2901999999999996</v>
      </c>
      <c r="N98" s="9">
        <f>4.287 * CHOOSE(CONTROL!$C$32, $C$9, 100%, $E$9)</f>
        <v>4.2869999999999999</v>
      </c>
      <c r="O98" s="9">
        <f>4.2902 * CHOOSE(CONTROL!$C$32, $C$9, 100%, $E$9)</f>
        <v>4.2901999999999996</v>
      </c>
      <c r="P98" s="17"/>
      <c r="Q98" s="17"/>
      <c r="R98" s="17"/>
    </row>
    <row r="99" spans="1:18" ht="15" x14ac:dyDescent="0.2">
      <c r="A99" s="16">
        <v>43862</v>
      </c>
      <c r="B99" s="10">
        <f>3.6982 * CHOOSE(CONTROL!$C$32, $C$9, 100%, $E$9)</f>
        <v>3.6981999999999999</v>
      </c>
      <c r="C99" s="10">
        <f>3.6982 * CHOOSE(CONTROL!$C$32, $C$9, 100%, $E$9)</f>
        <v>3.6981999999999999</v>
      </c>
      <c r="D99" s="10">
        <f>3.6991 * CHOOSE(CONTROL!$C$32, $C$9, 100%, $E$9)</f>
        <v>3.6991000000000001</v>
      </c>
      <c r="E99" s="9">
        <f>4.226 * CHOOSE(CONTROL!$C$32, $C$9, 100%, $E$9)</f>
        <v>4.226</v>
      </c>
      <c r="F99" s="9">
        <f>4.226 * CHOOSE(CONTROL!$C$32, $C$9, 100%, $E$9)</f>
        <v>4.226</v>
      </c>
      <c r="G99" s="9">
        <f>4.2292 * CHOOSE(CONTROL!$C$32, $C$9, 100%, $E$9)</f>
        <v>4.2291999999999996</v>
      </c>
      <c r="H99" s="9">
        <f>4.5888 * CHOOSE(CONTROL!$C$32, $C$9, 100%, $E$9)</f>
        <v>4.5888</v>
      </c>
      <c r="I99" s="9">
        <f>4.592 * CHOOSE(CONTROL!$C$32, $C$9, 100%, $E$9)</f>
        <v>4.5919999999999996</v>
      </c>
      <c r="J99" s="9">
        <f>4.5888 * CHOOSE(CONTROL!$C$32, $C$9, 100%, $E$9)</f>
        <v>4.5888</v>
      </c>
      <c r="K99" s="9">
        <f>4.592 * CHOOSE(CONTROL!$C$32, $C$9, 100%, $E$9)</f>
        <v>4.5919999999999996</v>
      </c>
      <c r="L99" s="9">
        <f>4.226 * CHOOSE(CONTROL!$C$32, $C$9, 100%, $E$9)</f>
        <v>4.226</v>
      </c>
      <c r="M99" s="9">
        <f>4.2292 * CHOOSE(CONTROL!$C$32, $C$9, 100%, $E$9)</f>
        <v>4.2291999999999996</v>
      </c>
      <c r="N99" s="9">
        <f>4.226 * CHOOSE(CONTROL!$C$32, $C$9, 100%, $E$9)</f>
        <v>4.226</v>
      </c>
      <c r="O99" s="9">
        <f>4.2292 * CHOOSE(CONTROL!$C$32, $C$9, 100%, $E$9)</f>
        <v>4.2291999999999996</v>
      </c>
      <c r="P99" s="17"/>
      <c r="Q99" s="17"/>
      <c r="R99" s="17"/>
    </row>
    <row r="100" spans="1:18" ht="15" x14ac:dyDescent="0.2">
      <c r="A100" s="16">
        <v>43891</v>
      </c>
      <c r="B100" s="10">
        <f>3.6951 * CHOOSE(CONTROL!$C$32, $C$9, 100%, $E$9)</f>
        <v>3.6951000000000001</v>
      </c>
      <c r="C100" s="10">
        <f>3.6951 * CHOOSE(CONTROL!$C$32, $C$9, 100%, $E$9)</f>
        <v>3.6951000000000001</v>
      </c>
      <c r="D100" s="10">
        <f>3.6961 * CHOOSE(CONTROL!$C$32, $C$9, 100%, $E$9)</f>
        <v>3.6960999999999999</v>
      </c>
      <c r="E100" s="9">
        <f>4.2703 * CHOOSE(CONTROL!$C$32, $C$9, 100%, $E$9)</f>
        <v>4.2702999999999998</v>
      </c>
      <c r="F100" s="9">
        <f>4.2703 * CHOOSE(CONTROL!$C$32, $C$9, 100%, $E$9)</f>
        <v>4.2702999999999998</v>
      </c>
      <c r="G100" s="9">
        <f>4.2735 * CHOOSE(CONTROL!$C$32, $C$9, 100%, $E$9)</f>
        <v>4.2735000000000003</v>
      </c>
      <c r="H100" s="9">
        <f>4.5868 * CHOOSE(CONTROL!$C$32, $C$9, 100%, $E$9)</f>
        <v>4.5868000000000002</v>
      </c>
      <c r="I100" s="9">
        <f>4.59 * CHOOSE(CONTROL!$C$32, $C$9, 100%, $E$9)</f>
        <v>4.59</v>
      </c>
      <c r="J100" s="9">
        <f>4.5868 * CHOOSE(CONTROL!$C$32, $C$9, 100%, $E$9)</f>
        <v>4.5868000000000002</v>
      </c>
      <c r="K100" s="9">
        <f>4.59 * CHOOSE(CONTROL!$C$32, $C$9, 100%, $E$9)</f>
        <v>4.59</v>
      </c>
      <c r="L100" s="9">
        <f>4.2703 * CHOOSE(CONTROL!$C$32, $C$9, 100%, $E$9)</f>
        <v>4.2702999999999998</v>
      </c>
      <c r="M100" s="9">
        <f>4.2735 * CHOOSE(CONTROL!$C$32, $C$9, 100%, $E$9)</f>
        <v>4.2735000000000003</v>
      </c>
      <c r="N100" s="9">
        <f>4.2703 * CHOOSE(CONTROL!$C$32, $C$9, 100%, $E$9)</f>
        <v>4.2702999999999998</v>
      </c>
      <c r="O100" s="9">
        <f>4.2735 * CHOOSE(CONTROL!$C$32, $C$9, 100%, $E$9)</f>
        <v>4.2735000000000003</v>
      </c>
      <c r="P100" s="17"/>
      <c r="Q100" s="17"/>
      <c r="R100" s="17"/>
    </row>
    <row r="101" spans="1:18" ht="15" x14ac:dyDescent="0.2">
      <c r="A101" s="16">
        <v>43922</v>
      </c>
      <c r="B101" s="10">
        <f>3.6926 * CHOOSE(CONTROL!$C$32, $C$9, 100%, $E$9)</f>
        <v>3.6926000000000001</v>
      </c>
      <c r="C101" s="10">
        <f>3.6926 * CHOOSE(CONTROL!$C$32, $C$9, 100%, $E$9)</f>
        <v>3.6926000000000001</v>
      </c>
      <c r="D101" s="10">
        <f>3.6935 * CHOOSE(CONTROL!$C$32, $C$9, 100%, $E$9)</f>
        <v>3.6934999999999998</v>
      </c>
      <c r="E101" s="9">
        <f>4.3158 * CHOOSE(CONTROL!$C$32, $C$9, 100%, $E$9)</f>
        <v>4.3158000000000003</v>
      </c>
      <c r="F101" s="9">
        <f>4.3158 * CHOOSE(CONTROL!$C$32, $C$9, 100%, $E$9)</f>
        <v>4.3158000000000003</v>
      </c>
      <c r="G101" s="9">
        <f>4.3191 * CHOOSE(CONTROL!$C$32, $C$9, 100%, $E$9)</f>
        <v>4.3190999999999997</v>
      </c>
      <c r="H101" s="9">
        <f>4.585 * CHOOSE(CONTROL!$C$32, $C$9, 100%, $E$9)</f>
        <v>4.585</v>
      </c>
      <c r="I101" s="9">
        <f>4.5882 * CHOOSE(CONTROL!$C$32, $C$9, 100%, $E$9)</f>
        <v>4.5881999999999996</v>
      </c>
      <c r="J101" s="9">
        <f>4.585 * CHOOSE(CONTROL!$C$32, $C$9, 100%, $E$9)</f>
        <v>4.585</v>
      </c>
      <c r="K101" s="9">
        <f>4.5882 * CHOOSE(CONTROL!$C$32, $C$9, 100%, $E$9)</f>
        <v>4.5881999999999996</v>
      </c>
      <c r="L101" s="9">
        <f>4.3158 * CHOOSE(CONTROL!$C$32, $C$9, 100%, $E$9)</f>
        <v>4.3158000000000003</v>
      </c>
      <c r="M101" s="9">
        <f>4.3191 * CHOOSE(CONTROL!$C$32, $C$9, 100%, $E$9)</f>
        <v>4.3190999999999997</v>
      </c>
      <c r="N101" s="9">
        <f>4.3158 * CHOOSE(CONTROL!$C$32, $C$9, 100%, $E$9)</f>
        <v>4.3158000000000003</v>
      </c>
      <c r="O101" s="9">
        <f>4.3191 * CHOOSE(CONTROL!$C$32, $C$9, 100%, $E$9)</f>
        <v>4.3190999999999997</v>
      </c>
      <c r="P101" s="17"/>
      <c r="Q101" s="17"/>
      <c r="R101" s="17"/>
    </row>
    <row r="102" spans="1:18" ht="15" x14ac:dyDescent="0.2">
      <c r="A102" s="16">
        <v>43952</v>
      </c>
      <c r="B102" s="10">
        <f>3.6926 * CHOOSE(CONTROL!$C$32, $C$9, 100%, $E$9)</f>
        <v>3.6926000000000001</v>
      </c>
      <c r="C102" s="10">
        <f>3.6926 * CHOOSE(CONTROL!$C$32, $C$9, 100%, $E$9)</f>
        <v>3.6926000000000001</v>
      </c>
      <c r="D102" s="10">
        <f>3.6938 * CHOOSE(CONTROL!$C$32, $C$9, 100%, $E$9)</f>
        <v>3.6938</v>
      </c>
      <c r="E102" s="9">
        <f>4.3345 * CHOOSE(CONTROL!$C$32, $C$9, 100%, $E$9)</f>
        <v>4.3345000000000002</v>
      </c>
      <c r="F102" s="9">
        <f>4.3345 * CHOOSE(CONTROL!$C$32, $C$9, 100%, $E$9)</f>
        <v>4.3345000000000002</v>
      </c>
      <c r="G102" s="9">
        <f>4.3387 * CHOOSE(CONTROL!$C$32, $C$9, 100%, $E$9)</f>
        <v>4.3387000000000002</v>
      </c>
      <c r="H102" s="9">
        <f>4.585 * CHOOSE(CONTROL!$C$32, $C$9, 100%, $E$9)</f>
        <v>4.585</v>
      </c>
      <c r="I102" s="9">
        <f>4.5892 * CHOOSE(CONTROL!$C$32, $C$9, 100%, $E$9)</f>
        <v>4.5891999999999999</v>
      </c>
      <c r="J102" s="9">
        <f>4.585 * CHOOSE(CONTROL!$C$32, $C$9, 100%, $E$9)</f>
        <v>4.585</v>
      </c>
      <c r="K102" s="9">
        <f>4.5892 * CHOOSE(CONTROL!$C$32, $C$9, 100%, $E$9)</f>
        <v>4.5891999999999999</v>
      </c>
      <c r="L102" s="9">
        <f>4.3345 * CHOOSE(CONTROL!$C$32, $C$9, 100%, $E$9)</f>
        <v>4.3345000000000002</v>
      </c>
      <c r="M102" s="9">
        <f>4.3387 * CHOOSE(CONTROL!$C$32, $C$9, 100%, $E$9)</f>
        <v>4.3387000000000002</v>
      </c>
      <c r="N102" s="9">
        <f>4.3345 * CHOOSE(CONTROL!$C$32, $C$9, 100%, $E$9)</f>
        <v>4.3345000000000002</v>
      </c>
      <c r="O102" s="9">
        <f>4.3387 * CHOOSE(CONTROL!$C$32, $C$9, 100%, $E$9)</f>
        <v>4.3387000000000002</v>
      </c>
      <c r="P102" s="17"/>
      <c r="Q102" s="17"/>
      <c r="R102" s="17"/>
    </row>
    <row r="103" spans="1:18" ht="15" x14ac:dyDescent="0.2">
      <c r="A103" s="16">
        <v>43983</v>
      </c>
      <c r="B103" s="10">
        <f>3.6987 * CHOOSE(CONTROL!$C$32, $C$9, 100%, $E$9)</f>
        <v>3.6987000000000001</v>
      </c>
      <c r="C103" s="10">
        <f>3.6987 * CHOOSE(CONTROL!$C$32, $C$9, 100%, $E$9)</f>
        <v>3.6987000000000001</v>
      </c>
      <c r="D103" s="10">
        <f>3.6999 * CHOOSE(CONTROL!$C$32, $C$9, 100%, $E$9)</f>
        <v>3.6999</v>
      </c>
      <c r="E103" s="9">
        <f>4.3201 * CHOOSE(CONTROL!$C$32, $C$9, 100%, $E$9)</f>
        <v>4.3201000000000001</v>
      </c>
      <c r="F103" s="9">
        <f>4.3201 * CHOOSE(CONTROL!$C$32, $C$9, 100%, $E$9)</f>
        <v>4.3201000000000001</v>
      </c>
      <c r="G103" s="9">
        <f>4.3243 * CHOOSE(CONTROL!$C$32, $C$9, 100%, $E$9)</f>
        <v>4.3243</v>
      </c>
      <c r="H103" s="9">
        <f>4.589 * CHOOSE(CONTROL!$C$32, $C$9, 100%, $E$9)</f>
        <v>4.5890000000000004</v>
      </c>
      <c r="I103" s="9">
        <f>4.5932 * CHOOSE(CONTROL!$C$32, $C$9, 100%, $E$9)</f>
        <v>4.5932000000000004</v>
      </c>
      <c r="J103" s="9">
        <f>4.589 * CHOOSE(CONTROL!$C$32, $C$9, 100%, $E$9)</f>
        <v>4.5890000000000004</v>
      </c>
      <c r="K103" s="9">
        <f>4.5932 * CHOOSE(CONTROL!$C$32, $C$9, 100%, $E$9)</f>
        <v>4.5932000000000004</v>
      </c>
      <c r="L103" s="9">
        <f>4.3201 * CHOOSE(CONTROL!$C$32, $C$9, 100%, $E$9)</f>
        <v>4.3201000000000001</v>
      </c>
      <c r="M103" s="9">
        <f>4.3243 * CHOOSE(CONTROL!$C$32, $C$9, 100%, $E$9)</f>
        <v>4.3243</v>
      </c>
      <c r="N103" s="9">
        <f>4.3201 * CHOOSE(CONTROL!$C$32, $C$9, 100%, $E$9)</f>
        <v>4.3201000000000001</v>
      </c>
      <c r="O103" s="9">
        <f>4.3243 * CHOOSE(CONTROL!$C$32, $C$9, 100%, $E$9)</f>
        <v>4.3243</v>
      </c>
      <c r="P103" s="17"/>
      <c r="Q103" s="17"/>
      <c r="R103" s="17"/>
    </row>
    <row r="104" spans="1:18" ht="15" x14ac:dyDescent="0.2">
      <c r="A104" s="16">
        <v>44013</v>
      </c>
      <c r="B104" s="10">
        <f>3.7654 * CHOOSE(CONTROL!$C$32, $C$9, 100%, $E$9)</f>
        <v>3.7654000000000001</v>
      </c>
      <c r="C104" s="10">
        <f>3.7654 * CHOOSE(CONTROL!$C$32, $C$9, 100%, $E$9)</f>
        <v>3.7654000000000001</v>
      </c>
      <c r="D104" s="10">
        <f>3.7667 * CHOOSE(CONTROL!$C$32, $C$9, 100%, $E$9)</f>
        <v>3.7667000000000002</v>
      </c>
      <c r="E104" s="9">
        <f>4.4408 * CHOOSE(CONTROL!$C$32, $C$9, 100%, $E$9)</f>
        <v>4.4408000000000003</v>
      </c>
      <c r="F104" s="9">
        <f>4.4408 * CHOOSE(CONTROL!$C$32, $C$9, 100%, $E$9)</f>
        <v>4.4408000000000003</v>
      </c>
      <c r="G104" s="9">
        <f>4.445 * CHOOSE(CONTROL!$C$32, $C$9, 100%, $E$9)</f>
        <v>4.4450000000000003</v>
      </c>
      <c r="H104" s="9">
        <f>4.6825 * CHOOSE(CONTROL!$C$32, $C$9, 100%, $E$9)</f>
        <v>4.6825000000000001</v>
      </c>
      <c r="I104" s="9">
        <f>4.6867 * CHOOSE(CONTROL!$C$32, $C$9, 100%, $E$9)</f>
        <v>4.6867000000000001</v>
      </c>
      <c r="J104" s="9">
        <f>4.6825 * CHOOSE(CONTROL!$C$32, $C$9, 100%, $E$9)</f>
        <v>4.6825000000000001</v>
      </c>
      <c r="K104" s="9">
        <f>4.6867 * CHOOSE(CONTROL!$C$32, $C$9, 100%, $E$9)</f>
        <v>4.6867000000000001</v>
      </c>
      <c r="L104" s="9">
        <f>4.4408 * CHOOSE(CONTROL!$C$32, $C$9, 100%, $E$9)</f>
        <v>4.4408000000000003</v>
      </c>
      <c r="M104" s="9">
        <f>4.445 * CHOOSE(CONTROL!$C$32, $C$9, 100%, $E$9)</f>
        <v>4.4450000000000003</v>
      </c>
      <c r="N104" s="9">
        <f>4.4408 * CHOOSE(CONTROL!$C$32, $C$9, 100%, $E$9)</f>
        <v>4.4408000000000003</v>
      </c>
      <c r="O104" s="9">
        <f>4.445 * CHOOSE(CONTROL!$C$32, $C$9, 100%, $E$9)</f>
        <v>4.4450000000000003</v>
      </c>
      <c r="P104" s="17"/>
      <c r="Q104" s="17"/>
      <c r="R104" s="17"/>
    </row>
    <row r="105" spans="1:18" ht="15" x14ac:dyDescent="0.2">
      <c r="A105" s="16">
        <v>44044</v>
      </c>
      <c r="B105" s="10">
        <f>3.7721 * CHOOSE(CONTROL!$C$32, $C$9, 100%, $E$9)</f>
        <v>3.7721</v>
      </c>
      <c r="C105" s="10">
        <f>3.7721 * CHOOSE(CONTROL!$C$32, $C$9, 100%, $E$9)</f>
        <v>3.7721</v>
      </c>
      <c r="D105" s="10">
        <f>3.7734 * CHOOSE(CONTROL!$C$32, $C$9, 100%, $E$9)</f>
        <v>3.7734000000000001</v>
      </c>
      <c r="E105" s="9">
        <f>4.3894 * CHOOSE(CONTROL!$C$32, $C$9, 100%, $E$9)</f>
        <v>4.3894000000000002</v>
      </c>
      <c r="F105" s="9">
        <f>4.3894 * CHOOSE(CONTROL!$C$32, $C$9, 100%, $E$9)</f>
        <v>4.3894000000000002</v>
      </c>
      <c r="G105" s="9">
        <f>4.3936 * CHOOSE(CONTROL!$C$32, $C$9, 100%, $E$9)</f>
        <v>4.3936000000000002</v>
      </c>
      <c r="H105" s="9">
        <f>4.6869 * CHOOSE(CONTROL!$C$32, $C$9, 100%, $E$9)</f>
        <v>4.6868999999999996</v>
      </c>
      <c r="I105" s="9">
        <f>4.6911 * CHOOSE(CONTROL!$C$32, $C$9, 100%, $E$9)</f>
        <v>4.6910999999999996</v>
      </c>
      <c r="J105" s="9">
        <f>4.6869 * CHOOSE(CONTROL!$C$32, $C$9, 100%, $E$9)</f>
        <v>4.6868999999999996</v>
      </c>
      <c r="K105" s="9">
        <f>4.6911 * CHOOSE(CONTROL!$C$32, $C$9, 100%, $E$9)</f>
        <v>4.6910999999999996</v>
      </c>
      <c r="L105" s="9">
        <f>4.3894 * CHOOSE(CONTROL!$C$32, $C$9, 100%, $E$9)</f>
        <v>4.3894000000000002</v>
      </c>
      <c r="M105" s="9">
        <f>4.3936 * CHOOSE(CONTROL!$C$32, $C$9, 100%, $E$9)</f>
        <v>4.3936000000000002</v>
      </c>
      <c r="N105" s="9">
        <f>4.3894 * CHOOSE(CONTROL!$C$32, $C$9, 100%, $E$9)</f>
        <v>4.3894000000000002</v>
      </c>
      <c r="O105" s="9">
        <f>4.3936 * CHOOSE(CONTROL!$C$32, $C$9, 100%, $E$9)</f>
        <v>4.3936000000000002</v>
      </c>
      <c r="P105" s="17"/>
      <c r="Q105" s="17"/>
      <c r="R105" s="17"/>
    </row>
    <row r="106" spans="1:18" ht="15" x14ac:dyDescent="0.2">
      <c r="A106" s="16">
        <v>44075</v>
      </c>
      <c r="B106" s="10">
        <f>3.7691 * CHOOSE(CONTROL!$C$32, $C$9, 100%, $E$9)</f>
        <v>3.7690999999999999</v>
      </c>
      <c r="C106" s="10">
        <f>3.7691 * CHOOSE(CONTROL!$C$32, $C$9, 100%, $E$9)</f>
        <v>3.7690999999999999</v>
      </c>
      <c r="D106" s="10">
        <f>3.7703 * CHOOSE(CONTROL!$C$32, $C$9, 100%, $E$9)</f>
        <v>3.7703000000000002</v>
      </c>
      <c r="E106" s="9">
        <f>4.381 * CHOOSE(CONTROL!$C$32, $C$9, 100%, $E$9)</f>
        <v>4.3810000000000002</v>
      </c>
      <c r="F106" s="9">
        <f>4.381 * CHOOSE(CONTROL!$C$32, $C$9, 100%, $E$9)</f>
        <v>4.3810000000000002</v>
      </c>
      <c r="G106" s="9">
        <f>4.3853 * CHOOSE(CONTROL!$C$32, $C$9, 100%, $E$9)</f>
        <v>4.3853</v>
      </c>
      <c r="H106" s="9">
        <f>4.6849 * CHOOSE(CONTROL!$C$32, $C$9, 100%, $E$9)</f>
        <v>4.6848999999999998</v>
      </c>
      <c r="I106" s="9">
        <f>4.6891 * CHOOSE(CONTROL!$C$32, $C$9, 100%, $E$9)</f>
        <v>4.6890999999999998</v>
      </c>
      <c r="J106" s="9">
        <f>4.6849 * CHOOSE(CONTROL!$C$32, $C$9, 100%, $E$9)</f>
        <v>4.6848999999999998</v>
      </c>
      <c r="K106" s="9">
        <f>4.6891 * CHOOSE(CONTROL!$C$32, $C$9, 100%, $E$9)</f>
        <v>4.6890999999999998</v>
      </c>
      <c r="L106" s="9">
        <f>4.381 * CHOOSE(CONTROL!$C$32, $C$9, 100%, $E$9)</f>
        <v>4.3810000000000002</v>
      </c>
      <c r="M106" s="9">
        <f>4.3853 * CHOOSE(CONTROL!$C$32, $C$9, 100%, $E$9)</f>
        <v>4.3853</v>
      </c>
      <c r="N106" s="9">
        <f>4.381 * CHOOSE(CONTROL!$C$32, $C$9, 100%, $E$9)</f>
        <v>4.3810000000000002</v>
      </c>
      <c r="O106" s="9">
        <f>4.3853 * CHOOSE(CONTROL!$C$32, $C$9, 100%, $E$9)</f>
        <v>4.3853</v>
      </c>
      <c r="P106" s="17"/>
      <c r="Q106" s="17"/>
      <c r="R106" s="17"/>
    </row>
    <row r="107" spans="1:18" ht="15" x14ac:dyDescent="0.2">
      <c r="A107" s="16">
        <v>44105</v>
      </c>
      <c r="B107" s="10">
        <f>3.7636 * CHOOSE(CONTROL!$C$32, $C$9, 100%, $E$9)</f>
        <v>3.7635999999999998</v>
      </c>
      <c r="C107" s="10">
        <f>3.7636 * CHOOSE(CONTROL!$C$32, $C$9, 100%, $E$9)</f>
        <v>3.7635999999999998</v>
      </c>
      <c r="D107" s="10">
        <f>3.7646 * CHOOSE(CONTROL!$C$32, $C$9, 100%, $E$9)</f>
        <v>3.7646000000000002</v>
      </c>
      <c r="E107" s="9">
        <f>4.3925 * CHOOSE(CONTROL!$C$32, $C$9, 100%, $E$9)</f>
        <v>4.3925000000000001</v>
      </c>
      <c r="F107" s="9">
        <f>4.3925 * CHOOSE(CONTROL!$C$32, $C$9, 100%, $E$9)</f>
        <v>4.3925000000000001</v>
      </c>
      <c r="G107" s="9">
        <f>4.3958 * CHOOSE(CONTROL!$C$32, $C$9, 100%, $E$9)</f>
        <v>4.3958000000000004</v>
      </c>
      <c r="H107" s="9">
        <f>4.6808 * CHOOSE(CONTROL!$C$32, $C$9, 100%, $E$9)</f>
        <v>4.6807999999999996</v>
      </c>
      <c r="I107" s="9">
        <f>4.684 * CHOOSE(CONTROL!$C$32, $C$9, 100%, $E$9)</f>
        <v>4.6840000000000002</v>
      </c>
      <c r="J107" s="9">
        <f>4.6808 * CHOOSE(CONTROL!$C$32, $C$9, 100%, $E$9)</f>
        <v>4.6807999999999996</v>
      </c>
      <c r="K107" s="9">
        <f>4.684 * CHOOSE(CONTROL!$C$32, $C$9, 100%, $E$9)</f>
        <v>4.6840000000000002</v>
      </c>
      <c r="L107" s="9">
        <f>4.3925 * CHOOSE(CONTROL!$C$32, $C$9, 100%, $E$9)</f>
        <v>4.3925000000000001</v>
      </c>
      <c r="M107" s="9">
        <f>4.3958 * CHOOSE(CONTROL!$C$32, $C$9, 100%, $E$9)</f>
        <v>4.3958000000000004</v>
      </c>
      <c r="N107" s="9">
        <f>4.3925 * CHOOSE(CONTROL!$C$32, $C$9, 100%, $E$9)</f>
        <v>4.3925000000000001</v>
      </c>
      <c r="O107" s="9">
        <f>4.3958 * CHOOSE(CONTROL!$C$32, $C$9, 100%, $E$9)</f>
        <v>4.3958000000000004</v>
      </c>
      <c r="P107" s="17"/>
      <c r="Q107" s="17"/>
      <c r="R107" s="17"/>
    </row>
    <row r="108" spans="1:18" ht="15" x14ac:dyDescent="0.2">
      <c r="A108" s="16">
        <v>44136</v>
      </c>
      <c r="B108" s="10">
        <f>3.7666 * CHOOSE(CONTROL!$C$32, $C$9, 100%, $E$9)</f>
        <v>3.7665999999999999</v>
      </c>
      <c r="C108" s="10">
        <f>3.7666 * CHOOSE(CONTROL!$C$32, $C$9, 100%, $E$9)</f>
        <v>3.7665999999999999</v>
      </c>
      <c r="D108" s="10">
        <f>3.7676 * CHOOSE(CONTROL!$C$32, $C$9, 100%, $E$9)</f>
        <v>3.7675999999999998</v>
      </c>
      <c r="E108" s="9">
        <f>4.4071 * CHOOSE(CONTROL!$C$32, $C$9, 100%, $E$9)</f>
        <v>4.4070999999999998</v>
      </c>
      <c r="F108" s="9">
        <f>4.4071 * CHOOSE(CONTROL!$C$32, $C$9, 100%, $E$9)</f>
        <v>4.4070999999999998</v>
      </c>
      <c r="G108" s="9">
        <f>4.4103 * CHOOSE(CONTROL!$C$32, $C$9, 100%, $E$9)</f>
        <v>4.4103000000000003</v>
      </c>
      <c r="H108" s="9">
        <f>4.6828 * CHOOSE(CONTROL!$C$32, $C$9, 100%, $E$9)</f>
        <v>4.6828000000000003</v>
      </c>
      <c r="I108" s="9">
        <f>4.686 * CHOOSE(CONTROL!$C$32, $C$9, 100%, $E$9)</f>
        <v>4.6859999999999999</v>
      </c>
      <c r="J108" s="9">
        <f>4.6828 * CHOOSE(CONTROL!$C$32, $C$9, 100%, $E$9)</f>
        <v>4.6828000000000003</v>
      </c>
      <c r="K108" s="9">
        <f>4.686 * CHOOSE(CONTROL!$C$32, $C$9, 100%, $E$9)</f>
        <v>4.6859999999999999</v>
      </c>
      <c r="L108" s="9">
        <f>4.4071 * CHOOSE(CONTROL!$C$32, $C$9, 100%, $E$9)</f>
        <v>4.4070999999999998</v>
      </c>
      <c r="M108" s="9">
        <f>4.4103 * CHOOSE(CONTROL!$C$32, $C$9, 100%, $E$9)</f>
        <v>4.4103000000000003</v>
      </c>
      <c r="N108" s="9">
        <f>4.4071 * CHOOSE(CONTROL!$C$32, $C$9, 100%, $E$9)</f>
        <v>4.4070999999999998</v>
      </c>
      <c r="O108" s="9">
        <f>4.4103 * CHOOSE(CONTROL!$C$32, $C$9, 100%, $E$9)</f>
        <v>4.4103000000000003</v>
      </c>
      <c r="P108" s="17"/>
      <c r="Q108" s="17"/>
      <c r="R108" s="17"/>
    </row>
    <row r="109" spans="1:18" ht="15" x14ac:dyDescent="0.2">
      <c r="A109" s="16">
        <v>44166</v>
      </c>
      <c r="B109" s="10">
        <f>3.7666 * CHOOSE(CONTROL!$C$32, $C$9, 100%, $E$9)</f>
        <v>3.7665999999999999</v>
      </c>
      <c r="C109" s="10">
        <f>3.7666 * CHOOSE(CONTROL!$C$32, $C$9, 100%, $E$9)</f>
        <v>3.7665999999999999</v>
      </c>
      <c r="D109" s="10">
        <f>3.7676 * CHOOSE(CONTROL!$C$32, $C$9, 100%, $E$9)</f>
        <v>3.7675999999999998</v>
      </c>
      <c r="E109" s="9">
        <f>4.376 * CHOOSE(CONTROL!$C$32, $C$9, 100%, $E$9)</f>
        <v>4.3760000000000003</v>
      </c>
      <c r="F109" s="9">
        <f>4.376 * CHOOSE(CONTROL!$C$32, $C$9, 100%, $E$9)</f>
        <v>4.3760000000000003</v>
      </c>
      <c r="G109" s="9">
        <f>4.3792 * CHOOSE(CONTROL!$C$32, $C$9, 100%, $E$9)</f>
        <v>4.3792</v>
      </c>
      <c r="H109" s="9">
        <f>4.6828 * CHOOSE(CONTROL!$C$32, $C$9, 100%, $E$9)</f>
        <v>4.6828000000000003</v>
      </c>
      <c r="I109" s="9">
        <f>4.686 * CHOOSE(CONTROL!$C$32, $C$9, 100%, $E$9)</f>
        <v>4.6859999999999999</v>
      </c>
      <c r="J109" s="9">
        <f>4.6828 * CHOOSE(CONTROL!$C$32, $C$9, 100%, $E$9)</f>
        <v>4.6828000000000003</v>
      </c>
      <c r="K109" s="9">
        <f>4.686 * CHOOSE(CONTROL!$C$32, $C$9, 100%, $E$9)</f>
        <v>4.6859999999999999</v>
      </c>
      <c r="L109" s="9">
        <f>4.376 * CHOOSE(CONTROL!$C$32, $C$9, 100%, $E$9)</f>
        <v>4.3760000000000003</v>
      </c>
      <c r="M109" s="9">
        <f>4.3792 * CHOOSE(CONTROL!$C$32, $C$9, 100%, $E$9)</f>
        <v>4.3792</v>
      </c>
      <c r="N109" s="9">
        <f>4.376 * CHOOSE(CONTROL!$C$32, $C$9, 100%, $E$9)</f>
        <v>4.3760000000000003</v>
      </c>
      <c r="O109" s="9">
        <f>4.3792 * CHOOSE(CONTROL!$C$32, $C$9, 100%, $E$9)</f>
        <v>4.3792</v>
      </c>
      <c r="P109" s="17"/>
      <c r="Q109" s="17"/>
      <c r="R109" s="17"/>
    </row>
    <row r="110" spans="1:18" ht="15" x14ac:dyDescent="0.2">
      <c r="A110" s="16">
        <v>44197</v>
      </c>
      <c r="B110" s="10">
        <f>3.7938 * CHOOSE(CONTROL!$C$32, $C$9, 100%, $E$9)</f>
        <v>3.7938000000000001</v>
      </c>
      <c r="C110" s="10">
        <f>3.7938 * CHOOSE(CONTROL!$C$32, $C$9, 100%, $E$9)</f>
        <v>3.7938000000000001</v>
      </c>
      <c r="D110" s="10">
        <f>3.7947 * CHOOSE(CONTROL!$C$32, $C$9, 100%, $E$9)</f>
        <v>3.7947000000000002</v>
      </c>
      <c r="E110" s="9">
        <f>4.3937 * CHOOSE(CONTROL!$C$32, $C$9, 100%, $E$9)</f>
        <v>4.3936999999999999</v>
      </c>
      <c r="F110" s="9">
        <f>4.3937 * CHOOSE(CONTROL!$C$32, $C$9, 100%, $E$9)</f>
        <v>4.3936999999999999</v>
      </c>
      <c r="G110" s="9">
        <f>4.3969 * CHOOSE(CONTROL!$C$32, $C$9, 100%, $E$9)</f>
        <v>4.3968999999999996</v>
      </c>
      <c r="H110" s="9">
        <f>4.7106 * CHOOSE(CONTROL!$C$32, $C$9, 100%, $E$9)</f>
        <v>4.7106000000000003</v>
      </c>
      <c r="I110" s="9">
        <f>4.7139 * CHOOSE(CONTROL!$C$32, $C$9, 100%, $E$9)</f>
        <v>4.7138999999999998</v>
      </c>
      <c r="J110" s="9">
        <f>4.7106 * CHOOSE(CONTROL!$C$32, $C$9, 100%, $E$9)</f>
        <v>4.7106000000000003</v>
      </c>
      <c r="K110" s="9">
        <f>4.7139 * CHOOSE(CONTROL!$C$32, $C$9, 100%, $E$9)</f>
        <v>4.7138999999999998</v>
      </c>
      <c r="L110" s="9">
        <f>4.3937 * CHOOSE(CONTROL!$C$32, $C$9, 100%, $E$9)</f>
        <v>4.3936999999999999</v>
      </c>
      <c r="M110" s="9">
        <f>4.3969 * CHOOSE(CONTROL!$C$32, $C$9, 100%, $E$9)</f>
        <v>4.3968999999999996</v>
      </c>
      <c r="N110" s="9">
        <f>4.3937 * CHOOSE(CONTROL!$C$32, $C$9, 100%, $E$9)</f>
        <v>4.3936999999999999</v>
      </c>
      <c r="O110" s="9">
        <f>4.3969 * CHOOSE(CONTROL!$C$32, $C$9, 100%, $E$9)</f>
        <v>4.3968999999999996</v>
      </c>
      <c r="P110" s="17"/>
      <c r="Q110" s="17"/>
      <c r="R110" s="17"/>
    </row>
    <row r="111" spans="1:18" ht="15" x14ac:dyDescent="0.2">
      <c r="A111" s="16">
        <v>44228</v>
      </c>
      <c r="B111" s="10">
        <f>3.7907 * CHOOSE(CONTROL!$C$32, $C$9, 100%, $E$9)</f>
        <v>3.7907000000000002</v>
      </c>
      <c r="C111" s="10">
        <f>3.7907 * CHOOSE(CONTROL!$C$32, $C$9, 100%, $E$9)</f>
        <v>3.7907000000000002</v>
      </c>
      <c r="D111" s="10">
        <f>3.7917 * CHOOSE(CONTROL!$C$32, $C$9, 100%, $E$9)</f>
        <v>3.7917000000000001</v>
      </c>
      <c r="E111" s="9">
        <f>4.3314 * CHOOSE(CONTROL!$C$32, $C$9, 100%, $E$9)</f>
        <v>4.3314000000000004</v>
      </c>
      <c r="F111" s="9">
        <f>4.3314 * CHOOSE(CONTROL!$C$32, $C$9, 100%, $E$9)</f>
        <v>4.3314000000000004</v>
      </c>
      <c r="G111" s="9">
        <f>4.3346 * CHOOSE(CONTROL!$C$32, $C$9, 100%, $E$9)</f>
        <v>4.3346</v>
      </c>
      <c r="H111" s="9">
        <f>4.7086 * CHOOSE(CONTROL!$C$32, $C$9, 100%, $E$9)</f>
        <v>4.7085999999999997</v>
      </c>
      <c r="I111" s="9">
        <f>4.7119 * CHOOSE(CONTROL!$C$32, $C$9, 100%, $E$9)</f>
        <v>4.7119</v>
      </c>
      <c r="J111" s="9">
        <f>4.7086 * CHOOSE(CONTROL!$C$32, $C$9, 100%, $E$9)</f>
        <v>4.7085999999999997</v>
      </c>
      <c r="K111" s="9">
        <f>4.7119 * CHOOSE(CONTROL!$C$32, $C$9, 100%, $E$9)</f>
        <v>4.7119</v>
      </c>
      <c r="L111" s="9">
        <f>4.3314 * CHOOSE(CONTROL!$C$32, $C$9, 100%, $E$9)</f>
        <v>4.3314000000000004</v>
      </c>
      <c r="M111" s="9">
        <f>4.3346 * CHOOSE(CONTROL!$C$32, $C$9, 100%, $E$9)</f>
        <v>4.3346</v>
      </c>
      <c r="N111" s="9">
        <f>4.3314 * CHOOSE(CONTROL!$C$32, $C$9, 100%, $E$9)</f>
        <v>4.3314000000000004</v>
      </c>
      <c r="O111" s="9">
        <f>4.3346 * CHOOSE(CONTROL!$C$32, $C$9, 100%, $E$9)</f>
        <v>4.3346</v>
      </c>
      <c r="P111" s="17"/>
      <c r="Q111" s="17"/>
      <c r="R111" s="17"/>
    </row>
    <row r="112" spans="1:18" ht="15" x14ac:dyDescent="0.2">
      <c r="A112" s="16">
        <v>44256</v>
      </c>
      <c r="B112" s="10">
        <f>3.7877 * CHOOSE(CONTROL!$C$32, $C$9, 100%, $E$9)</f>
        <v>3.7877000000000001</v>
      </c>
      <c r="C112" s="10">
        <f>3.7877 * CHOOSE(CONTROL!$C$32, $C$9, 100%, $E$9)</f>
        <v>3.7877000000000001</v>
      </c>
      <c r="D112" s="10">
        <f>3.7886 * CHOOSE(CONTROL!$C$32, $C$9, 100%, $E$9)</f>
        <v>3.7886000000000002</v>
      </c>
      <c r="E112" s="9">
        <f>4.3767 * CHOOSE(CONTROL!$C$32, $C$9, 100%, $E$9)</f>
        <v>4.3766999999999996</v>
      </c>
      <c r="F112" s="9">
        <f>4.3767 * CHOOSE(CONTROL!$C$32, $C$9, 100%, $E$9)</f>
        <v>4.3766999999999996</v>
      </c>
      <c r="G112" s="9">
        <f>4.38 * CHOOSE(CONTROL!$C$32, $C$9, 100%, $E$9)</f>
        <v>4.38</v>
      </c>
      <c r="H112" s="9">
        <f>4.7066 * CHOOSE(CONTROL!$C$32, $C$9, 100%, $E$9)</f>
        <v>4.7065999999999999</v>
      </c>
      <c r="I112" s="9">
        <f>4.7099 * CHOOSE(CONTROL!$C$32, $C$9, 100%, $E$9)</f>
        <v>4.7099000000000002</v>
      </c>
      <c r="J112" s="9">
        <f>4.7066 * CHOOSE(CONTROL!$C$32, $C$9, 100%, $E$9)</f>
        <v>4.7065999999999999</v>
      </c>
      <c r="K112" s="9">
        <f>4.7099 * CHOOSE(CONTROL!$C$32, $C$9, 100%, $E$9)</f>
        <v>4.7099000000000002</v>
      </c>
      <c r="L112" s="9">
        <f>4.3767 * CHOOSE(CONTROL!$C$32, $C$9, 100%, $E$9)</f>
        <v>4.3766999999999996</v>
      </c>
      <c r="M112" s="9">
        <f>4.38 * CHOOSE(CONTROL!$C$32, $C$9, 100%, $E$9)</f>
        <v>4.38</v>
      </c>
      <c r="N112" s="9">
        <f>4.3767 * CHOOSE(CONTROL!$C$32, $C$9, 100%, $E$9)</f>
        <v>4.3766999999999996</v>
      </c>
      <c r="O112" s="9">
        <f>4.38 * CHOOSE(CONTROL!$C$32, $C$9, 100%, $E$9)</f>
        <v>4.38</v>
      </c>
      <c r="P112" s="17"/>
      <c r="Q112" s="17"/>
      <c r="R112" s="17"/>
    </row>
    <row r="113" spans="1:18" ht="15" x14ac:dyDescent="0.2">
      <c r="A113" s="16">
        <v>44287</v>
      </c>
      <c r="B113" s="10">
        <f>3.7852 * CHOOSE(CONTROL!$C$32, $C$9, 100%, $E$9)</f>
        <v>3.7852000000000001</v>
      </c>
      <c r="C113" s="10">
        <f>3.7852 * CHOOSE(CONTROL!$C$32, $C$9, 100%, $E$9)</f>
        <v>3.7852000000000001</v>
      </c>
      <c r="D113" s="10">
        <f>3.7862 * CHOOSE(CONTROL!$C$32, $C$9, 100%, $E$9)</f>
        <v>3.7862</v>
      </c>
      <c r="E113" s="9">
        <f>4.4234 * CHOOSE(CONTROL!$C$32, $C$9, 100%, $E$9)</f>
        <v>4.4234</v>
      </c>
      <c r="F113" s="9">
        <f>4.4234 * CHOOSE(CONTROL!$C$32, $C$9, 100%, $E$9)</f>
        <v>4.4234</v>
      </c>
      <c r="G113" s="9">
        <f>4.4267 * CHOOSE(CONTROL!$C$32, $C$9, 100%, $E$9)</f>
        <v>4.4267000000000003</v>
      </c>
      <c r="H113" s="9">
        <f>4.7049 * CHOOSE(CONTROL!$C$32, $C$9, 100%, $E$9)</f>
        <v>4.7049000000000003</v>
      </c>
      <c r="I113" s="9">
        <f>4.7081 * CHOOSE(CONTROL!$C$32, $C$9, 100%, $E$9)</f>
        <v>4.7081</v>
      </c>
      <c r="J113" s="9">
        <f>4.7049 * CHOOSE(CONTROL!$C$32, $C$9, 100%, $E$9)</f>
        <v>4.7049000000000003</v>
      </c>
      <c r="K113" s="9">
        <f>4.7081 * CHOOSE(CONTROL!$C$32, $C$9, 100%, $E$9)</f>
        <v>4.7081</v>
      </c>
      <c r="L113" s="9">
        <f>4.4234 * CHOOSE(CONTROL!$C$32, $C$9, 100%, $E$9)</f>
        <v>4.4234</v>
      </c>
      <c r="M113" s="9">
        <f>4.4267 * CHOOSE(CONTROL!$C$32, $C$9, 100%, $E$9)</f>
        <v>4.4267000000000003</v>
      </c>
      <c r="N113" s="9">
        <f>4.4234 * CHOOSE(CONTROL!$C$32, $C$9, 100%, $E$9)</f>
        <v>4.4234</v>
      </c>
      <c r="O113" s="9">
        <f>4.4267 * CHOOSE(CONTROL!$C$32, $C$9, 100%, $E$9)</f>
        <v>4.4267000000000003</v>
      </c>
      <c r="P113" s="17"/>
      <c r="Q113" s="17"/>
      <c r="R113" s="17"/>
    </row>
    <row r="114" spans="1:18" ht="15" x14ac:dyDescent="0.2">
      <c r="A114" s="16">
        <v>44317</v>
      </c>
      <c r="B114" s="10">
        <f>3.7852 * CHOOSE(CONTROL!$C$32, $C$9, 100%, $E$9)</f>
        <v>3.7852000000000001</v>
      </c>
      <c r="C114" s="10">
        <f>3.7852 * CHOOSE(CONTROL!$C$32, $C$9, 100%, $E$9)</f>
        <v>3.7852000000000001</v>
      </c>
      <c r="D114" s="10">
        <f>3.7865 * CHOOSE(CONTROL!$C$32, $C$9, 100%, $E$9)</f>
        <v>3.7865000000000002</v>
      </c>
      <c r="E114" s="9">
        <f>4.4425 * CHOOSE(CONTROL!$C$32, $C$9, 100%, $E$9)</f>
        <v>4.4424999999999999</v>
      </c>
      <c r="F114" s="9">
        <f>4.4425 * CHOOSE(CONTROL!$C$32, $C$9, 100%, $E$9)</f>
        <v>4.4424999999999999</v>
      </c>
      <c r="G114" s="9">
        <f>4.4467 * CHOOSE(CONTROL!$C$32, $C$9, 100%, $E$9)</f>
        <v>4.4466999999999999</v>
      </c>
      <c r="H114" s="9">
        <f>4.7049 * CHOOSE(CONTROL!$C$32, $C$9, 100%, $E$9)</f>
        <v>4.7049000000000003</v>
      </c>
      <c r="I114" s="9">
        <f>4.7091 * CHOOSE(CONTROL!$C$32, $C$9, 100%, $E$9)</f>
        <v>4.7091000000000003</v>
      </c>
      <c r="J114" s="9">
        <f>4.7049 * CHOOSE(CONTROL!$C$32, $C$9, 100%, $E$9)</f>
        <v>4.7049000000000003</v>
      </c>
      <c r="K114" s="9">
        <f>4.7091 * CHOOSE(CONTROL!$C$32, $C$9, 100%, $E$9)</f>
        <v>4.7091000000000003</v>
      </c>
      <c r="L114" s="9">
        <f>4.4425 * CHOOSE(CONTROL!$C$32, $C$9, 100%, $E$9)</f>
        <v>4.4424999999999999</v>
      </c>
      <c r="M114" s="9">
        <f>4.4467 * CHOOSE(CONTROL!$C$32, $C$9, 100%, $E$9)</f>
        <v>4.4466999999999999</v>
      </c>
      <c r="N114" s="9">
        <f>4.4425 * CHOOSE(CONTROL!$C$32, $C$9, 100%, $E$9)</f>
        <v>4.4424999999999999</v>
      </c>
      <c r="O114" s="9">
        <f>4.4467 * CHOOSE(CONTROL!$C$32, $C$9, 100%, $E$9)</f>
        <v>4.4466999999999999</v>
      </c>
      <c r="P114" s="17"/>
      <c r="Q114" s="17"/>
      <c r="R114" s="17"/>
    </row>
    <row r="115" spans="1:18" ht="15" x14ac:dyDescent="0.2">
      <c r="A115" s="16">
        <v>44348</v>
      </c>
      <c r="B115" s="10">
        <f>3.7913 * CHOOSE(CONTROL!$C$32, $C$9, 100%, $E$9)</f>
        <v>3.7913000000000001</v>
      </c>
      <c r="C115" s="10">
        <f>3.7913 * CHOOSE(CONTROL!$C$32, $C$9, 100%, $E$9)</f>
        <v>3.7913000000000001</v>
      </c>
      <c r="D115" s="10">
        <f>3.7925 * CHOOSE(CONTROL!$C$32, $C$9, 100%, $E$9)</f>
        <v>3.7925</v>
      </c>
      <c r="E115" s="9">
        <f>4.4277 * CHOOSE(CONTROL!$C$32, $C$9, 100%, $E$9)</f>
        <v>4.4276999999999997</v>
      </c>
      <c r="F115" s="9">
        <f>4.4277 * CHOOSE(CONTROL!$C$32, $C$9, 100%, $E$9)</f>
        <v>4.4276999999999997</v>
      </c>
      <c r="G115" s="9">
        <f>4.4319 * CHOOSE(CONTROL!$C$32, $C$9, 100%, $E$9)</f>
        <v>4.4318999999999997</v>
      </c>
      <c r="H115" s="9">
        <f>4.7089 * CHOOSE(CONTROL!$C$32, $C$9, 100%, $E$9)</f>
        <v>4.7088999999999999</v>
      </c>
      <c r="I115" s="9">
        <f>4.7131 * CHOOSE(CONTROL!$C$32, $C$9, 100%, $E$9)</f>
        <v>4.7130999999999998</v>
      </c>
      <c r="J115" s="9">
        <f>4.7089 * CHOOSE(CONTROL!$C$32, $C$9, 100%, $E$9)</f>
        <v>4.7088999999999999</v>
      </c>
      <c r="K115" s="9">
        <f>4.7131 * CHOOSE(CONTROL!$C$32, $C$9, 100%, $E$9)</f>
        <v>4.7130999999999998</v>
      </c>
      <c r="L115" s="9">
        <f>4.4277 * CHOOSE(CONTROL!$C$32, $C$9, 100%, $E$9)</f>
        <v>4.4276999999999997</v>
      </c>
      <c r="M115" s="9">
        <f>4.4319 * CHOOSE(CONTROL!$C$32, $C$9, 100%, $E$9)</f>
        <v>4.4318999999999997</v>
      </c>
      <c r="N115" s="9">
        <f>4.4277 * CHOOSE(CONTROL!$C$32, $C$9, 100%, $E$9)</f>
        <v>4.4276999999999997</v>
      </c>
      <c r="O115" s="9">
        <f>4.4319 * CHOOSE(CONTROL!$C$32, $C$9, 100%, $E$9)</f>
        <v>4.4318999999999997</v>
      </c>
      <c r="P115" s="17"/>
      <c r="Q115" s="17"/>
      <c r="R115" s="17"/>
    </row>
    <row r="116" spans="1:18" ht="15" x14ac:dyDescent="0.2">
      <c r="A116" s="16">
        <v>44378</v>
      </c>
      <c r="B116" s="10">
        <f>3.8402 * CHOOSE(CONTROL!$C$32, $C$9, 100%, $E$9)</f>
        <v>3.8401999999999998</v>
      </c>
      <c r="C116" s="10">
        <f>3.8402 * CHOOSE(CONTROL!$C$32, $C$9, 100%, $E$9)</f>
        <v>3.8401999999999998</v>
      </c>
      <c r="D116" s="10">
        <f>3.8415 * CHOOSE(CONTROL!$C$32, $C$9, 100%, $E$9)</f>
        <v>3.8414999999999999</v>
      </c>
      <c r="E116" s="9">
        <f>4.4142 * CHOOSE(CONTROL!$C$32, $C$9, 100%, $E$9)</f>
        <v>4.4142000000000001</v>
      </c>
      <c r="F116" s="9">
        <f>4.4142 * CHOOSE(CONTROL!$C$32, $C$9, 100%, $E$9)</f>
        <v>4.4142000000000001</v>
      </c>
      <c r="G116" s="9">
        <f>4.4184 * CHOOSE(CONTROL!$C$32, $C$9, 100%, $E$9)</f>
        <v>4.4184000000000001</v>
      </c>
      <c r="H116" s="9">
        <f>4.7662 * CHOOSE(CONTROL!$C$32, $C$9, 100%, $E$9)</f>
        <v>4.7662000000000004</v>
      </c>
      <c r="I116" s="9">
        <f>4.7704 * CHOOSE(CONTROL!$C$32, $C$9, 100%, $E$9)</f>
        <v>4.7704000000000004</v>
      </c>
      <c r="J116" s="9">
        <f>4.7662 * CHOOSE(CONTROL!$C$32, $C$9, 100%, $E$9)</f>
        <v>4.7662000000000004</v>
      </c>
      <c r="K116" s="9">
        <f>4.7704 * CHOOSE(CONTROL!$C$32, $C$9, 100%, $E$9)</f>
        <v>4.7704000000000004</v>
      </c>
      <c r="L116" s="9">
        <f>4.4142 * CHOOSE(CONTROL!$C$32, $C$9, 100%, $E$9)</f>
        <v>4.4142000000000001</v>
      </c>
      <c r="M116" s="9">
        <f>4.4184 * CHOOSE(CONTROL!$C$32, $C$9, 100%, $E$9)</f>
        <v>4.4184000000000001</v>
      </c>
      <c r="N116" s="9">
        <f>4.4142 * CHOOSE(CONTROL!$C$32, $C$9, 100%, $E$9)</f>
        <v>4.4142000000000001</v>
      </c>
      <c r="O116" s="9">
        <f>4.4184 * CHOOSE(CONTROL!$C$32, $C$9, 100%, $E$9)</f>
        <v>4.4184000000000001</v>
      </c>
      <c r="P116" s="17"/>
      <c r="Q116" s="17"/>
      <c r="R116" s="17"/>
    </row>
    <row r="117" spans="1:18" ht="15" x14ac:dyDescent="0.2">
      <c r="A117" s="16">
        <v>44409</v>
      </c>
      <c r="B117" s="10">
        <f>3.8469 * CHOOSE(CONTROL!$C$32, $C$9, 100%, $E$9)</f>
        <v>3.8469000000000002</v>
      </c>
      <c r="C117" s="10">
        <f>3.8469 * CHOOSE(CONTROL!$C$32, $C$9, 100%, $E$9)</f>
        <v>3.8469000000000002</v>
      </c>
      <c r="D117" s="10">
        <f>3.8482 * CHOOSE(CONTROL!$C$32, $C$9, 100%, $E$9)</f>
        <v>3.8481999999999998</v>
      </c>
      <c r="E117" s="9">
        <f>4.3616 * CHOOSE(CONTROL!$C$32, $C$9, 100%, $E$9)</f>
        <v>4.3616000000000001</v>
      </c>
      <c r="F117" s="9">
        <f>4.3616 * CHOOSE(CONTROL!$C$32, $C$9, 100%, $E$9)</f>
        <v>4.3616000000000001</v>
      </c>
      <c r="G117" s="9">
        <f>4.3658 * CHOOSE(CONTROL!$C$32, $C$9, 100%, $E$9)</f>
        <v>4.3658000000000001</v>
      </c>
      <c r="H117" s="9">
        <f>4.7706 * CHOOSE(CONTROL!$C$32, $C$9, 100%, $E$9)</f>
        <v>4.7706</v>
      </c>
      <c r="I117" s="9">
        <f>4.7748 * CHOOSE(CONTROL!$C$32, $C$9, 100%, $E$9)</f>
        <v>4.7747999999999999</v>
      </c>
      <c r="J117" s="9">
        <f>4.7706 * CHOOSE(CONTROL!$C$32, $C$9, 100%, $E$9)</f>
        <v>4.7706</v>
      </c>
      <c r="K117" s="9">
        <f>4.7748 * CHOOSE(CONTROL!$C$32, $C$9, 100%, $E$9)</f>
        <v>4.7747999999999999</v>
      </c>
      <c r="L117" s="9">
        <f>4.3616 * CHOOSE(CONTROL!$C$32, $C$9, 100%, $E$9)</f>
        <v>4.3616000000000001</v>
      </c>
      <c r="M117" s="9">
        <f>4.3658 * CHOOSE(CONTROL!$C$32, $C$9, 100%, $E$9)</f>
        <v>4.3658000000000001</v>
      </c>
      <c r="N117" s="9">
        <f>4.3616 * CHOOSE(CONTROL!$C$32, $C$9, 100%, $E$9)</f>
        <v>4.3616000000000001</v>
      </c>
      <c r="O117" s="9">
        <f>4.3658 * CHOOSE(CONTROL!$C$32, $C$9, 100%, $E$9)</f>
        <v>4.3658000000000001</v>
      </c>
      <c r="P117" s="17"/>
      <c r="Q117" s="17"/>
      <c r="R117" s="17"/>
    </row>
    <row r="118" spans="1:18" ht="15" x14ac:dyDescent="0.2">
      <c r="A118" s="16">
        <v>44440</v>
      </c>
      <c r="B118" s="10">
        <f>3.8439 * CHOOSE(CONTROL!$C$32, $C$9, 100%, $E$9)</f>
        <v>3.8439000000000001</v>
      </c>
      <c r="C118" s="10">
        <f>3.8439 * CHOOSE(CONTROL!$C$32, $C$9, 100%, $E$9)</f>
        <v>3.8439000000000001</v>
      </c>
      <c r="D118" s="10">
        <f>3.8451 * CHOOSE(CONTROL!$C$32, $C$9, 100%, $E$9)</f>
        <v>3.8451</v>
      </c>
      <c r="E118" s="9">
        <f>4.3531 * CHOOSE(CONTROL!$C$32, $C$9, 100%, $E$9)</f>
        <v>4.3531000000000004</v>
      </c>
      <c r="F118" s="9">
        <f>4.3531 * CHOOSE(CONTROL!$C$32, $C$9, 100%, $E$9)</f>
        <v>4.3531000000000004</v>
      </c>
      <c r="G118" s="9">
        <f>4.3573 * CHOOSE(CONTROL!$C$32, $C$9, 100%, $E$9)</f>
        <v>4.3573000000000004</v>
      </c>
      <c r="H118" s="9">
        <f>4.7686 * CHOOSE(CONTROL!$C$32, $C$9, 100%, $E$9)</f>
        <v>4.7686000000000002</v>
      </c>
      <c r="I118" s="9">
        <f>4.7728 * CHOOSE(CONTROL!$C$32, $C$9, 100%, $E$9)</f>
        <v>4.7728000000000002</v>
      </c>
      <c r="J118" s="9">
        <f>4.7686 * CHOOSE(CONTROL!$C$32, $C$9, 100%, $E$9)</f>
        <v>4.7686000000000002</v>
      </c>
      <c r="K118" s="9">
        <f>4.7728 * CHOOSE(CONTROL!$C$32, $C$9, 100%, $E$9)</f>
        <v>4.7728000000000002</v>
      </c>
      <c r="L118" s="9">
        <f>4.3531 * CHOOSE(CONTROL!$C$32, $C$9, 100%, $E$9)</f>
        <v>4.3531000000000004</v>
      </c>
      <c r="M118" s="9">
        <f>4.3573 * CHOOSE(CONTROL!$C$32, $C$9, 100%, $E$9)</f>
        <v>4.3573000000000004</v>
      </c>
      <c r="N118" s="9">
        <f>4.3531 * CHOOSE(CONTROL!$C$32, $C$9, 100%, $E$9)</f>
        <v>4.3531000000000004</v>
      </c>
      <c r="O118" s="9">
        <f>4.3573 * CHOOSE(CONTROL!$C$32, $C$9, 100%, $E$9)</f>
        <v>4.3573000000000004</v>
      </c>
      <c r="P118" s="17"/>
      <c r="Q118" s="17"/>
      <c r="R118" s="17"/>
    </row>
    <row r="119" spans="1:18" ht="15" x14ac:dyDescent="0.2">
      <c r="A119" s="16">
        <v>44470</v>
      </c>
      <c r="B119" s="10">
        <f>3.8386 * CHOOSE(CONTROL!$C$32, $C$9, 100%, $E$9)</f>
        <v>3.8386</v>
      </c>
      <c r="C119" s="10">
        <f>3.8386 * CHOOSE(CONTROL!$C$32, $C$9, 100%, $E$9)</f>
        <v>3.8386</v>
      </c>
      <c r="D119" s="10">
        <f>3.8396 * CHOOSE(CONTROL!$C$32, $C$9, 100%, $E$9)</f>
        <v>3.8395999999999999</v>
      </c>
      <c r="E119" s="9">
        <f>4.3651 * CHOOSE(CONTROL!$C$32, $C$9, 100%, $E$9)</f>
        <v>4.3651</v>
      </c>
      <c r="F119" s="9">
        <f>4.3651 * CHOOSE(CONTROL!$C$32, $C$9, 100%, $E$9)</f>
        <v>4.3651</v>
      </c>
      <c r="G119" s="9">
        <f>4.3684 * CHOOSE(CONTROL!$C$32, $C$9, 100%, $E$9)</f>
        <v>4.3684000000000003</v>
      </c>
      <c r="H119" s="9">
        <f>4.7647 * CHOOSE(CONTROL!$C$32, $C$9, 100%, $E$9)</f>
        <v>4.7647000000000004</v>
      </c>
      <c r="I119" s="9">
        <f>4.7679 * CHOOSE(CONTROL!$C$32, $C$9, 100%, $E$9)</f>
        <v>4.7679</v>
      </c>
      <c r="J119" s="9">
        <f>4.7647 * CHOOSE(CONTROL!$C$32, $C$9, 100%, $E$9)</f>
        <v>4.7647000000000004</v>
      </c>
      <c r="K119" s="9">
        <f>4.7679 * CHOOSE(CONTROL!$C$32, $C$9, 100%, $E$9)</f>
        <v>4.7679</v>
      </c>
      <c r="L119" s="9">
        <f>4.3651 * CHOOSE(CONTROL!$C$32, $C$9, 100%, $E$9)</f>
        <v>4.3651</v>
      </c>
      <c r="M119" s="9">
        <f>4.3684 * CHOOSE(CONTROL!$C$32, $C$9, 100%, $E$9)</f>
        <v>4.3684000000000003</v>
      </c>
      <c r="N119" s="9">
        <f>4.3651 * CHOOSE(CONTROL!$C$32, $C$9, 100%, $E$9)</f>
        <v>4.3651</v>
      </c>
      <c r="O119" s="9">
        <f>4.3684 * CHOOSE(CONTROL!$C$32, $C$9, 100%, $E$9)</f>
        <v>4.3684000000000003</v>
      </c>
      <c r="P119" s="17"/>
      <c r="Q119" s="17"/>
      <c r="R119" s="17"/>
    </row>
    <row r="120" spans="1:18" ht="15" x14ac:dyDescent="0.2">
      <c r="A120" s="16">
        <v>44501</v>
      </c>
      <c r="B120" s="10">
        <f>3.8417 * CHOOSE(CONTROL!$C$32, $C$9, 100%, $E$9)</f>
        <v>3.8416999999999999</v>
      </c>
      <c r="C120" s="10">
        <f>3.8417 * CHOOSE(CONTROL!$C$32, $C$9, 100%, $E$9)</f>
        <v>3.8416999999999999</v>
      </c>
      <c r="D120" s="10">
        <f>3.8426 * CHOOSE(CONTROL!$C$32, $C$9, 100%, $E$9)</f>
        <v>3.8426</v>
      </c>
      <c r="E120" s="9">
        <f>4.38 * CHOOSE(CONTROL!$C$32, $C$9, 100%, $E$9)</f>
        <v>4.38</v>
      </c>
      <c r="F120" s="9">
        <f>4.38 * CHOOSE(CONTROL!$C$32, $C$9, 100%, $E$9)</f>
        <v>4.38</v>
      </c>
      <c r="G120" s="9">
        <f>4.3832 * CHOOSE(CONTROL!$C$32, $C$9, 100%, $E$9)</f>
        <v>4.3832000000000004</v>
      </c>
      <c r="H120" s="9">
        <f>4.7667 * CHOOSE(CONTROL!$C$32, $C$9, 100%, $E$9)</f>
        <v>4.7667000000000002</v>
      </c>
      <c r="I120" s="9">
        <f>4.7699 * CHOOSE(CONTROL!$C$32, $C$9, 100%, $E$9)</f>
        <v>4.7698999999999998</v>
      </c>
      <c r="J120" s="9">
        <f>4.7667 * CHOOSE(CONTROL!$C$32, $C$9, 100%, $E$9)</f>
        <v>4.7667000000000002</v>
      </c>
      <c r="K120" s="9">
        <f>4.7699 * CHOOSE(CONTROL!$C$32, $C$9, 100%, $E$9)</f>
        <v>4.7698999999999998</v>
      </c>
      <c r="L120" s="9">
        <f>4.38 * CHOOSE(CONTROL!$C$32, $C$9, 100%, $E$9)</f>
        <v>4.38</v>
      </c>
      <c r="M120" s="9">
        <f>4.3832 * CHOOSE(CONTROL!$C$32, $C$9, 100%, $E$9)</f>
        <v>4.3832000000000004</v>
      </c>
      <c r="N120" s="9">
        <f>4.38 * CHOOSE(CONTROL!$C$32, $C$9, 100%, $E$9)</f>
        <v>4.38</v>
      </c>
      <c r="O120" s="9">
        <f>4.3832 * CHOOSE(CONTROL!$C$32, $C$9, 100%, $E$9)</f>
        <v>4.3832000000000004</v>
      </c>
      <c r="P120" s="17"/>
      <c r="Q120" s="17"/>
      <c r="R120" s="17"/>
    </row>
    <row r="121" spans="1:18" ht="15" x14ac:dyDescent="0.2">
      <c r="A121" s="16">
        <v>44531</v>
      </c>
      <c r="B121" s="10">
        <f>3.8417 * CHOOSE(CONTROL!$C$32, $C$9, 100%, $E$9)</f>
        <v>3.8416999999999999</v>
      </c>
      <c r="C121" s="10">
        <f>3.8417 * CHOOSE(CONTROL!$C$32, $C$9, 100%, $E$9)</f>
        <v>3.8416999999999999</v>
      </c>
      <c r="D121" s="10">
        <f>3.8426 * CHOOSE(CONTROL!$C$32, $C$9, 100%, $E$9)</f>
        <v>3.8426</v>
      </c>
      <c r="E121" s="9">
        <f>4.3481 * CHOOSE(CONTROL!$C$32, $C$9, 100%, $E$9)</f>
        <v>4.3480999999999996</v>
      </c>
      <c r="F121" s="9">
        <f>4.3481 * CHOOSE(CONTROL!$C$32, $C$9, 100%, $E$9)</f>
        <v>4.3480999999999996</v>
      </c>
      <c r="G121" s="9">
        <f>4.3514 * CHOOSE(CONTROL!$C$32, $C$9, 100%, $E$9)</f>
        <v>4.3513999999999999</v>
      </c>
      <c r="H121" s="9">
        <f>4.7667 * CHOOSE(CONTROL!$C$32, $C$9, 100%, $E$9)</f>
        <v>4.7667000000000002</v>
      </c>
      <c r="I121" s="9">
        <f>4.7699 * CHOOSE(CONTROL!$C$32, $C$9, 100%, $E$9)</f>
        <v>4.7698999999999998</v>
      </c>
      <c r="J121" s="9">
        <f>4.7667 * CHOOSE(CONTROL!$C$32, $C$9, 100%, $E$9)</f>
        <v>4.7667000000000002</v>
      </c>
      <c r="K121" s="9">
        <f>4.7699 * CHOOSE(CONTROL!$C$32, $C$9, 100%, $E$9)</f>
        <v>4.7698999999999998</v>
      </c>
      <c r="L121" s="9">
        <f>4.3481 * CHOOSE(CONTROL!$C$32, $C$9, 100%, $E$9)</f>
        <v>4.3480999999999996</v>
      </c>
      <c r="M121" s="9">
        <f>4.3514 * CHOOSE(CONTROL!$C$32, $C$9, 100%, $E$9)</f>
        <v>4.3513999999999999</v>
      </c>
      <c r="N121" s="9">
        <f>4.3481 * CHOOSE(CONTROL!$C$32, $C$9, 100%, $E$9)</f>
        <v>4.3480999999999996</v>
      </c>
      <c r="O121" s="9">
        <f>4.3514 * CHOOSE(CONTROL!$C$32, $C$9, 100%, $E$9)</f>
        <v>4.3513999999999999</v>
      </c>
      <c r="P121" s="17"/>
      <c r="Q121" s="17"/>
      <c r="R121" s="17"/>
    </row>
    <row r="122" spans="1:18" ht="15" x14ac:dyDescent="0.2">
      <c r="A122" s="16">
        <v>44562</v>
      </c>
      <c r="B122" s="10">
        <f>3.8771 * CHOOSE(CONTROL!$C$32, $C$9, 100%, $E$9)</f>
        <v>3.8771</v>
      </c>
      <c r="C122" s="10">
        <f>3.8771 * CHOOSE(CONTROL!$C$32, $C$9, 100%, $E$9)</f>
        <v>3.8771</v>
      </c>
      <c r="D122" s="10">
        <f>3.878 * CHOOSE(CONTROL!$C$32, $C$9, 100%, $E$9)</f>
        <v>3.8780000000000001</v>
      </c>
      <c r="E122" s="9">
        <f>4.4143 * CHOOSE(CONTROL!$C$32, $C$9, 100%, $E$9)</f>
        <v>4.4142999999999999</v>
      </c>
      <c r="F122" s="9">
        <f>4.4143 * CHOOSE(CONTROL!$C$32, $C$9, 100%, $E$9)</f>
        <v>4.4142999999999999</v>
      </c>
      <c r="G122" s="9">
        <f>4.4175 * CHOOSE(CONTROL!$C$32, $C$9, 100%, $E$9)</f>
        <v>4.4175000000000004</v>
      </c>
      <c r="H122" s="9">
        <f>4.8085 * CHOOSE(CONTROL!$C$32, $C$9, 100%, $E$9)</f>
        <v>4.8085000000000004</v>
      </c>
      <c r="I122" s="9">
        <f>4.8118 * CHOOSE(CONTROL!$C$32, $C$9, 100%, $E$9)</f>
        <v>4.8117999999999999</v>
      </c>
      <c r="J122" s="9">
        <f>4.8085 * CHOOSE(CONTROL!$C$32, $C$9, 100%, $E$9)</f>
        <v>4.8085000000000004</v>
      </c>
      <c r="K122" s="9">
        <f>4.8118 * CHOOSE(CONTROL!$C$32, $C$9, 100%, $E$9)</f>
        <v>4.8117999999999999</v>
      </c>
      <c r="L122" s="9">
        <f>4.4143 * CHOOSE(CONTROL!$C$32, $C$9, 100%, $E$9)</f>
        <v>4.4142999999999999</v>
      </c>
      <c r="M122" s="9">
        <f>4.4175 * CHOOSE(CONTROL!$C$32, $C$9, 100%, $E$9)</f>
        <v>4.4175000000000004</v>
      </c>
      <c r="N122" s="9">
        <f>4.4143 * CHOOSE(CONTROL!$C$32, $C$9, 100%, $E$9)</f>
        <v>4.4142999999999999</v>
      </c>
      <c r="O122" s="9">
        <f>4.4175 * CHOOSE(CONTROL!$C$32, $C$9, 100%, $E$9)</f>
        <v>4.4175000000000004</v>
      </c>
      <c r="P122" s="17"/>
      <c r="Q122" s="17"/>
      <c r="R122" s="17"/>
    </row>
    <row r="123" spans="1:18" ht="15" x14ac:dyDescent="0.2">
      <c r="A123" s="16">
        <v>44593</v>
      </c>
      <c r="B123" s="10">
        <f>3.874 * CHOOSE(CONTROL!$C$32, $C$9, 100%, $E$9)</f>
        <v>3.8740000000000001</v>
      </c>
      <c r="C123" s="10">
        <f>3.874 * CHOOSE(CONTROL!$C$32, $C$9, 100%, $E$9)</f>
        <v>3.8740000000000001</v>
      </c>
      <c r="D123" s="10">
        <f>3.875 * CHOOSE(CONTROL!$C$32, $C$9, 100%, $E$9)</f>
        <v>3.875</v>
      </c>
      <c r="E123" s="9">
        <f>4.3499 * CHOOSE(CONTROL!$C$32, $C$9, 100%, $E$9)</f>
        <v>4.3498999999999999</v>
      </c>
      <c r="F123" s="9">
        <f>4.3499 * CHOOSE(CONTROL!$C$32, $C$9, 100%, $E$9)</f>
        <v>4.3498999999999999</v>
      </c>
      <c r="G123" s="9">
        <f>4.3531 * CHOOSE(CONTROL!$C$32, $C$9, 100%, $E$9)</f>
        <v>4.3531000000000004</v>
      </c>
      <c r="H123" s="9">
        <f>4.8065 * CHOOSE(CONTROL!$C$32, $C$9, 100%, $E$9)</f>
        <v>4.8064999999999998</v>
      </c>
      <c r="I123" s="9">
        <f>4.8098 * CHOOSE(CONTROL!$C$32, $C$9, 100%, $E$9)</f>
        <v>4.8098000000000001</v>
      </c>
      <c r="J123" s="9">
        <f>4.8065 * CHOOSE(CONTROL!$C$32, $C$9, 100%, $E$9)</f>
        <v>4.8064999999999998</v>
      </c>
      <c r="K123" s="9">
        <f>4.8098 * CHOOSE(CONTROL!$C$32, $C$9, 100%, $E$9)</f>
        <v>4.8098000000000001</v>
      </c>
      <c r="L123" s="9">
        <f>4.3499 * CHOOSE(CONTROL!$C$32, $C$9, 100%, $E$9)</f>
        <v>4.3498999999999999</v>
      </c>
      <c r="M123" s="9">
        <f>4.3531 * CHOOSE(CONTROL!$C$32, $C$9, 100%, $E$9)</f>
        <v>4.3531000000000004</v>
      </c>
      <c r="N123" s="9">
        <f>4.3499 * CHOOSE(CONTROL!$C$32, $C$9, 100%, $E$9)</f>
        <v>4.3498999999999999</v>
      </c>
      <c r="O123" s="9">
        <f>4.3531 * CHOOSE(CONTROL!$C$32, $C$9, 100%, $E$9)</f>
        <v>4.3531000000000004</v>
      </c>
      <c r="P123" s="17"/>
      <c r="Q123" s="17"/>
      <c r="R123" s="17"/>
    </row>
    <row r="124" spans="1:18" ht="15" x14ac:dyDescent="0.2">
      <c r="A124" s="16">
        <v>44621</v>
      </c>
      <c r="B124" s="10">
        <f>3.871 * CHOOSE(CONTROL!$C$32, $C$9, 100%, $E$9)</f>
        <v>3.871</v>
      </c>
      <c r="C124" s="10">
        <f>3.871 * CHOOSE(CONTROL!$C$32, $C$9, 100%, $E$9)</f>
        <v>3.871</v>
      </c>
      <c r="D124" s="10">
        <f>3.8719 * CHOOSE(CONTROL!$C$32, $C$9, 100%, $E$9)</f>
        <v>3.8719000000000001</v>
      </c>
      <c r="E124" s="9">
        <f>4.3968 * CHOOSE(CONTROL!$C$32, $C$9, 100%, $E$9)</f>
        <v>4.3967999999999998</v>
      </c>
      <c r="F124" s="9">
        <f>4.3968 * CHOOSE(CONTROL!$C$32, $C$9, 100%, $E$9)</f>
        <v>4.3967999999999998</v>
      </c>
      <c r="G124" s="9">
        <f>4.4001 * CHOOSE(CONTROL!$C$32, $C$9, 100%, $E$9)</f>
        <v>4.4001000000000001</v>
      </c>
      <c r="H124" s="9">
        <f>4.8045 * CHOOSE(CONTROL!$C$32, $C$9, 100%, $E$9)</f>
        <v>4.8045</v>
      </c>
      <c r="I124" s="9">
        <f>4.8078 * CHOOSE(CONTROL!$C$32, $C$9, 100%, $E$9)</f>
        <v>4.8078000000000003</v>
      </c>
      <c r="J124" s="9">
        <f>4.8045 * CHOOSE(CONTROL!$C$32, $C$9, 100%, $E$9)</f>
        <v>4.8045</v>
      </c>
      <c r="K124" s="9">
        <f>4.8078 * CHOOSE(CONTROL!$C$32, $C$9, 100%, $E$9)</f>
        <v>4.8078000000000003</v>
      </c>
      <c r="L124" s="9">
        <f>4.3968 * CHOOSE(CONTROL!$C$32, $C$9, 100%, $E$9)</f>
        <v>4.3967999999999998</v>
      </c>
      <c r="M124" s="9">
        <f>4.4001 * CHOOSE(CONTROL!$C$32, $C$9, 100%, $E$9)</f>
        <v>4.4001000000000001</v>
      </c>
      <c r="N124" s="9">
        <f>4.3968 * CHOOSE(CONTROL!$C$32, $C$9, 100%, $E$9)</f>
        <v>4.3967999999999998</v>
      </c>
      <c r="O124" s="9">
        <f>4.4001 * CHOOSE(CONTROL!$C$32, $C$9, 100%, $E$9)</f>
        <v>4.4001000000000001</v>
      </c>
      <c r="P124" s="17"/>
      <c r="Q124" s="17"/>
      <c r="R124" s="17"/>
    </row>
    <row r="125" spans="1:18" ht="15" x14ac:dyDescent="0.2">
      <c r="A125" s="16">
        <v>44652</v>
      </c>
      <c r="B125" s="10">
        <f>3.8686 * CHOOSE(CONTROL!$C$32, $C$9, 100%, $E$9)</f>
        <v>3.8685999999999998</v>
      </c>
      <c r="C125" s="10">
        <f>3.8686 * CHOOSE(CONTROL!$C$32, $C$9, 100%, $E$9)</f>
        <v>3.8685999999999998</v>
      </c>
      <c r="D125" s="10">
        <f>3.8696 * CHOOSE(CONTROL!$C$32, $C$9, 100%, $E$9)</f>
        <v>3.8696000000000002</v>
      </c>
      <c r="E125" s="9">
        <f>4.4453 * CHOOSE(CONTROL!$C$32, $C$9, 100%, $E$9)</f>
        <v>4.4452999999999996</v>
      </c>
      <c r="F125" s="9">
        <f>4.4453 * CHOOSE(CONTROL!$C$32, $C$9, 100%, $E$9)</f>
        <v>4.4452999999999996</v>
      </c>
      <c r="G125" s="9">
        <f>4.4486 * CHOOSE(CONTROL!$C$32, $C$9, 100%, $E$9)</f>
        <v>4.4485999999999999</v>
      </c>
      <c r="H125" s="9">
        <f>4.8028 * CHOOSE(CONTROL!$C$32, $C$9, 100%, $E$9)</f>
        <v>4.8028000000000004</v>
      </c>
      <c r="I125" s="9">
        <f>4.8061 * CHOOSE(CONTROL!$C$32, $C$9, 100%, $E$9)</f>
        <v>4.8060999999999998</v>
      </c>
      <c r="J125" s="9">
        <f>4.8028 * CHOOSE(CONTROL!$C$32, $C$9, 100%, $E$9)</f>
        <v>4.8028000000000004</v>
      </c>
      <c r="K125" s="9">
        <f>4.8061 * CHOOSE(CONTROL!$C$32, $C$9, 100%, $E$9)</f>
        <v>4.8060999999999998</v>
      </c>
      <c r="L125" s="9">
        <f>4.4453 * CHOOSE(CONTROL!$C$32, $C$9, 100%, $E$9)</f>
        <v>4.4452999999999996</v>
      </c>
      <c r="M125" s="9">
        <f>4.4486 * CHOOSE(CONTROL!$C$32, $C$9, 100%, $E$9)</f>
        <v>4.4485999999999999</v>
      </c>
      <c r="N125" s="9">
        <f>4.4453 * CHOOSE(CONTROL!$C$32, $C$9, 100%, $E$9)</f>
        <v>4.4452999999999996</v>
      </c>
      <c r="O125" s="9">
        <f>4.4486 * CHOOSE(CONTROL!$C$32, $C$9, 100%, $E$9)</f>
        <v>4.4485999999999999</v>
      </c>
      <c r="P125" s="17"/>
      <c r="Q125" s="17"/>
      <c r="R125" s="17"/>
    </row>
    <row r="126" spans="1:18" ht="15" x14ac:dyDescent="0.2">
      <c r="A126" s="16">
        <v>44682</v>
      </c>
      <c r="B126" s="10">
        <f>3.8686 * CHOOSE(CONTROL!$C$32, $C$9, 100%, $E$9)</f>
        <v>3.8685999999999998</v>
      </c>
      <c r="C126" s="10">
        <f>3.8686 * CHOOSE(CONTROL!$C$32, $C$9, 100%, $E$9)</f>
        <v>3.8685999999999998</v>
      </c>
      <c r="D126" s="10">
        <f>3.8698 * CHOOSE(CONTROL!$C$32, $C$9, 100%, $E$9)</f>
        <v>3.8698000000000001</v>
      </c>
      <c r="E126" s="9">
        <f>4.4651 * CHOOSE(CONTROL!$C$32, $C$9, 100%, $E$9)</f>
        <v>4.4650999999999996</v>
      </c>
      <c r="F126" s="9">
        <f>4.4651 * CHOOSE(CONTROL!$C$32, $C$9, 100%, $E$9)</f>
        <v>4.4650999999999996</v>
      </c>
      <c r="G126" s="9">
        <f>4.4693 * CHOOSE(CONTROL!$C$32, $C$9, 100%, $E$9)</f>
        <v>4.4692999999999996</v>
      </c>
      <c r="H126" s="9">
        <f>4.8028 * CHOOSE(CONTROL!$C$32, $C$9, 100%, $E$9)</f>
        <v>4.8028000000000004</v>
      </c>
      <c r="I126" s="9">
        <f>4.807 * CHOOSE(CONTROL!$C$32, $C$9, 100%, $E$9)</f>
        <v>4.8070000000000004</v>
      </c>
      <c r="J126" s="9">
        <f>4.8028 * CHOOSE(CONTROL!$C$32, $C$9, 100%, $E$9)</f>
        <v>4.8028000000000004</v>
      </c>
      <c r="K126" s="9">
        <f>4.807 * CHOOSE(CONTROL!$C$32, $C$9, 100%, $E$9)</f>
        <v>4.8070000000000004</v>
      </c>
      <c r="L126" s="9">
        <f>4.4651 * CHOOSE(CONTROL!$C$32, $C$9, 100%, $E$9)</f>
        <v>4.4650999999999996</v>
      </c>
      <c r="M126" s="9">
        <f>4.4693 * CHOOSE(CONTROL!$C$32, $C$9, 100%, $E$9)</f>
        <v>4.4692999999999996</v>
      </c>
      <c r="N126" s="9">
        <f>4.4651 * CHOOSE(CONTROL!$C$32, $C$9, 100%, $E$9)</f>
        <v>4.4650999999999996</v>
      </c>
      <c r="O126" s="9">
        <f>4.4693 * CHOOSE(CONTROL!$C$32, $C$9, 100%, $E$9)</f>
        <v>4.4692999999999996</v>
      </c>
      <c r="P126" s="17"/>
      <c r="Q126" s="17"/>
      <c r="R126" s="17"/>
    </row>
    <row r="127" spans="1:18" ht="15" x14ac:dyDescent="0.2">
      <c r="A127" s="16">
        <v>44713</v>
      </c>
      <c r="B127" s="10">
        <f>3.8747 * CHOOSE(CONTROL!$C$32, $C$9, 100%, $E$9)</f>
        <v>3.8746999999999998</v>
      </c>
      <c r="C127" s="10">
        <f>3.8747 * CHOOSE(CONTROL!$C$32, $C$9, 100%, $E$9)</f>
        <v>3.8746999999999998</v>
      </c>
      <c r="D127" s="10">
        <f>3.8759 * CHOOSE(CONTROL!$C$32, $C$9, 100%, $E$9)</f>
        <v>3.8759000000000001</v>
      </c>
      <c r="E127" s="9">
        <f>4.4496 * CHOOSE(CONTROL!$C$32, $C$9, 100%, $E$9)</f>
        <v>4.4496000000000002</v>
      </c>
      <c r="F127" s="9">
        <f>4.4496 * CHOOSE(CONTROL!$C$32, $C$9, 100%, $E$9)</f>
        <v>4.4496000000000002</v>
      </c>
      <c r="G127" s="9">
        <f>4.4538 * CHOOSE(CONTROL!$C$32, $C$9, 100%, $E$9)</f>
        <v>4.4538000000000002</v>
      </c>
      <c r="H127" s="9">
        <f>4.8068 * CHOOSE(CONTROL!$C$32, $C$9, 100%, $E$9)</f>
        <v>4.8068</v>
      </c>
      <c r="I127" s="9">
        <f>4.811 * CHOOSE(CONTROL!$C$32, $C$9, 100%, $E$9)</f>
        <v>4.8109999999999999</v>
      </c>
      <c r="J127" s="9">
        <f>4.8068 * CHOOSE(CONTROL!$C$32, $C$9, 100%, $E$9)</f>
        <v>4.8068</v>
      </c>
      <c r="K127" s="9">
        <f>4.811 * CHOOSE(CONTROL!$C$32, $C$9, 100%, $E$9)</f>
        <v>4.8109999999999999</v>
      </c>
      <c r="L127" s="9">
        <f>4.4496 * CHOOSE(CONTROL!$C$32, $C$9, 100%, $E$9)</f>
        <v>4.4496000000000002</v>
      </c>
      <c r="M127" s="9">
        <f>4.4538 * CHOOSE(CONTROL!$C$32, $C$9, 100%, $E$9)</f>
        <v>4.4538000000000002</v>
      </c>
      <c r="N127" s="9">
        <f>4.4496 * CHOOSE(CONTROL!$C$32, $C$9, 100%, $E$9)</f>
        <v>4.4496000000000002</v>
      </c>
      <c r="O127" s="9">
        <f>4.4538 * CHOOSE(CONTROL!$C$32, $C$9, 100%, $E$9)</f>
        <v>4.4538000000000002</v>
      </c>
      <c r="P127" s="17"/>
      <c r="Q127" s="17"/>
      <c r="R127" s="17"/>
    </row>
    <row r="128" spans="1:18" ht="15" x14ac:dyDescent="0.2">
      <c r="A128" s="16">
        <v>44743</v>
      </c>
      <c r="B128" s="10">
        <f>3.9387 * CHOOSE(CONTROL!$C$32, $C$9, 100%, $E$9)</f>
        <v>3.9386999999999999</v>
      </c>
      <c r="C128" s="10">
        <f>3.9387 * CHOOSE(CONTROL!$C$32, $C$9, 100%, $E$9)</f>
        <v>3.9386999999999999</v>
      </c>
      <c r="D128" s="10">
        <f>3.9399 * CHOOSE(CONTROL!$C$32, $C$9, 100%, $E$9)</f>
        <v>3.9399000000000002</v>
      </c>
      <c r="E128" s="9">
        <f>4.5339 * CHOOSE(CONTROL!$C$32, $C$9, 100%, $E$9)</f>
        <v>4.5339</v>
      </c>
      <c r="F128" s="9">
        <f>4.5339 * CHOOSE(CONTROL!$C$32, $C$9, 100%, $E$9)</f>
        <v>4.5339</v>
      </c>
      <c r="G128" s="9">
        <f>4.5381 * CHOOSE(CONTROL!$C$32, $C$9, 100%, $E$9)</f>
        <v>4.5381</v>
      </c>
      <c r="H128" s="9">
        <f>4.8953 * CHOOSE(CONTROL!$C$32, $C$9, 100%, $E$9)</f>
        <v>4.8952999999999998</v>
      </c>
      <c r="I128" s="9">
        <f>4.8995 * CHOOSE(CONTROL!$C$32, $C$9, 100%, $E$9)</f>
        <v>4.8994999999999997</v>
      </c>
      <c r="J128" s="9">
        <f>4.8953 * CHOOSE(CONTROL!$C$32, $C$9, 100%, $E$9)</f>
        <v>4.8952999999999998</v>
      </c>
      <c r="K128" s="9">
        <f>4.8995 * CHOOSE(CONTROL!$C$32, $C$9, 100%, $E$9)</f>
        <v>4.8994999999999997</v>
      </c>
      <c r="L128" s="9">
        <f>4.5339 * CHOOSE(CONTROL!$C$32, $C$9, 100%, $E$9)</f>
        <v>4.5339</v>
      </c>
      <c r="M128" s="9">
        <f>4.5381 * CHOOSE(CONTROL!$C$32, $C$9, 100%, $E$9)</f>
        <v>4.5381</v>
      </c>
      <c r="N128" s="9">
        <f>4.5339 * CHOOSE(CONTROL!$C$32, $C$9, 100%, $E$9)</f>
        <v>4.5339</v>
      </c>
      <c r="O128" s="9">
        <f>4.5381 * CHOOSE(CONTROL!$C$32, $C$9, 100%, $E$9)</f>
        <v>4.5381</v>
      </c>
      <c r="P128" s="17"/>
      <c r="Q128" s="17"/>
      <c r="R128" s="17"/>
    </row>
    <row r="129" spans="1:18" ht="15" x14ac:dyDescent="0.2">
      <c r="A129" s="16">
        <v>44774</v>
      </c>
      <c r="B129" s="10">
        <f>3.9454 * CHOOSE(CONTROL!$C$32, $C$9, 100%, $E$9)</f>
        <v>3.9453999999999998</v>
      </c>
      <c r="C129" s="10">
        <f>3.9454 * CHOOSE(CONTROL!$C$32, $C$9, 100%, $E$9)</f>
        <v>3.9453999999999998</v>
      </c>
      <c r="D129" s="10">
        <f>3.9466 * CHOOSE(CONTROL!$C$32, $C$9, 100%, $E$9)</f>
        <v>3.9466000000000001</v>
      </c>
      <c r="E129" s="9">
        <f>4.4792 * CHOOSE(CONTROL!$C$32, $C$9, 100%, $E$9)</f>
        <v>4.4791999999999996</v>
      </c>
      <c r="F129" s="9">
        <f>4.4792 * CHOOSE(CONTROL!$C$32, $C$9, 100%, $E$9)</f>
        <v>4.4791999999999996</v>
      </c>
      <c r="G129" s="9">
        <f>4.4834 * CHOOSE(CONTROL!$C$32, $C$9, 100%, $E$9)</f>
        <v>4.4833999999999996</v>
      </c>
      <c r="H129" s="9">
        <f>4.8997 * CHOOSE(CONTROL!$C$32, $C$9, 100%, $E$9)</f>
        <v>4.8997000000000002</v>
      </c>
      <c r="I129" s="9">
        <f>4.9039 * CHOOSE(CONTROL!$C$32, $C$9, 100%, $E$9)</f>
        <v>4.9039000000000001</v>
      </c>
      <c r="J129" s="9">
        <f>4.8997 * CHOOSE(CONTROL!$C$32, $C$9, 100%, $E$9)</f>
        <v>4.8997000000000002</v>
      </c>
      <c r="K129" s="9">
        <f>4.9039 * CHOOSE(CONTROL!$C$32, $C$9, 100%, $E$9)</f>
        <v>4.9039000000000001</v>
      </c>
      <c r="L129" s="9">
        <f>4.4792 * CHOOSE(CONTROL!$C$32, $C$9, 100%, $E$9)</f>
        <v>4.4791999999999996</v>
      </c>
      <c r="M129" s="9">
        <f>4.4834 * CHOOSE(CONTROL!$C$32, $C$9, 100%, $E$9)</f>
        <v>4.4833999999999996</v>
      </c>
      <c r="N129" s="9">
        <f>4.4792 * CHOOSE(CONTROL!$C$32, $C$9, 100%, $E$9)</f>
        <v>4.4791999999999996</v>
      </c>
      <c r="O129" s="9">
        <f>4.4834 * CHOOSE(CONTROL!$C$32, $C$9, 100%, $E$9)</f>
        <v>4.4833999999999996</v>
      </c>
      <c r="P129" s="17"/>
      <c r="Q129" s="17"/>
      <c r="R129" s="17"/>
    </row>
    <row r="130" spans="1:18" ht="15" x14ac:dyDescent="0.2">
      <c r="A130" s="16">
        <v>44805</v>
      </c>
      <c r="B130" s="10">
        <f>3.9423 * CHOOSE(CONTROL!$C$32, $C$9, 100%, $E$9)</f>
        <v>3.9422999999999999</v>
      </c>
      <c r="C130" s="10">
        <f>3.9423 * CHOOSE(CONTROL!$C$32, $C$9, 100%, $E$9)</f>
        <v>3.9422999999999999</v>
      </c>
      <c r="D130" s="10">
        <f>3.9436 * CHOOSE(CONTROL!$C$32, $C$9, 100%, $E$9)</f>
        <v>3.9436</v>
      </c>
      <c r="E130" s="9">
        <f>4.4705 * CHOOSE(CONTROL!$C$32, $C$9, 100%, $E$9)</f>
        <v>4.4705000000000004</v>
      </c>
      <c r="F130" s="9">
        <f>4.4705 * CHOOSE(CONTROL!$C$32, $C$9, 100%, $E$9)</f>
        <v>4.4705000000000004</v>
      </c>
      <c r="G130" s="9">
        <f>4.4747 * CHOOSE(CONTROL!$C$32, $C$9, 100%, $E$9)</f>
        <v>4.4747000000000003</v>
      </c>
      <c r="H130" s="9">
        <f>4.8977 * CHOOSE(CONTROL!$C$32, $C$9, 100%, $E$9)</f>
        <v>4.8977000000000004</v>
      </c>
      <c r="I130" s="9">
        <f>4.9019 * CHOOSE(CONTROL!$C$32, $C$9, 100%, $E$9)</f>
        <v>4.9019000000000004</v>
      </c>
      <c r="J130" s="9">
        <f>4.8977 * CHOOSE(CONTROL!$C$32, $C$9, 100%, $E$9)</f>
        <v>4.8977000000000004</v>
      </c>
      <c r="K130" s="9">
        <f>4.9019 * CHOOSE(CONTROL!$C$32, $C$9, 100%, $E$9)</f>
        <v>4.9019000000000004</v>
      </c>
      <c r="L130" s="9">
        <f>4.4705 * CHOOSE(CONTROL!$C$32, $C$9, 100%, $E$9)</f>
        <v>4.4705000000000004</v>
      </c>
      <c r="M130" s="9">
        <f>4.4747 * CHOOSE(CONTROL!$C$32, $C$9, 100%, $E$9)</f>
        <v>4.4747000000000003</v>
      </c>
      <c r="N130" s="9">
        <f>4.4705 * CHOOSE(CONTROL!$C$32, $C$9, 100%, $E$9)</f>
        <v>4.4705000000000004</v>
      </c>
      <c r="O130" s="9">
        <f>4.4747 * CHOOSE(CONTROL!$C$32, $C$9, 100%, $E$9)</f>
        <v>4.4747000000000003</v>
      </c>
      <c r="P130" s="17"/>
      <c r="Q130" s="17"/>
      <c r="R130" s="17"/>
    </row>
    <row r="131" spans="1:18" ht="15" x14ac:dyDescent="0.2">
      <c r="A131" s="16">
        <v>44835</v>
      </c>
      <c r="B131" s="10">
        <f>3.9375 * CHOOSE(CONTROL!$C$32, $C$9, 100%, $E$9)</f>
        <v>3.9375</v>
      </c>
      <c r="C131" s="10">
        <f>3.9375 * CHOOSE(CONTROL!$C$32, $C$9, 100%, $E$9)</f>
        <v>3.9375</v>
      </c>
      <c r="D131" s="10">
        <f>3.9385 * CHOOSE(CONTROL!$C$32, $C$9, 100%, $E$9)</f>
        <v>3.9384999999999999</v>
      </c>
      <c r="E131" s="9">
        <f>4.4835 * CHOOSE(CONTROL!$C$32, $C$9, 100%, $E$9)</f>
        <v>4.4835000000000003</v>
      </c>
      <c r="F131" s="9">
        <f>4.4835 * CHOOSE(CONTROL!$C$32, $C$9, 100%, $E$9)</f>
        <v>4.4835000000000003</v>
      </c>
      <c r="G131" s="9">
        <f>4.4867 * CHOOSE(CONTROL!$C$32, $C$9, 100%, $E$9)</f>
        <v>4.4866999999999999</v>
      </c>
      <c r="H131" s="9">
        <f>4.894 * CHOOSE(CONTROL!$C$32, $C$9, 100%, $E$9)</f>
        <v>4.8940000000000001</v>
      </c>
      <c r="I131" s="9">
        <f>4.8972 * CHOOSE(CONTROL!$C$32, $C$9, 100%, $E$9)</f>
        <v>4.8971999999999998</v>
      </c>
      <c r="J131" s="9">
        <f>4.894 * CHOOSE(CONTROL!$C$32, $C$9, 100%, $E$9)</f>
        <v>4.8940000000000001</v>
      </c>
      <c r="K131" s="9">
        <f>4.8972 * CHOOSE(CONTROL!$C$32, $C$9, 100%, $E$9)</f>
        <v>4.8971999999999998</v>
      </c>
      <c r="L131" s="9">
        <f>4.4835 * CHOOSE(CONTROL!$C$32, $C$9, 100%, $E$9)</f>
        <v>4.4835000000000003</v>
      </c>
      <c r="M131" s="9">
        <f>4.4867 * CHOOSE(CONTROL!$C$32, $C$9, 100%, $E$9)</f>
        <v>4.4866999999999999</v>
      </c>
      <c r="N131" s="9">
        <f>4.4835 * CHOOSE(CONTROL!$C$32, $C$9, 100%, $E$9)</f>
        <v>4.4835000000000003</v>
      </c>
      <c r="O131" s="9">
        <f>4.4867 * CHOOSE(CONTROL!$C$32, $C$9, 100%, $E$9)</f>
        <v>4.4866999999999999</v>
      </c>
      <c r="P131" s="17"/>
      <c r="Q131" s="17"/>
      <c r="R131" s="17"/>
    </row>
    <row r="132" spans="1:18" ht="15" x14ac:dyDescent="0.2">
      <c r="A132" s="16">
        <v>44866</v>
      </c>
      <c r="B132" s="10">
        <f>3.9406 * CHOOSE(CONTROL!$C$32, $C$9, 100%, $E$9)</f>
        <v>3.9405999999999999</v>
      </c>
      <c r="C132" s="10">
        <f>3.9406 * CHOOSE(CONTROL!$C$32, $C$9, 100%, $E$9)</f>
        <v>3.9405999999999999</v>
      </c>
      <c r="D132" s="10">
        <f>3.9415 * CHOOSE(CONTROL!$C$32, $C$9, 100%, $E$9)</f>
        <v>3.9415</v>
      </c>
      <c r="E132" s="9">
        <f>4.4988 * CHOOSE(CONTROL!$C$32, $C$9, 100%, $E$9)</f>
        <v>4.4988000000000001</v>
      </c>
      <c r="F132" s="9">
        <f>4.4988 * CHOOSE(CONTROL!$C$32, $C$9, 100%, $E$9)</f>
        <v>4.4988000000000001</v>
      </c>
      <c r="G132" s="9">
        <f>4.502 * CHOOSE(CONTROL!$C$32, $C$9, 100%, $E$9)</f>
        <v>4.5019999999999998</v>
      </c>
      <c r="H132" s="9">
        <f>4.896 * CHOOSE(CONTROL!$C$32, $C$9, 100%, $E$9)</f>
        <v>4.8959999999999999</v>
      </c>
      <c r="I132" s="9">
        <f>4.8992 * CHOOSE(CONTROL!$C$32, $C$9, 100%, $E$9)</f>
        <v>4.8992000000000004</v>
      </c>
      <c r="J132" s="9">
        <f>4.896 * CHOOSE(CONTROL!$C$32, $C$9, 100%, $E$9)</f>
        <v>4.8959999999999999</v>
      </c>
      <c r="K132" s="9">
        <f>4.8992 * CHOOSE(CONTROL!$C$32, $C$9, 100%, $E$9)</f>
        <v>4.8992000000000004</v>
      </c>
      <c r="L132" s="9">
        <f>4.4988 * CHOOSE(CONTROL!$C$32, $C$9, 100%, $E$9)</f>
        <v>4.4988000000000001</v>
      </c>
      <c r="M132" s="9">
        <f>4.502 * CHOOSE(CONTROL!$C$32, $C$9, 100%, $E$9)</f>
        <v>4.5019999999999998</v>
      </c>
      <c r="N132" s="9">
        <f>4.4988 * CHOOSE(CONTROL!$C$32, $C$9, 100%, $E$9)</f>
        <v>4.4988000000000001</v>
      </c>
      <c r="O132" s="9">
        <f>4.502 * CHOOSE(CONTROL!$C$32, $C$9, 100%, $E$9)</f>
        <v>4.5019999999999998</v>
      </c>
      <c r="P132" s="17"/>
      <c r="Q132" s="17"/>
      <c r="R132" s="17"/>
    </row>
    <row r="133" spans="1:18" ht="15" x14ac:dyDescent="0.2">
      <c r="A133" s="16">
        <v>44896</v>
      </c>
      <c r="B133" s="10">
        <f>3.9406 * CHOOSE(CONTROL!$C$32, $C$9, 100%, $E$9)</f>
        <v>3.9405999999999999</v>
      </c>
      <c r="C133" s="10">
        <f>3.9406 * CHOOSE(CONTROL!$C$32, $C$9, 100%, $E$9)</f>
        <v>3.9405999999999999</v>
      </c>
      <c r="D133" s="10">
        <f>3.9415 * CHOOSE(CONTROL!$C$32, $C$9, 100%, $E$9)</f>
        <v>3.9415</v>
      </c>
      <c r="E133" s="9">
        <f>4.4658 * CHOOSE(CONTROL!$C$32, $C$9, 100%, $E$9)</f>
        <v>4.4657999999999998</v>
      </c>
      <c r="F133" s="9">
        <f>4.4658 * CHOOSE(CONTROL!$C$32, $C$9, 100%, $E$9)</f>
        <v>4.4657999999999998</v>
      </c>
      <c r="G133" s="9">
        <f>4.469 * CHOOSE(CONTROL!$C$32, $C$9, 100%, $E$9)</f>
        <v>4.4690000000000003</v>
      </c>
      <c r="H133" s="9">
        <f>4.896 * CHOOSE(CONTROL!$C$32, $C$9, 100%, $E$9)</f>
        <v>4.8959999999999999</v>
      </c>
      <c r="I133" s="9">
        <f>4.8992 * CHOOSE(CONTROL!$C$32, $C$9, 100%, $E$9)</f>
        <v>4.8992000000000004</v>
      </c>
      <c r="J133" s="9">
        <f>4.896 * CHOOSE(CONTROL!$C$32, $C$9, 100%, $E$9)</f>
        <v>4.8959999999999999</v>
      </c>
      <c r="K133" s="9">
        <f>4.8992 * CHOOSE(CONTROL!$C$32, $C$9, 100%, $E$9)</f>
        <v>4.8992000000000004</v>
      </c>
      <c r="L133" s="9">
        <f>4.4658 * CHOOSE(CONTROL!$C$32, $C$9, 100%, $E$9)</f>
        <v>4.4657999999999998</v>
      </c>
      <c r="M133" s="9">
        <f>4.469 * CHOOSE(CONTROL!$C$32, $C$9, 100%, $E$9)</f>
        <v>4.4690000000000003</v>
      </c>
      <c r="N133" s="9">
        <f>4.4658 * CHOOSE(CONTROL!$C$32, $C$9, 100%, $E$9)</f>
        <v>4.4657999999999998</v>
      </c>
      <c r="O133" s="9">
        <f>4.469 * CHOOSE(CONTROL!$C$32, $C$9, 100%, $E$9)</f>
        <v>4.4690000000000003</v>
      </c>
      <c r="P133" s="17"/>
      <c r="Q133" s="17"/>
      <c r="R133" s="17"/>
    </row>
    <row r="134" spans="1:18" ht="15" x14ac:dyDescent="0.2">
      <c r="A134" s="16">
        <v>44927</v>
      </c>
      <c r="B134" s="10">
        <f>3.9707 * CHOOSE(CONTROL!$C$32, $C$9, 100%, $E$9)</f>
        <v>3.9706999999999999</v>
      </c>
      <c r="C134" s="10">
        <f>3.9707 * CHOOSE(CONTROL!$C$32, $C$9, 100%, $E$9)</f>
        <v>3.9706999999999999</v>
      </c>
      <c r="D134" s="10">
        <f>3.9717 * CHOOSE(CONTROL!$C$32, $C$9, 100%, $E$9)</f>
        <v>3.9716999999999998</v>
      </c>
      <c r="E134" s="9">
        <f>4.4991 * CHOOSE(CONTROL!$C$32, $C$9, 100%, $E$9)</f>
        <v>4.4991000000000003</v>
      </c>
      <c r="F134" s="9">
        <f>4.4991 * CHOOSE(CONTROL!$C$32, $C$9, 100%, $E$9)</f>
        <v>4.4991000000000003</v>
      </c>
      <c r="G134" s="9">
        <f>4.5023 * CHOOSE(CONTROL!$C$32, $C$9, 100%, $E$9)</f>
        <v>4.5023</v>
      </c>
      <c r="H134" s="9">
        <f>4.9321 * CHOOSE(CONTROL!$C$32, $C$9, 100%, $E$9)</f>
        <v>4.9321000000000002</v>
      </c>
      <c r="I134" s="9">
        <f>4.9353 * CHOOSE(CONTROL!$C$32, $C$9, 100%, $E$9)</f>
        <v>4.9352999999999998</v>
      </c>
      <c r="J134" s="9">
        <f>4.9321 * CHOOSE(CONTROL!$C$32, $C$9, 100%, $E$9)</f>
        <v>4.9321000000000002</v>
      </c>
      <c r="K134" s="9">
        <f>4.9353 * CHOOSE(CONTROL!$C$32, $C$9, 100%, $E$9)</f>
        <v>4.9352999999999998</v>
      </c>
      <c r="L134" s="9">
        <f>4.4991 * CHOOSE(CONTROL!$C$32, $C$9, 100%, $E$9)</f>
        <v>4.4991000000000003</v>
      </c>
      <c r="M134" s="9">
        <f>4.5023 * CHOOSE(CONTROL!$C$32, $C$9, 100%, $E$9)</f>
        <v>4.5023</v>
      </c>
      <c r="N134" s="9">
        <f>4.4991 * CHOOSE(CONTROL!$C$32, $C$9, 100%, $E$9)</f>
        <v>4.4991000000000003</v>
      </c>
      <c r="O134" s="9">
        <f>4.5023 * CHOOSE(CONTROL!$C$32, $C$9, 100%, $E$9)</f>
        <v>4.5023</v>
      </c>
      <c r="P134" s="17"/>
      <c r="Q134" s="17"/>
      <c r="R134" s="17"/>
    </row>
    <row r="135" spans="1:18" ht="15" x14ac:dyDescent="0.2">
      <c r="A135" s="16">
        <v>44958</v>
      </c>
      <c r="B135" s="10">
        <f>3.9677 * CHOOSE(CONTROL!$C$32, $C$9, 100%, $E$9)</f>
        <v>3.9676999999999998</v>
      </c>
      <c r="C135" s="10">
        <f>3.9677 * CHOOSE(CONTROL!$C$32, $C$9, 100%, $E$9)</f>
        <v>3.9676999999999998</v>
      </c>
      <c r="D135" s="10">
        <f>3.9686 * CHOOSE(CONTROL!$C$32, $C$9, 100%, $E$9)</f>
        <v>3.9685999999999999</v>
      </c>
      <c r="E135" s="9">
        <f>4.4325 * CHOOSE(CONTROL!$C$32, $C$9, 100%, $E$9)</f>
        <v>4.4325000000000001</v>
      </c>
      <c r="F135" s="9">
        <f>4.4325 * CHOOSE(CONTROL!$C$32, $C$9, 100%, $E$9)</f>
        <v>4.4325000000000001</v>
      </c>
      <c r="G135" s="9">
        <f>4.4357 * CHOOSE(CONTROL!$C$32, $C$9, 100%, $E$9)</f>
        <v>4.4356999999999998</v>
      </c>
      <c r="H135" s="9">
        <f>4.9301 * CHOOSE(CONTROL!$C$32, $C$9, 100%, $E$9)</f>
        <v>4.9301000000000004</v>
      </c>
      <c r="I135" s="9">
        <f>4.9333 * CHOOSE(CONTROL!$C$32, $C$9, 100%, $E$9)</f>
        <v>4.9333</v>
      </c>
      <c r="J135" s="9">
        <f>4.9301 * CHOOSE(CONTROL!$C$32, $C$9, 100%, $E$9)</f>
        <v>4.9301000000000004</v>
      </c>
      <c r="K135" s="9">
        <f>4.9333 * CHOOSE(CONTROL!$C$32, $C$9, 100%, $E$9)</f>
        <v>4.9333</v>
      </c>
      <c r="L135" s="9">
        <f>4.4325 * CHOOSE(CONTROL!$C$32, $C$9, 100%, $E$9)</f>
        <v>4.4325000000000001</v>
      </c>
      <c r="M135" s="9">
        <f>4.4357 * CHOOSE(CONTROL!$C$32, $C$9, 100%, $E$9)</f>
        <v>4.4356999999999998</v>
      </c>
      <c r="N135" s="9">
        <f>4.4325 * CHOOSE(CONTROL!$C$32, $C$9, 100%, $E$9)</f>
        <v>4.4325000000000001</v>
      </c>
      <c r="O135" s="9">
        <f>4.4357 * CHOOSE(CONTROL!$C$32, $C$9, 100%, $E$9)</f>
        <v>4.4356999999999998</v>
      </c>
      <c r="P135" s="17"/>
      <c r="Q135" s="17"/>
      <c r="R135" s="17"/>
    </row>
    <row r="136" spans="1:18" ht="15" x14ac:dyDescent="0.2">
      <c r="A136" s="16">
        <v>44986</v>
      </c>
      <c r="B136" s="10">
        <f>3.9647 * CHOOSE(CONTROL!$C$32, $C$9, 100%, $E$9)</f>
        <v>3.9647000000000001</v>
      </c>
      <c r="C136" s="10">
        <f>3.9647 * CHOOSE(CONTROL!$C$32, $C$9, 100%, $E$9)</f>
        <v>3.9647000000000001</v>
      </c>
      <c r="D136" s="10">
        <f>3.9656 * CHOOSE(CONTROL!$C$32, $C$9, 100%, $E$9)</f>
        <v>3.9655999999999998</v>
      </c>
      <c r="E136" s="9">
        <f>4.4812 * CHOOSE(CONTROL!$C$32, $C$9, 100%, $E$9)</f>
        <v>4.4812000000000003</v>
      </c>
      <c r="F136" s="9">
        <f>4.4812 * CHOOSE(CONTROL!$C$32, $C$9, 100%, $E$9)</f>
        <v>4.4812000000000003</v>
      </c>
      <c r="G136" s="9">
        <f>4.4844 * CHOOSE(CONTROL!$C$32, $C$9, 100%, $E$9)</f>
        <v>4.4843999999999999</v>
      </c>
      <c r="H136" s="9">
        <f>4.9281 * CHOOSE(CONTROL!$C$32, $C$9, 100%, $E$9)</f>
        <v>4.9280999999999997</v>
      </c>
      <c r="I136" s="9">
        <f>4.9313 * CHOOSE(CONTROL!$C$32, $C$9, 100%, $E$9)</f>
        <v>4.9313000000000002</v>
      </c>
      <c r="J136" s="9">
        <f>4.9281 * CHOOSE(CONTROL!$C$32, $C$9, 100%, $E$9)</f>
        <v>4.9280999999999997</v>
      </c>
      <c r="K136" s="9">
        <f>4.9313 * CHOOSE(CONTROL!$C$32, $C$9, 100%, $E$9)</f>
        <v>4.9313000000000002</v>
      </c>
      <c r="L136" s="9">
        <f>4.4812 * CHOOSE(CONTROL!$C$32, $C$9, 100%, $E$9)</f>
        <v>4.4812000000000003</v>
      </c>
      <c r="M136" s="9">
        <f>4.4844 * CHOOSE(CONTROL!$C$32, $C$9, 100%, $E$9)</f>
        <v>4.4843999999999999</v>
      </c>
      <c r="N136" s="9">
        <f>4.4812 * CHOOSE(CONTROL!$C$32, $C$9, 100%, $E$9)</f>
        <v>4.4812000000000003</v>
      </c>
      <c r="O136" s="9">
        <f>4.4844 * CHOOSE(CONTROL!$C$32, $C$9, 100%, $E$9)</f>
        <v>4.4843999999999999</v>
      </c>
      <c r="P136" s="17"/>
      <c r="Q136" s="17"/>
      <c r="R136" s="17"/>
    </row>
    <row r="137" spans="1:18" ht="15" x14ac:dyDescent="0.2">
      <c r="A137" s="16">
        <v>45017</v>
      </c>
      <c r="B137" s="10">
        <f>3.9624 * CHOOSE(CONTROL!$C$32, $C$9, 100%, $E$9)</f>
        <v>3.9624000000000001</v>
      </c>
      <c r="C137" s="10">
        <f>3.9624 * CHOOSE(CONTROL!$C$32, $C$9, 100%, $E$9)</f>
        <v>3.9624000000000001</v>
      </c>
      <c r="D137" s="10">
        <f>3.9633 * CHOOSE(CONTROL!$C$32, $C$9, 100%, $E$9)</f>
        <v>3.9632999999999998</v>
      </c>
      <c r="E137" s="9">
        <f>4.5315 * CHOOSE(CONTROL!$C$32, $C$9, 100%, $E$9)</f>
        <v>4.5315000000000003</v>
      </c>
      <c r="F137" s="9">
        <f>4.5315 * CHOOSE(CONTROL!$C$32, $C$9, 100%, $E$9)</f>
        <v>4.5315000000000003</v>
      </c>
      <c r="G137" s="9">
        <f>4.5348 * CHOOSE(CONTROL!$C$32, $C$9, 100%, $E$9)</f>
        <v>4.5347999999999997</v>
      </c>
      <c r="H137" s="9">
        <f>4.9265 * CHOOSE(CONTROL!$C$32, $C$9, 100%, $E$9)</f>
        <v>4.9264999999999999</v>
      </c>
      <c r="I137" s="9">
        <f>4.9297 * CHOOSE(CONTROL!$C$32, $C$9, 100%, $E$9)</f>
        <v>4.9297000000000004</v>
      </c>
      <c r="J137" s="9">
        <f>4.9265 * CHOOSE(CONTROL!$C$32, $C$9, 100%, $E$9)</f>
        <v>4.9264999999999999</v>
      </c>
      <c r="K137" s="9">
        <f>4.9297 * CHOOSE(CONTROL!$C$32, $C$9, 100%, $E$9)</f>
        <v>4.9297000000000004</v>
      </c>
      <c r="L137" s="9">
        <f>4.5315 * CHOOSE(CONTROL!$C$32, $C$9, 100%, $E$9)</f>
        <v>4.5315000000000003</v>
      </c>
      <c r="M137" s="9">
        <f>4.5348 * CHOOSE(CONTROL!$C$32, $C$9, 100%, $E$9)</f>
        <v>4.5347999999999997</v>
      </c>
      <c r="N137" s="9">
        <f>4.5315 * CHOOSE(CONTROL!$C$32, $C$9, 100%, $E$9)</f>
        <v>4.5315000000000003</v>
      </c>
      <c r="O137" s="9">
        <f>4.5348 * CHOOSE(CONTROL!$C$32, $C$9, 100%, $E$9)</f>
        <v>4.5347999999999997</v>
      </c>
      <c r="P137" s="17"/>
      <c r="Q137" s="17"/>
      <c r="R137" s="17"/>
    </row>
    <row r="138" spans="1:18" ht="15" x14ac:dyDescent="0.2">
      <c r="A138" s="16">
        <v>45047</v>
      </c>
      <c r="B138" s="10">
        <f>3.9624 * CHOOSE(CONTROL!$C$32, $C$9, 100%, $E$9)</f>
        <v>3.9624000000000001</v>
      </c>
      <c r="C138" s="10">
        <f>3.9624 * CHOOSE(CONTROL!$C$32, $C$9, 100%, $E$9)</f>
        <v>3.9624000000000001</v>
      </c>
      <c r="D138" s="10">
        <f>3.9636 * CHOOSE(CONTROL!$C$32, $C$9, 100%, $E$9)</f>
        <v>3.9636</v>
      </c>
      <c r="E138" s="9">
        <f>4.552 * CHOOSE(CONTROL!$C$32, $C$9, 100%, $E$9)</f>
        <v>4.5519999999999996</v>
      </c>
      <c r="F138" s="9">
        <f>4.552 * CHOOSE(CONTROL!$C$32, $C$9, 100%, $E$9)</f>
        <v>4.5519999999999996</v>
      </c>
      <c r="G138" s="9">
        <f>4.5562 * CHOOSE(CONTROL!$C$32, $C$9, 100%, $E$9)</f>
        <v>4.5561999999999996</v>
      </c>
      <c r="H138" s="9">
        <f>4.9265 * CHOOSE(CONTROL!$C$32, $C$9, 100%, $E$9)</f>
        <v>4.9264999999999999</v>
      </c>
      <c r="I138" s="9">
        <f>4.9307 * CHOOSE(CONTROL!$C$32, $C$9, 100%, $E$9)</f>
        <v>4.9306999999999999</v>
      </c>
      <c r="J138" s="9">
        <f>4.9265 * CHOOSE(CONTROL!$C$32, $C$9, 100%, $E$9)</f>
        <v>4.9264999999999999</v>
      </c>
      <c r="K138" s="9">
        <f>4.9307 * CHOOSE(CONTROL!$C$32, $C$9, 100%, $E$9)</f>
        <v>4.9306999999999999</v>
      </c>
      <c r="L138" s="9">
        <f>4.552 * CHOOSE(CONTROL!$C$32, $C$9, 100%, $E$9)</f>
        <v>4.5519999999999996</v>
      </c>
      <c r="M138" s="9">
        <f>4.5562 * CHOOSE(CONTROL!$C$32, $C$9, 100%, $E$9)</f>
        <v>4.5561999999999996</v>
      </c>
      <c r="N138" s="9">
        <f>4.552 * CHOOSE(CONTROL!$C$32, $C$9, 100%, $E$9)</f>
        <v>4.5519999999999996</v>
      </c>
      <c r="O138" s="9">
        <f>4.5562 * CHOOSE(CONTROL!$C$32, $C$9, 100%, $E$9)</f>
        <v>4.5561999999999996</v>
      </c>
      <c r="P138" s="17"/>
      <c r="Q138" s="17"/>
      <c r="R138" s="17"/>
    </row>
    <row r="139" spans="1:18" ht="15" x14ac:dyDescent="0.2">
      <c r="A139" s="16">
        <v>45078</v>
      </c>
      <c r="B139" s="10">
        <f>3.9684 * CHOOSE(CONTROL!$C$32, $C$9, 100%, $E$9)</f>
        <v>3.9683999999999999</v>
      </c>
      <c r="C139" s="10">
        <f>3.9684 * CHOOSE(CONTROL!$C$32, $C$9, 100%, $E$9)</f>
        <v>3.9683999999999999</v>
      </c>
      <c r="D139" s="10">
        <f>3.9697 * CHOOSE(CONTROL!$C$32, $C$9, 100%, $E$9)</f>
        <v>3.9697</v>
      </c>
      <c r="E139" s="9">
        <f>4.5358 * CHOOSE(CONTROL!$C$32, $C$9, 100%, $E$9)</f>
        <v>4.5358000000000001</v>
      </c>
      <c r="F139" s="9">
        <f>4.5358 * CHOOSE(CONTROL!$C$32, $C$9, 100%, $E$9)</f>
        <v>4.5358000000000001</v>
      </c>
      <c r="G139" s="9">
        <f>4.54 * CHOOSE(CONTROL!$C$32, $C$9, 100%, $E$9)</f>
        <v>4.54</v>
      </c>
      <c r="H139" s="9">
        <f>4.9305 * CHOOSE(CONTROL!$C$32, $C$9, 100%, $E$9)</f>
        <v>4.9305000000000003</v>
      </c>
      <c r="I139" s="9">
        <f>4.9347 * CHOOSE(CONTROL!$C$32, $C$9, 100%, $E$9)</f>
        <v>4.9347000000000003</v>
      </c>
      <c r="J139" s="9">
        <f>4.9305 * CHOOSE(CONTROL!$C$32, $C$9, 100%, $E$9)</f>
        <v>4.9305000000000003</v>
      </c>
      <c r="K139" s="9">
        <f>4.9347 * CHOOSE(CONTROL!$C$32, $C$9, 100%, $E$9)</f>
        <v>4.9347000000000003</v>
      </c>
      <c r="L139" s="9">
        <f>4.5358 * CHOOSE(CONTROL!$C$32, $C$9, 100%, $E$9)</f>
        <v>4.5358000000000001</v>
      </c>
      <c r="M139" s="9">
        <f>4.54 * CHOOSE(CONTROL!$C$32, $C$9, 100%, $E$9)</f>
        <v>4.54</v>
      </c>
      <c r="N139" s="9">
        <f>4.5358 * CHOOSE(CONTROL!$C$32, $C$9, 100%, $E$9)</f>
        <v>4.5358000000000001</v>
      </c>
      <c r="O139" s="9">
        <f>4.54 * CHOOSE(CONTROL!$C$32, $C$9, 100%, $E$9)</f>
        <v>4.54</v>
      </c>
      <c r="P139" s="17"/>
      <c r="Q139" s="17"/>
      <c r="R139" s="17"/>
    </row>
    <row r="140" spans="1:18" ht="15" x14ac:dyDescent="0.2">
      <c r="A140" s="16">
        <v>45108</v>
      </c>
      <c r="B140" s="10">
        <f>4.0216 * CHOOSE(CONTROL!$C$32, $C$9, 100%, $E$9)</f>
        <v>4.0216000000000003</v>
      </c>
      <c r="C140" s="10">
        <f>4.0216 * CHOOSE(CONTROL!$C$32, $C$9, 100%, $E$9)</f>
        <v>4.0216000000000003</v>
      </c>
      <c r="D140" s="10">
        <f>4.0228 * CHOOSE(CONTROL!$C$32, $C$9, 100%, $E$9)</f>
        <v>4.0228000000000002</v>
      </c>
      <c r="E140" s="9">
        <f>4.5373 * CHOOSE(CONTROL!$C$32, $C$9, 100%, $E$9)</f>
        <v>4.5373000000000001</v>
      </c>
      <c r="F140" s="9">
        <f>4.5373 * CHOOSE(CONTROL!$C$32, $C$9, 100%, $E$9)</f>
        <v>4.5373000000000001</v>
      </c>
      <c r="G140" s="9">
        <f>4.5415 * CHOOSE(CONTROL!$C$32, $C$9, 100%, $E$9)</f>
        <v>4.5415000000000001</v>
      </c>
      <c r="H140" s="9">
        <f>5.0062 * CHOOSE(CONTROL!$C$32, $C$9, 100%, $E$9)</f>
        <v>5.0061999999999998</v>
      </c>
      <c r="I140" s="9">
        <f>5.0104 * CHOOSE(CONTROL!$C$32, $C$9, 100%, $E$9)</f>
        <v>5.0103999999999997</v>
      </c>
      <c r="J140" s="9">
        <f>5.0062 * CHOOSE(CONTROL!$C$32, $C$9, 100%, $E$9)</f>
        <v>5.0061999999999998</v>
      </c>
      <c r="K140" s="9">
        <f>5.0104 * CHOOSE(CONTROL!$C$32, $C$9, 100%, $E$9)</f>
        <v>5.0103999999999997</v>
      </c>
      <c r="L140" s="9">
        <f>4.5373 * CHOOSE(CONTROL!$C$32, $C$9, 100%, $E$9)</f>
        <v>4.5373000000000001</v>
      </c>
      <c r="M140" s="9">
        <f>4.5415 * CHOOSE(CONTROL!$C$32, $C$9, 100%, $E$9)</f>
        <v>4.5415000000000001</v>
      </c>
      <c r="N140" s="9">
        <f>4.5373 * CHOOSE(CONTROL!$C$32, $C$9, 100%, $E$9)</f>
        <v>4.5373000000000001</v>
      </c>
      <c r="O140" s="9">
        <f>4.5415 * CHOOSE(CONTROL!$C$32, $C$9, 100%, $E$9)</f>
        <v>4.5415000000000001</v>
      </c>
      <c r="P140" s="17"/>
      <c r="Q140" s="17"/>
      <c r="R140" s="17"/>
    </row>
    <row r="141" spans="1:18" ht="15" x14ac:dyDescent="0.2">
      <c r="A141" s="16">
        <v>45139</v>
      </c>
      <c r="B141" s="10">
        <f>4.0282 * CHOOSE(CONTROL!$C$32, $C$9, 100%, $E$9)</f>
        <v>4.0282</v>
      </c>
      <c r="C141" s="10">
        <f>4.0282 * CHOOSE(CONTROL!$C$32, $C$9, 100%, $E$9)</f>
        <v>4.0282</v>
      </c>
      <c r="D141" s="10">
        <f>4.0295 * CHOOSE(CONTROL!$C$32, $C$9, 100%, $E$9)</f>
        <v>4.0294999999999996</v>
      </c>
      <c r="E141" s="9">
        <f>4.4805 * CHOOSE(CONTROL!$C$32, $C$9, 100%, $E$9)</f>
        <v>4.4805000000000001</v>
      </c>
      <c r="F141" s="9">
        <f>4.4805 * CHOOSE(CONTROL!$C$32, $C$9, 100%, $E$9)</f>
        <v>4.4805000000000001</v>
      </c>
      <c r="G141" s="9">
        <f>4.4847 * CHOOSE(CONTROL!$C$32, $C$9, 100%, $E$9)</f>
        <v>4.4847000000000001</v>
      </c>
      <c r="H141" s="9">
        <f>5.0106 * CHOOSE(CONTROL!$C$32, $C$9, 100%, $E$9)</f>
        <v>5.0106000000000002</v>
      </c>
      <c r="I141" s="9">
        <f>5.0148 * CHOOSE(CONTROL!$C$32, $C$9, 100%, $E$9)</f>
        <v>5.0148000000000001</v>
      </c>
      <c r="J141" s="9">
        <f>5.0106 * CHOOSE(CONTROL!$C$32, $C$9, 100%, $E$9)</f>
        <v>5.0106000000000002</v>
      </c>
      <c r="K141" s="9">
        <f>5.0148 * CHOOSE(CONTROL!$C$32, $C$9, 100%, $E$9)</f>
        <v>5.0148000000000001</v>
      </c>
      <c r="L141" s="9">
        <f>4.4805 * CHOOSE(CONTROL!$C$32, $C$9, 100%, $E$9)</f>
        <v>4.4805000000000001</v>
      </c>
      <c r="M141" s="9">
        <f>4.4847 * CHOOSE(CONTROL!$C$32, $C$9, 100%, $E$9)</f>
        <v>4.4847000000000001</v>
      </c>
      <c r="N141" s="9">
        <f>4.4805 * CHOOSE(CONTROL!$C$32, $C$9, 100%, $E$9)</f>
        <v>4.4805000000000001</v>
      </c>
      <c r="O141" s="9">
        <f>4.4847 * CHOOSE(CONTROL!$C$32, $C$9, 100%, $E$9)</f>
        <v>4.4847000000000001</v>
      </c>
      <c r="P141" s="17"/>
      <c r="Q141" s="17"/>
      <c r="R141" s="17"/>
    </row>
    <row r="142" spans="1:18" ht="15" x14ac:dyDescent="0.2">
      <c r="A142" s="16">
        <v>45170</v>
      </c>
      <c r="B142" s="10">
        <f>4.0252 * CHOOSE(CONTROL!$C$32, $C$9, 100%, $E$9)</f>
        <v>4.0251999999999999</v>
      </c>
      <c r="C142" s="10">
        <f>4.0252 * CHOOSE(CONTROL!$C$32, $C$9, 100%, $E$9)</f>
        <v>4.0251999999999999</v>
      </c>
      <c r="D142" s="10">
        <f>4.0264 * CHOOSE(CONTROL!$C$32, $C$9, 100%, $E$9)</f>
        <v>4.0263999999999998</v>
      </c>
      <c r="E142" s="9">
        <f>4.4716 * CHOOSE(CONTROL!$C$32, $C$9, 100%, $E$9)</f>
        <v>4.4715999999999996</v>
      </c>
      <c r="F142" s="9">
        <f>4.4716 * CHOOSE(CONTROL!$C$32, $C$9, 100%, $E$9)</f>
        <v>4.4715999999999996</v>
      </c>
      <c r="G142" s="9">
        <f>4.4758 * CHOOSE(CONTROL!$C$32, $C$9, 100%, $E$9)</f>
        <v>4.4757999999999996</v>
      </c>
      <c r="H142" s="9">
        <f>5.0086 * CHOOSE(CONTROL!$C$32, $C$9, 100%, $E$9)</f>
        <v>5.0086000000000004</v>
      </c>
      <c r="I142" s="9">
        <f>5.0128 * CHOOSE(CONTROL!$C$32, $C$9, 100%, $E$9)</f>
        <v>5.0128000000000004</v>
      </c>
      <c r="J142" s="9">
        <f>5.0086 * CHOOSE(CONTROL!$C$32, $C$9, 100%, $E$9)</f>
        <v>5.0086000000000004</v>
      </c>
      <c r="K142" s="9">
        <f>5.0128 * CHOOSE(CONTROL!$C$32, $C$9, 100%, $E$9)</f>
        <v>5.0128000000000004</v>
      </c>
      <c r="L142" s="9">
        <f>4.4716 * CHOOSE(CONTROL!$C$32, $C$9, 100%, $E$9)</f>
        <v>4.4715999999999996</v>
      </c>
      <c r="M142" s="9">
        <f>4.4758 * CHOOSE(CONTROL!$C$32, $C$9, 100%, $E$9)</f>
        <v>4.4757999999999996</v>
      </c>
      <c r="N142" s="9">
        <f>4.4716 * CHOOSE(CONTROL!$C$32, $C$9, 100%, $E$9)</f>
        <v>4.4715999999999996</v>
      </c>
      <c r="O142" s="9">
        <f>4.4758 * CHOOSE(CONTROL!$C$32, $C$9, 100%, $E$9)</f>
        <v>4.4757999999999996</v>
      </c>
      <c r="P142" s="17"/>
      <c r="Q142" s="17"/>
      <c r="R142" s="17"/>
    </row>
    <row r="143" spans="1:18" ht="15" x14ac:dyDescent="0.2">
      <c r="A143" s="16">
        <v>45200</v>
      </c>
      <c r="B143" s="10">
        <f>4.0208 * CHOOSE(CONTROL!$C$32, $C$9, 100%, $E$9)</f>
        <v>4.0208000000000004</v>
      </c>
      <c r="C143" s="10">
        <f>4.0208 * CHOOSE(CONTROL!$C$32, $C$9, 100%, $E$9)</f>
        <v>4.0208000000000004</v>
      </c>
      <c r="D143" s="10">
        <f>4.0217 * CHOOSE(CONTROL!$C$32, $C$9, 100%, $E$9)</f>
        <v>4.0217000000000001</v>
      </c>
      <c r="E143" s="9">
        <f>4.4854 * CHOOSE(CONTROL!$C$32, $C$9, 100%, $E$9)</f>
        <v>4.4854000000000003</v>
      </c>
      <c r="F143" s="9">
        <f>4.4854 * CHOOSE(CONTROL!$C$32, $C$9, 100%, $E$9)</f>
        <v>4.4854000000000003</v>
      </c>
      <c r="G143" s="9">
        <f>4.4887 * CHOOSE(CONTROL!$C$32, $C$9, 100%, $E$9)</f>
        <v>4.4886999999999997</v>
      </c>
      <c r="H143" s="9">
        <f>5.0051 * CHOOSE(CONTROL!$C$32, $C$9, 100%, $E$9)</f>
        <v>5.0050999999999997</v>
      </c>
      <c r="I143" s="9">
        <f>5.0083 * CHOOSE(CONTROL!$C$32, $C$9, 100%, $E$9)</f>
        <v>5.0083000000000002</v>
      </c>
      <c r="J143" s="9">
        <f>5.0051 * CHOOSE(CONTROL!$C$32, $C$9, 100%, $E$9)</f>
        <v>5.0050999999999997</v>
      </c>
      <c r="K143" s="9">
        <f>5.0083 * CHOOSE(CONTROL!$C$32, $C$9, 100%, $E$9)</f>
        <v>5.0083000000000002</v>
      </c>
      <c r="L143" s="9">
        <f>4.4854 * CHOOSE(CONTROL!$C$32, $C$9, 100%, $E$9)</f>
        <v>4.4854000000000003</v>
      </c>
      <c r="M143" s="9">
        <f>4.4887 * CHOOSE(CONTROL!$C$32, $C$9, 100%, $E$9)</f>
        <v>4.4886999999999997</v>
      </c>
      <c r="N143" s="9">
        <f>4.4854 * CHOOSE(CONTROL!$C$32, $C$9, 100%, $E$9)</f>
        <v>4.4854000000000003</v>
      </c>
      <c r="O143" s="9">
        <f>4.4887 * CHOOSE(CONTROL!$C$32, $C$9, 100%, $E$9)</f>
        <v>4.4886999999999997</v>
      </c>
      <c r="P143" s="17"/>
      <c r="Q143" s="17"/>
      <c r="R143" s="17"/>
    </row>
    <row r="144" spans="1:18" ht="15" x14ac:dyDescent="0.2">
      <c r="A144" s="16">
        <v>45231</v>
      </c>
      <c r="B144" s="10">
        <f>4.0238 * CHOOSE(CONTROL!$C$32, $C$9, 100%, $E$9)</f>
        <v>4.0237999999999996</v>
      </c>
      <c r="C144" s="10">
        <f>4.0238 * CHOOSE(CONTROL!$C$32, $C$9, 100%, $E$9)</f>
        <v>4.0237999999999996</v>
      </c>
      <c r="D144" s="10">
        <f>4.0248 * CHOOSE(CONTROL!$C$32, $C$9, 100%, $E$9)</f>
        <v>4.0247999999999999</v>
      </c>
      <c r="E144" s="9">
        <f>4.5012 * CHOOSE(CONTROL!$C$32, $C$9, 100%, $E$9)</f>
        <v>4.5011999999999999</v>
      </c>
      <c r="F144" s="9">
        <f>4.5012 * CHOOSE(CONTROL!$C$32, $C$9, 100%, $E$9)</f>
        <v>4.5011999999999999</v>
      </c>
      <c r="G144" s="9">
        <f>4.5044 * CHOOSE(CONTROL!$C$32, $C$9, 100%, $E$9)</f>
        <v>4.5044000000000004</v>
      </c>
      <c r="H144" s="9">
        <f>5.0071 * CHOOSE(CONTROL!$C$32, $C$9, 100%, $E$9)</f>
        <v>5.0071000000000003</v>
      </c>
      <c r="I144" s="9">
        <f>5.0103 * CHOOSE(CONTROL!$C$32, $C$9, 100%, $E$9)</f>
        <v>5.0103</v>
      </c>
      <c r="J144" s="9">
        <f>5.0071 * CHOOSE(CONTROL!$C$32, $C$9, 100%, $E$9)</f>
        <v>5.0071000000000003</v>
      </c>
      <c r="K144" s="9">
        <f>5.0103 * CHOOSE(CONTROL!$C$32, $C$9, 100%, $E$9)</f>
        <v>5.0103</v>
      </c>
      <c r="L144" s="9">
        <f>4.5012 * CHOOSE(CONTROL!$C$32, $C$9, 100%, $E$9)</f>
        <v>4.5011999999999999</v>
      </c>
      <c r="M144" s="9">
        <f>4.5044 * CHOOSE(CONTROL!$C$32, $C$9, 100%, $E$9)</f>
        <v>4.5044000000000004</v>
      </c>
      <c r="N144" s="9">
        <f>4.5012 * CHOOSE(CONTROL!$C$32, $C$9, 100%, $E$9)</f>
        <v>4.5011999999999999</v>
      </c>
      <c r="O144" s="9">
        <f>4.5044 * CHOOSE(CONTROL!$C$32, $C$9, 100%, $E$9)</f>
        <v>4.5044000000000004</v>
      </c>
      <c r="P144" s="17"/>
      <c r="Q144" s="17"/>
      <c r="R144" s="17"/>
    </row>
    <row r="145" spans="1:18" ht="15" x14ac:dyDescent="0.2">
      <c r="A145" s="16">
        <v>45261</v>
      </c>
      <c r="B145" s="10">
        <f>4.0238 * CHOOSE(CONTROL!$C$32, $C$9, 100%, $E$9)</f>
        <v>4.0237999999999996</v>
      </c>
      <c r="C145" s="10">
        <f>4.0238 * CHOOSE(CONTROL!$C$32, $C$9, 100%, $E$9)</f>
        <v>4.0237999999999996</v>
      </c>
      <c r="D145" s="10">
        <f>4.0248 * CHOOSE(CONTROL!$C$32, $C$9, 100%, $E$9)</f>
        <v>4.0247999999999999</v>
      </c>
      <c r="E145" s="9">
        <f>4.4671 * CHOOSE(CONTROL!$C$32, $C$9, 100%, $E$9)</f>
        <v>4.4671000000000003</v>
      </c>
      <c r="F145" s="9">
        <f>4.4671 * CHOOSE(CONTROL!$C$32, $C$9, 100%, $E$9)</f>
        <v>4.4671000000000003</v>
      </c>
      <c r="G145" s="9">
        <f>4.4703 * CHOOSE(CONTROL!$C$32, $C$9, 100%, $E$9)</f>
        <v>4.4702999999999999</v>
      </c>
      <c r="H145" s="9">
        <f>5.0071 * CHOOSE(CONTROL!$C$32, $C$9, 100%, $E$9)</f>
        <v>5.0071000000000003</v>
      </c>
      <c r="I145" s="9">
        <f>5.0103 * CHOOSE(CONTROL!$C$32, $C$9, 100%, $E$9)</f>
        <v>5.0103</v>
      </c>
      <c r="J145" s="9">
        <f>5.0071 * CHOOSE(CONTROL!$C$32, $C$9, 100%, $E$9)</f>
        <v>5.0071000000000003</v>
      </c>
      <c r="K145" s="9">
        <f>5.0103 * CHOOSE(CONTROL!$C$32, $C$9, 100%, $E$9)</f>
        <v>5.0103</v>
      </c>
      <c r="L145" s="9">
        <f>4.4671 * CHOOSE(CONTROL!$C$32, $C$9, 100%, $E$9)</f>
        <v>4.4671000000000003</v>
      </c>
      <c r="M145" s="9">
        <f>4.4703 * CHOOSE(CONTROL!$C$32, $C$9, 100%, $E$9)</f>
        <v>4.4702999999999999</v>
      </c>
      <c r="N145" s="9">
        <f>4.4671 * CHOOSE(CONTROL!$C$32, $C$9, 100%, $E$9)</f>
        <v>4.4671000000000003</v>
      </c>
      <c r="O145" s="9">
        <f>4.4703 * CHOOSE(CONTROL!$C$32, $C$9, 100%, $E$9)</f>
        <v>4.4702999999999999</v>
      </c>
      <c r="P145" s="17"/>
      <c r="Q145" s="17"/>
      <c r="R145" s="17"/>
    </row>
    <row r="146" spans="1:18" ht="15" x14ac:dyDescent="0.2">
      <c r="A146" s="16">
        <v>45292</v>
      </c>
      <c r="B146" s="10">
        <f>4.0494 * CHOOSE(CONTROL!$C$32, $C$9, 100%, $E$9)</f>
        <v>4.0494000000000003</v>
      </c>
      <c r="C146" s="10">
        <f>4.0494 * CHOOSE(CONTROL!$C$32, $C$9, 100%, $E$9)</f>
        <v>4.0494000000000003</v>
      </c>
      <c r="D146" s="10">
        <f>4.0504 * CHOOSE(CONTROL!$C$32, $C$9, 100%, $E$9)</f>
        <v>4.0503999999999998</v>
      </c>
      <c r="E146" s="9">
        <f>4.5201 * CHOOSE(CONTROL!$C$32, $C$9, 100%, $E$9)</f>
        <v>4.5201000000000002</v>
      </c>
      <c r="F146" s="9">
        <f>4.5201 * CHOOSE(CONTROL!$C$32, $C$9, 100%, $E$9)</f>
        <v>4.5201000000000002</v>
      </c>
      <c r="G146" s="9">
        <f>4.5234 * CHOOSE(CONTROL!$C$32, $C$9, 100%, $E$9)</f>
        <v>4.5233999999999996</v>
      </c>
      <c r="H146" s="9">
        <f>5.0476 * CHOOSE(CONTROL!$C$32, $C$9, 100%, $E$9)</f>
        <v>5.0476000000000001</v>
      </c>
      <c r="I146" s="9">
        <f>5.0508 * CHOOSE(CONTROL!$C$32, $C$9, 100%, $E$9)</f>
        <v>5.0507999999999997</v>
      </c>
      <c r="J146" s="9">
        <f>5.0476 * CHOOSE(CONTROL!$C$32, $C$9, 100%, $E$9)</f>
        <v>5.0476000000000001</v>
      </c>
      <c r="K146" s="9">
        <f>5.0508 * CHOOSE(CONTROL!$C$32, $C$9, 100%, $E$9)</f>
        <v>5.0507999999999997</v>
      </c>
      <c r="L146" s="9">
        <f>4.5201 * CHOOSE(CONTROL!$C$32, $C$9, 100%, $E$9)</f>
        <v>4.5201000000000002</v>
      </c>
      <c r="M146" s="9">
        <f>4.5234 * CHOOSE(CONTROL!$C$32, $C$9, 100%, $E$9)</f>
        <v>4.5233999999999996</v>
      </c>
      <c r="N146" s="9">
        <f>4.5201 * CHOOSE(CONTROL!$C$32, $C$9, 100%, $E$9)</f>
        <v>4.5201000000000002</v>
      </c>
      <c r="O146" s="9">
        <f>4.5234 * CHOOSE(CONTROL!$C$32, $C$9, 100%, $E$9)</f>
        <v>4.5233999999999996</v>
      </c>
      <c r="P146" s="17"/>
      <c r="Q146" s="17"/>
      <c r="R146" s="17"/>
    </row>
    <row r="147" spans="1:18" ht="15" x14ac:dyDescent="0.2">
      <c r="A147" s="16">
        <v>45323</v>
      </c>
      <c r="B147" s="10">
        <f>4.0464 * CHOOSE(CONTROL!$C$32, $C$9, 100%, $E$9)</f>
        <v>4.0464000000000002</v>
      </c>
      <c r="C147" s="10">
        <f>4.0464 * CHOOSE(CONTROL!$C$32, $C$9, 100%, $E$9)</f>
        <v>4.0464000000000002</v>
      </c>
      <c r="D147" s="10">
        <f>4.0473 * CHOOSE(CONTROL!$C$32, $C$9, 100%, $E$9)</f>
        <v>4.0472999999999999</v>
      </c>
      <c r="E147" s="9">
        <f>4.4513 * CHOOSE(CONTROL!$C$32, $C$9, 100%, $E$9)</f>
        <v>4.4512999999999998</v>
      </c>
      <c r="F147" s="9">
        <f>4.4513 * CHOOSE(CONTROL!$C$32, $C$9, 100%, $E$9)</f>
        <v>4.4512999999999998</v>
      </c>
      <c r="G147" s="9">
        <f>4.4546 * CHOOSE(CONTROL!$C$32, $C$9, 100%, $E$9)</f>
        <v>4.4546000000000001</v>
      </c>
      <c r="H147" s="9">
        <f>5.0456 * CHOOSE(CONTROL!$C$32, $C$9, 100%, $E$9)</f>
        <v>5.0456000000000003</v>
      </c>
      <c r="I147" s="9">
        <f>5.0488 * CHOOSE(CONTROL!$C$32, $C$9, 100%, $E$9)</f>
        <v>5.0488</v>
      </c>
      <c r="J147" s="9">
        <f>5.0456 * CHOOSE(CONTROL!$C$32, $C$9, 100%, $E$9)</f>
        <v>5.0456000000000003</v>
      </c>
      <c r="K147" s="9">
        <f>5.0488 * CHOOSE(CONTROL!$C$32, $C$9, 100%, $E$9)</f>
        <v>5.0488</v>
      </c>
      <c r="L147" s="9">
        <f>4.4513 * CHOOSE(CONTROL!$C$32, $C$9, 100%, $E$9)</f>
        <v>4.4512999999999998</v>
      </c>
      <c r="M147" s="9">
        <f>4.4546 * CHOOSE(CONTROL!$C$32, $C$9, 100%, $E$9)</f>
        <v>4.4546000000000001</v>
      </c>
      <c r="N147" s="9">
        <f>4.4513 * CHOOSE(CONTROL!$C$32, $C$9, 100%, $E$9)</f>
        <v>4.4512999999999998</v>
      </c>
      <c r="O147" s="9">
        <f>4.4546 * CHOOSE(CONTROL!$C$32, $C$9, 100%, $E$9)</f>
        <v>4.4546000000000001</v>
      </c>
      <c r="P147" s="17"/>
      <c r="Q147" s="17"/>
      <c r="R147" s="17"/>
    </row>
    <row r="148" spans="1:18" ht="15" x14ac:dyDescent="0.2">
      <c r="A148" s="16">
        <v>45352</v>
      </c>
      <c r="B148" s="10">
        <f>4.0433 * CHOOSE(CONTROL!$C$32, $C$9, 100%, $E$9)</f>
        <v>4.0433000000000003</v>
      </c>
      <c r="C148" s="10">
        <f>4.0433 * CHOOSE(CONTROL!$C$32, $C$9, 100%, $E$9)</f>
        <v>4.0433000000000003</v>
      </c>
      <c r="D148" s="10">
        <f>4.0443 * CHOOSE(CONTROL!$C$32, $C$9, 100%, $E$9)</f>
        <v>4.0442999999999998</v>
      </c>
      <c r="E148" s="9">
        <f>4.5018 * CHOOSE(CONTROL!$C$32, $C$9, 100%, $E$9)</f>
        <v>4.5018000000000002</v>
      </c>
      <c r="F148" s="9">
        <f>4.5018 * CHOOSE(CONTROL!$C$32, $C$9, 100%, $E$9)</f>
        <v>4.5018000000000002</v>
      </c>
      <c r="G148" s="9">
        <f>4.505 * CHOOSE(CONTROL!$C$32, $C$9, 100%, $E$9)</f>
        <v>4.5049999999999999</v>
      </c>
      <c r="H148" s="9">
        <f>5.0436 * CHOOSE(CONTROL!$C$32, $C$9, 100%, $E$9)</f>
        <v>5.0435999999999996</v>
      </c>
      <c r="I148" s="9">
        <f>5.0468 * CHOOSE(CONTROL!$C$32, $C$9, 100%, $E$9)</f>
        <v>5.0468000000000002</v>
      </c>
      <c r="J148" s="9">
        <f>5.0436 * CHOOSE(CONTROL!$C$32, $C$9, 100%, $E$9)</f>
        <v>5.0435999999999996</v>
      </c>
      <c r="K148" s="9">
        <f>5.0468 * CHOOSE(CONTROL!$C$32, $C$9, 100%, $E$9)</f>
        <v>5.0468000000000002</v>
      </c>
      <c r="L148" s="9">
        <f>4.5018 * CHOOSE(CONTROL!$C$32, $C$9, 100%, $E$9)</f>
        <v>4.5018000000000002</v>
      </c>
      <c r="M148" s="9">
        <f>4.505 * CHOOSE(CONTROL!$C$32, $C$9, 100%, $E$9)</f>
        <v>4.5049999999999999</v>
      </c>
      <c r="N148" s="9">
        <f>4.5018 * CHOOSE(CONTROL!$C$32, $C$9, 100%, $E$9)</f>
        <v>4.5018000000000002</v>
      </c>
      <c r="O148" s="9">
        <f>4.505 * CHOOSE(CONTROL!$C$32, $C$9, 100%, $E$9)</f>
        <v>4.5049999999999999</v>
      </c>
      <c r="P148" s="17"/>
      <c r="Q148" s="17"/>
      <c r="R148" s="17"/>
    </row>
    <row r="149" spans="1:18" ht="15" x14ac:dyDescent="0.2">
      <c r="A149" s="16">
        <v>45383</v>
      </c>
      <c r="B149" s="10">
        <f>4.0412 * CHOOSE(CONTROL!$C$32, $C$9, 100%, $E$9)</f>
        <v>4.0411999999999999</v>
      </c>
      <c r="C149" s="10">
        <f>4.0412 * CHOOSE(CONTROL!$C$32, $C$9, 100%, $E$9)</f>
        <v>4.0411999999999999</v>
      </c>
      <c r="D149" s="10">
        <f>4.0421 * CHOOSE(CONTROL!$C$32, $C$9, 100%, $E$9)</f>
        <v>4.0420999999999996</v>
      </c>
      <c r="E149" s="9">
        <f>4.554 * CHOOSE(CONTROL!$C$32, $C$9, 100%, $E$9)</f>
        <v>4.5540000000000003</v>
      </c>
      <c r="F149" s="9">
        <f>4.554 * CHOOSE(CONTROL!$C$32, $C$9, 100%, $E$9)</f>
        <v>4.5540000000000003</v>
      </c>
      <c r="G149" s="9">
        <f>4.5572 * CHOOSE(CONTROL!$C$32, $C$9, 100%, $E$9)</f>
        <v>4.5571999999999999</v>
      </c>
      <c r="H149" s="9">
        <f>5.042 * CHOOSE(CONTROL!$C$32, $C$9, 100%, $E$9)</f>
        <v>5.0419999999999998</v>
      </c>
      <c r="I149" s="9">
        <f>5.0453 * CHOOSE(CONTROL!$C$32, $C$9, 100%, $E$9)</f>
        <v>5.0453000000000001</v>
      </c>
      <c r="J149" s="9">
        <f>5.042 * CHOOSE(CONTROL!$C$32, $C$9, 100%, $E$9)</f>
        <v>5.0419999999999998</v>
      </c>
      <c r="K149" s="9">
        <f>5.0453 * CHOOSE(CONTROL!$C$32, $C$9, 100%, $E$9)</f>
        <v>5.0453000000000001</v>
      </c>
      <c r="L149" s="9">
        <f>4.554 * CHOOSE(CONTROL!$C$32, $C$9, 100%, $E$9)</f>
        <v>4.5540000000000003</v>
      </c>
      <c r="M149" s="9">
        <f>4.5572 * CHOOSE(CONTROL!$C$32, $C$9, 100%, $E$9)</f>
        <v>4.5571999999999999</v>
      </c>
      <c r="N149" s="9">
        <f>4.554 * CHOOSE(CONTROL!$C$32, $C$9, 100%, $E$9)</f>
        <v>4.5540000000000003</v>
      </c>
      <c r="O149" s="9">
        <f>4.5572 * CHOOSE(CONTROL!$C$32, $C$9, 100%, $E$9)</f>
        <v>4.5571999999999999</v>
      </c>
      <c r="P149" s="17"/>
      <c r="Q149" s="17"/>
      <c r="R149" s="17"/>
    </row>
    <row r="150" spans="1:18" ht="15" x14ac:dyDescent="0.2">
      <c r="A150" s="16">
        <v>45413</v>
      </c>
      <c r="B150" s="10">
        <f>4.0412 * CHOOSE(CONTROL!$C$32, $C$9, 100%, $E$9)</f>
        <v>4.0411999999999999</v>
      </c>
      <c r="C150" s="10">
        <f>4.0412 * CHOOSE(CONTROL!$C$32, $C$9, 100%, $E$9)</f>
        <v>4.0411999999999999</v>
      </c>
      <c r="D150" s="10">
        <f>4.0424 * CHOOSE(CONTROL!$C$32, $C$9, 100%, $E$9)</f>
        <v>4.0423999999999998</v>
      </c>
      <c r="E150" s="9">
        <f>4.5752 * CHOOSE(CONTROL!$C$32, $C$9, 100%, $E$9)</f>
        <v>4.5751999999999997</v>
      </c>
      <c r="F150" s="9">
        <f>4.5752 * CHOOSE(CONTROL!$C$32, $C$9, 100%, $E$9)</f>
        <v>4.5751999999999997</v>
      </c>
      <c r="G150" s="9">
        <f>4.5794 * CHOOSE(CONTROL!$C$32, $C$9, 100%, $E$9)</f>
        <v>4.5793999999999997</v>
      </c>
      <c r="H150" s="9">
        <f>5.042 * CHOOSE(CONTROL!$C$32, $C$9, 100%, $E$9)</f>
        <v>5.0419999999999998</v>
      </c>
      <c r="I150" s="9">
        <f>5.0462 * CHOOSE(CONTROL!$C$32, $C$9, 100%, $E$9)</f>
        <v>5.0461999999999998</v>
      </c>
      <c r="J150" s="9">
        <f>5.042 * CHOOSE(CONTROL!$C$32, $C$9, 100%, $E$9)</f>
        <v>5.0419999999999998</v>
      </c>
      <c r="K150" s="9">
        <f>5.0462 * CHOOSE(CONTROL!$C$32, $C$9, 100%, $E$9)</f>
        <v>5.0461999999999998</v>
      </c>
      <c r="L150" s="9">
        <f>4.5752 * CHOOSE(CONTROL!$C$32, $C$9, 100%, $E$9)</f>
        <v>4.5751999999999997</v>
      </c>
      <c r="M150" s="9">
        <f>4.5794 * CHOOSE(CONTROL!$C$32, $C$9, 100%, $E$9)</f>
        <v>4.5793999999999997</v>
      </c>
      <c r="N150" s="9">
        <f>4.5752 * CHOOSE(CONTROL!$C$32, $C$9, 100%, $E$9)</f>
        <v>4.5751999999999997</v>
      </c>
      <c r="O150" s="9">
        <f>4.5794 * CHOOSE(CONTROL!$C$32, $C$9, 100%, $E$9)</f>
        <v>4.5793999999999997</v>
      </c>
      <c r="P150" s="17"/>
      <c r="Q150" s="17"/>
      <c r="R150" s="17"/>
    </row>
    <row r="151" spans="1:18" ht="15" x14ac:dyDescent="0.2">
      <c r="A151" s="16">
        <v>45444</v>
      </c>
      <c r="B151" s="10">
        <f>4.0472 * CHOOSE(CONTROL!$C$32, $C$9, 100%, $E$9)</f>
        <v>4.0472000000000001</v>
      </c>
      <c r="C151" s="10">
        <f>4.0472 * CHOOSE(CONTROL!$C$32, $C$9, 100%, $E$9)</f>
        <v>4.0472000000000001</v>
      </c>
      <c r="D151" s="10">
        <f>4.0485 * CHOOSE(CONTROL!$C$32, $C$9, 100%, $E$9)</f>
        <v>4.0484999999999998</v>
      </c>
      <c r="E151" s="9">
        <f>4.5582 * CHOOSE(CONTROL!$C$32, $C$9, 100%, $E$9)</f>
        <v>4.5582000000000003</v>
      </c>
      <c r="F151" s="9">
        <f>4.5582 * CHOOSE(CONTROL!$C$32, $C$9, 100%, $E$9)</f>
        <v>4.5582000000000003</v>
      </c>
      <c r="G151" s="9">
        <f>4.5624 * CHOOSE(CONTROL!$C$32, $C$9, 100%, $E$9)</f>
        <v>4.5624000000000002</v>
      </c>
      <c r="H151" s="9">
        <f>5.046 * CHOOSE(CONTROL!$C$32, $C$9, 100%, $E$9)</f>
        <v>5.0460000000000003</v>
      </c>
      <c r="I151" s="9">
        <f>5.0502 * CHOOSE(CONTROL!$C$32, $C$9, 100%, $E$9)</f>
        <v>5.0502000000000002</v>
      </c>
      <c r="J151" s="9">
        <f>5.046 * CHOOSE(CONTROL!$C$32, $C$9, 100%, $E$9)</f>
        <v>5.0460000000000003</v>
      </c>
      <c r="K151" s="9">
        <f>5.0502 * CHOOSE(CONTROL!$C$32, $C$9, 100%, $E$9)</f>
        <v>5.0502000000000002</v>
      </c>
      <c r="L151" s="9">
        <f>4.5582 * CHOOSE(CONTROL!$C$32, $C$9, 100%, $E$9)</f>
        <v>4.5582000000000003</v>
      </c>
      <c r="M151" s="9">
        <f>4.5624 * CHOOSE(CONTROL!$C$32, $C$9, 100%, $E$9)</f>
        <v>4.5624000000000002</v>
      </c>
      <c r="N151" s="9">
        <f>4.5582 * CHOOSE(CONTROL!$C$32, $C$9, 100%, $E$9)</f>
        <v>4.5582000000000003</v>
      </c>
      <c r="O151" s="9">
        <f>4.5624 * CHOOSE(CONTROL!$C$32, $C$9, 100%, $E$9)</f>
        <v>4.5624000000000002</v>
      </c>
      <c r="P151" s="17"/>
      <c r="Q151" s="17"/>
      <c r="R151" s="17"/>
    </row>
    <row r="152" spans="1:18" ht="15" x14ac:dyDescent="0.2">
      <c r="A152" s="16">
        <v>45474</v>
      </c>
      <c r="B152" s="10">
        <f>4.0876 * CHOOSE(CONTROL!$C$32, $C$9, 100%, $E$9)</f>
        <v>4.0876000000000001</v>
      </c>
      <c r="C152" s="10">
        <f>4.0876 * CHOOSE(CONTROL!$C$32, $C$9, 100%, $E$9)</f>
        <v>4.0876000000000001</v>
      </c>
      <c r="D152" s="10">
        <f>4.0888 * CHOOSE(CONTROL!$C$32, $C$9, 100%, $E$9)</f>
        <v>4.0888</v>
      </c>
      <c r="E152" s="9">
        <f>4.6067 * CHOOSE(CONTROL!$C$32, $C$9, 100%, $E$9)</f>
        <v>4.6067</v>
      </c>
      <c r="F152" s="9">
        <f>4.6067 * CHOOSE(CONTROL!$C$32, $C$9, 100%, $E$9)</f>
        <v>4.6067</v>
      </c>
      <c r="G152" s="9">
        <f>4.6109 * CHOOSE(CONTROL!$C$32, $C$9, 100%, $E$9)</f>
        <v>4.6109</v>
      </c>
      <c r="H152" s="9">
        <f>5.1313 * CHOOSE(CONTROL!$C$32, $C$9, 100%, $E$9)</f>
        <v>5.1313000000000004</v>
      </c>
      <c r="I152" s="9">
        <f>5.1356 * CHOOSE(CONTROL!$C$32, $C$9, 100%, $E$9)</f>
        <v>5.1356000000000002</v>
      </c>
      <c r="J152" s="9">
        <f>5.1313 * CHOOSE(CONTROL!$C$32, $C$9, 100%, $E$9)</f>
        <v>5.1313000000000004</v>
      </c>
      <c r="K152" s="9">
        <f>5.1356 * CHOOSE(CONTROL!$C$32, $C$9, 100%, $E$9)</f>
        <v>5.1356000000000002</v>
      </c>
      <c r="L152" s="9">
        <f>4.6067 * CHOOSE(CONTROL!$C$32, $C$9, 100%, $E$9)</f>
        <v>4.6067</v>
      </c>
      <c r="M152" s="9">
        <f>4.6109 * CHOOSE(CONTROL!$C$32, $C$9, 100%, $E$9)</f>
        <v>4.6109</v>
      </c>
      <c r="N152" s="9">
        <f>4.6067 * CHOOSE(CONTROL!$C$32, $C$9, 100%, $E$9)</f>
        <v>4.6067</v>
      </c>
      <c r="O152" s="9">
        <f>4.6109 * CHOOSE(CONTROL!$C$32, $C$9, 100%, $E$9)</f>
        <v>4.6109</v>
      </c>
      <c r="P152" s="17"/>
      <c r="Q152" s="17"/>
      <c r="R152" s="17"/>
    </row>
    <row r="153" spans="1:18" ht="15" x14ac:dyDescent="0.2">
      <c r="A153" s="16">
        <v>45505</v>
      </c>
      <c r="B153" s="10">
        <f>4.0943 * CHOOSE(CONTROL!$C$32, $C$9, 100%, $E$9)</f>
        <v>4.0942999999999996</v>
      </c>
      <c r="C153" s="10">
        <f>4.0943 * CHOOSE(CONTROL!$C$32, $C$9, 100%, $E$9)</f>
        <v>4.0942999999999996</v>
      </c>
      <c r="D153" s="10">
        <f>4.0955 * CHOOSE(CONTROL!$C$32, $C$9, 100%, $E$9)</f>
        <v>4.0955000000000004</v>
      </c>
      <c r="E153" s="9">
        <f>4.5479 * CHOOSE(CONTROL!$C$32, $C$9, 100%, $E$9)</f>
        <v>4.5479000000000003</v>
      </c>
      <c r="F153" s="9">
        <f>4.5479 * CHOOSE(CONTROL!$C$32, $C$9, 100%, $E$9)</f>
        <v>4.5479000000000003</v>
      </c>
      <c r="G153" s="9">
        <f>4.5521 * CHOOSE(CONTROL!$C$32, $C$9, 100%, $E$9)</f>
        <v>4.5521000000000003</v>
      </c>
      <c r="H153" s="9">
        <f>5.1357 * CHOOSE(CONTROL!$C$32, $C$9, 100%, $E$9)</f>
        <v>5.1356999999999999</v>
      </c>
      <c r="I153" s="9">
        <f>5.14 * CHOOSE(CONTROL!$C$32, $C$9, 100%, $E$9)</f>
        <v>5.14</v>
      </c>
      <c r="J153" s="9">
        <f>5.1357 * CHOOSE(CONTROL!$C$32, $C$9, 100%, $E$9)</f>
        <v>5.1356999999999999</v>
      </c>
      <c r="K153" s="9">
        <f>5.14 * CHOOSE(CONTROL!$C$32, $C$9, 100%, $E$9)</f>
        <v>5.14</v>
      </c>
      <c r="L153" s="9">
        <f>4.5479 * CHOOSE(CONTROL!$C$32, $C$9, 100%, $E$9)</f>
        <v>4.5479000000000003</v>
      </c>
      <c r="M153" s="9">
        <f>4.5521 * CHOOSE(CONTROL!$C$32, $C$9, 100%, $E$9)</f>
        <v>4.5521000000000003</v>
      </c>
      <c r="N153" s="9">
        <f>4.5479 * CHOOSE(CONTROL!$C$32, $C$9, 100%, $E$9)</f>
        <v>4.5479000000000003</v>
      </c>
      <c r="O153" s="9">
        <f>4.5521 * CHOOSE(CONTROL!$C$32, $C$9, 100%, $E$9)</f>
        <v>4.5521000000000003</v>
      </c>
      <c r="P153" s="17"/>
      <c r="Q153" s="17"/>
      <c r="R153" s="17"/>
    </row>
    <row r="154" spans="1:18" ht="15" x14ac:dyDescent="0.2">
      <c r="A154" s="16">
        <v>45536</v>
      </c>
      <c r="B154" s="10">
        <f>4.0912 * CHOOSE(CONTROL!$C$32, $C$9, 100%, $E$9)</f>
        <v>4.0911999999999997</v>
      </c>
      <c r="C154" s="10">
        <f>4.0912 * CHOOSE(CONTROL!$C$32, $C$9, 100%, $E$9)</f>
        <v>4.0911999999999997</v>
      </c>
      <c r="D154" s="10">
        <f>4.0925 * CHOOSE(CONTROL!$C$32, $C$9, 100%, $E$9)</f>
        <v>4.0925000000000002</v>
      </c>
      <c r="E154" s="9">
        <f>4.5387 * CHOOSE(CONTROL!$C$32, $C$9, 100%, $E$9)</f>
        <v>4.5387000000000004</v>
      </c>
      <c r="F154" s="9">
        <f>4.5387 * CHOOSE(CONTROL!$C$32, $C$9, 100%, $E$9)</f>
        <v>4.5387000000000004</v>
      </c>
      <c r="G154" s="9">
        <f>4.5429 * CHOOSE(CONTROL!$C$32, $C$9, 100%, $E$9)</f>
        <v>4.5429000000000004</v>
      </c>
      <c r="H154" s="9">
        <f>5.1337 * CHOOSE(CONTROL!$C$32, $C$9, 100%, $E$9)</f>
        <v>5.1337000000000002</v>
      </c>
      <c r="I154" s="9">
        <f>5.138 * CHOOSE(CONTROL!$C$32, $C$9, 100%, $E$9)</f>
        <v>5.1379999999999999</v>
      </c>
      <c r="J154" s="9">
        <f>5.1337 * CHOOSE(CONTROL!$C$32, $C$9, 100%, $E$9)</f>
        <v>5.1337000000000002</v>
      </c>
      <c r="K154" s="9">
        <f>5.138 * CHOOSE(CONTROL!$C$32, $C$9, 100%, $E$9)</f>
        <v>5.1379999999999999</v>
      </c>
      <c r="L154" s="9">
        <f>4.5387 * CHOOSE(CONTROL!$C$32, $C$9, 100%, $E$9)</f>
        <v>4.5387000000000004</v>
      </c>
      <c r="M154" s="9">
        <f>4.5429 * CHOOSE(CONTROL!$C$32, $C$9, 100%, $E$9)</f>
        <v>4.5429000000000004</v>
      </c>
      <c r="N154" s="9">
        <f>4.5387 * CHOOSE(CONTROL!$C$32, $C$9, 100%, $E$9)</f>
        <v>4.5387000000000004</v>
      </c>
      <c r="O154" s="9">
        <f>4.5429 * CHOOSE(CONTROL!$C$32, $C$9, 100%, $E$9)</f>
        <v>4.5429000000000004</v>
      </c>
      <c r="P154" s="17"/>
      <c r="Q154" s="17"/>
      <c r="R154" s="17"/>
    </row>
    <row r="155" spans="1:18" ht="15" x14ac:dyDescent="0.2">
      <c r="A155" s="16">
        <v>45566</v>
      </c>
      <c r="B155" s="10">
        <f>4.0872 * CHOOSE(CONTROL!$C$32, $C$9, 100%, $E$9)</f>
        <v>4.0872000000000002</v>
      </c>
      <c r="C155" s="10">
        <f>4.0872 * CHOOSE(CONTROL!$C$32, $C$9, 100%, $E$9)</f>
        <v>4.0872000000000002</v>
      </c>
      <c r="D155" s="10">
        <f>4.0881 * CHOOSE(CONTROL!$C$32, $C$9, 100%, $E$9)</f>
        <v>4.0880999999999998</v>
      </c>
      <c r="E155" s="9">
        <f>4.5535 * CHOOSE(CONTROL!$C$32, $C$9, 100%, $E$9)</f>
        <v>4.5534999999999997</v>
      </c>
      <c r="F155" s="9">
        <f>4.5535 * CHOOSE(CONTROL!$C$32, $C$9, 100%, $E$9)</f>
        <v>4.5534999999999997</v>
      </c>
      <c r="G155" s="9">
        <f>4.5567 * CHOOSE(CONTROL!$C$32, $C$9, 100%, $E$9)</f>
        <v>4.5567000000000002</v>
      </c>
      <c r="H155" s="9">
        <f>5.1305 * CHOOSE(CONTROL!$C$32, $C$9, 100%, $E$9)</f>
        <v>5.1304999999999996</v>
      </c>
      <c r="I155" s="9">
        <f>5.1338 * CHOOSE(CONTROL!$C$32, $C$9, 100%, $E$9)</f>
        <v>5.1337999999999999</v>
      </c>
      <c r="J155" s="9">
        <f>5.1305 * CHOOSE(CONTROL!$C$32, $C$9, 100%, $E$9)</f>
        <v>5.1304999999999996</v>
      </c>
      <c r="K155" s="9">
        <f>5.1338 * CHOOSE(CONTROL!$C$32, $C$9, 100%, $E$9)</f>
        <v>5.1337999999999999</v>
      </c>
      <c r="L155" s="9">
        <f>4.5535 * CHOOSE(CONTROL!$C$32, $C$9, 100%, $E$9)</f>
        <v>4.5534999999999997</v>
      </c>
      <c r="M155" s="9">
        <f>4.5567 * CHOOSE(CONTROL!$C$32, $C$9, 100%, $E$9)</f>
        <v>4.5567000000000002</v>
      </c>
      <c r="N155" s="9">
        <f>4.5535 * CHOOSE(CONTROL!$C$32, $C$9, 100%, $E$9)</f>
        <v>4.5534999999999997</v>
      </c>
      <c r="O155" s="9">
        <f>4.5567 * CHOOSE(CONTROL!$C$32, $C$9, 100%, $E$9)</f>
        <v>4.5567000000000002</v>
      </c>
      <c r="P155" s="17"/>
      <c r="Q155" s="17"/>
      <c r="R155" s="17"/>
    </row>
    <row r="156" spans="1:18" ht="15" x14ac:dyDescent="0.2">
      <c r="A156" s="16">
        <v>45597</v>
      </c>
      <c r="B156" s="10">
        <f>4.0902 * CHOOSE(CONTROL!$C$32, $C$9, 100%, $E$9)</f>
        <v>4.0902000000000003</v>
      </c>
      <c r="C156" s="10">
        <f>4.0902 * CHOOSE(CONTROL!$C$32, $C$9, 100%, $E$9)</f>
        <v>4.0902000000000003</v>
      </c>
      <c r="D156" s="10">
        <f>4.0912 * CHOOSE(CONTROL!$C$32, $C$9, 100%, $E$9)</f>
        <v>4.0911999999999997</v>
      </c>
      <c r="E156" s="9">
        <f>4.5698 * CHOOSE(CONTROL!$C$32, $C$9, 100%, $E$9)</f>
        <v>4.5697999999999999</v>
      </c>
      <c r="F156" s="9">
        <f>4.5698 * CHOOSE(CONTROL!$C$32, $C$9, 100%, $E$9)</f>
        <v>4.5697999999999999</v>
      </c>
      <c r="G156" s="9">
        <f>4.573 * CHOOSE(CONTROL!$C$32, $C$9, 100%, $E$9)</f>
        <v>4.5730000000000004</v>
      </c>
      <c r="H156" s="9">
        <f>5.1325 * CHOOSE(CONTROL!$C$32, $C$9, 100%, $E$9)</f>
        <v>5.1325000000000003</v>
      </c>
      <c r="I156" s="9">
        <f>5.1358 * CHOOSE(CONTROL!$C$32, $C$9, 100%, $E$9)</f>
        <v>5.1357999999999997</v>
      </c>
      <c r="J156" s="9">
        <f>5.1325 * CHOOSE(CONTROL!$C$32, $C$9, 100%, $E$9)</f>
        <v>5.1325000000000003</v>
      </c>
      <c r="K156" s="9">
        <f>5.1358 * CHOOSE(CONTROL!$C$32, $C$9, 100%, $E$9)</f>
        <v>5.1357999999999997</v>
      </c>
      <c r="L156" s="9">
        <f>4.5698 * CHOOSE(CONTROL!$C$32, $C$9, 100%, $E$9)</f>
        <v>4.5697999999999999</v>
      </c>
      <c r="M156" s="9">
        <f>4.573 * CHOOSE(CONTROL!$C$32, $C$9, 100%, $E$9)</f>
        <v>4.5730000000000004</v>
      </c>
      <c r="N156" s="9">
        <f>4.5698 * CHOOSE(CONTROL!$C$32, $C$9, 100%, $E$9)</f>
        <v>4.5697999999999999</v>
      </c>
      <c r="O156" s="9">
        <f>4.573 * CHOOSE(CONTROL!$C$32, $C$9, 100%, $E$9)</f>
        <v>4.5730000000000004</v>
      </c>
      <c r="P156" s="17"/>
      <c r="Q156" s="17"/>
      <c r="R156" s="17"/>
    </row>
    <row r="157" spans="1:18" ht="15" x14ac:dyDescent="0.2">
      <c r="A157" s="16">
        <v>45627</v>
      </c>
      <c r="B157" s="10">
        <f>4.0902 * CHOOSE(CONTROL!$C$32, $C$9, 100%, $E$9)</f>
        <v>4.0902000000000003</v>
      </c>
      <c r="C157" s="10">
        <f>4.0902 * CHOOSE(CONTROL!$C$32, $C$9, 100%, $E$9)</f>
        <v>4.0902000000000003</v>
      </c>
      <c r="D157" s="10">
        <f>4.0912 * CHOOSE(CONTROL!$C$32, $C$9, 100%, $E$9)</f>
        <v>4.0911999999999997</v>
      </c>
      <c r="E157" s="9">
        <f>4.5345 * CHOOSE(CONTROL!$C$32, $C$9, 100%, $E$9)</f>
        <v>4.5345000000000004</v>
      </c>
      <c r="F157" s="9">
        <f>4.5345 * CHOOSE(CONTROL!$C$32, $C$9, 100%, $E$9)</f>
        <v>4.5345000000000004</v>
      </c>
      <c r="G157" s="9">
        <f>4.5377 * CHOOSE(CONTROL!$C$32, $C$9, 100%, $E$9)</f>
        <v>4.5377000000000001</v>
      </c>
      <c r="H157" s="9">
        <f>5.1325 * CHOOSE(CONTROL!$C$32, $C$9, 100%, $E$9)</f>
        <v>5.1325000000000003</v>
      </c>
      <c r="I157" s="9">
        <f>5.1358 * CHOOSE(CONTROL!$C$32, $C$9, 100%, $E$9)</f>
        <v>5.1357999999999997</v>
      </c>
      <c r="J157" s="9">
        <f>5.1325 * CHOOSE(CONTROL!$C$32, $C$9, 100%, $E$9)</f>
        <v>5.1325000000000003</v>
      </c>
      <c r="K157" s="9">
        <f>5.1358 * CHOOSE(CONTROL!$C$32, $C$9, 100%, $E$9)</f>
        <v>5.1357999999999997</v>
      </c>
      <c r="L157" s="9">
        <f>4.5345 * CHOOSE(CONTROL!$C$32, $C$9, 100%, $E$9)</f>
        <v>4.5345000000000004</v>
      </c>
      <c r="M157" s="9">
        <f>4.5377 * CHOOSE(CONTROL!$C$32, $C$9, 100%, $E$9)</f>
        <v>4.5377000000000001</v>
      </c>
      <c r="N157" s="9">
        <f>4.5345 * CHOOSE(CONTROL!$C$32, $C$9, 100%, $E$9)</f>
        <v>4.5345000000000004</v>
      </c>
      <c r="O157" s="9">
        <f>4.5377 * CHOOSE(CONTROL!$C$32, $C$9, 100%, $E$9)</f>
        <v>4.5377000000000001</v>
      </c>
      <c r="P157" s="17"/>
      <c r="Q157" s="17"/>
      <c r="R157" s="17"/>
    </row>
    <row r="158" spans="1:18" ht="15" x14ac:dyDescent="0.2">
      <c r="A158" s="16">
        <v>45658</v>
      </c>
      <c r="B158" s="10">
        <f>4.1274 * CHOOSE(CONTROL!$C$32, $C$9, 100%, $E$9)</f>
        <v>4.1273999999999997</v>
      </c>
      <c r="C158" s="10">
        <f>4.1274 * CHOOSE(CONTROL!$C$32, $C$9, 100%, $E$9)</f>
        <v>4.1273999999999997</v>
      </c>
      <c r="D158" s="10">
        <f>4.1283 * CHOOSE(CONTROL!$C$32, $C$9, 100%, $E$9)</f>
        <v>4.1283000000000003</v>
      </c>
      <c r="E158" s="9">
        <f>4.5812 * CHOOSE(CONTROL!$C$32, $C$9, 100%, $E$9)</f>
        <v>4.5811999999999999</v>
      </c>
      <c r="F158" s="9">
        <f>4.5812 * CHOOSE(CONTROL!$C$32, $C$9, 100%, $E$9)</f>
        <v>4.5811999999999999</v>
      </c>
      <c r="G158" s="9">
        <f>4.5845 * CHOOSE(CONTROL!$C$32, $C$9, 100%, $E$9)</f>
        <v>4.5845000000000002</v>
      </c>
      <c r="H158" s="9">
        <f>5.1726 * CHOOSE(CONTROL!$C$32, $C$9, 100%, $E$9)</f>
        <v>5.1726000000000001</v>
      </c>
      <c r="I158" s="9">
        <f>5.1758 * CHOOSE(CONTROL!$C$32, $C$9, 100%, $E$9)</f>
        <v>5.1757999999999997</v>
      </c>
      <c r="J158" s="9">
        <f>5.1726 * CHOOSE(CONTROL!$C$32, $C$9, 100%, $E$9)</f>
        <v>5.1726000000000001</v>
      </c>
      <c r="K158" s="9">
        <f>5.1758 * CHOOSE(CONTROL!$C$32, $C$9, 100%, $E$9)</f>
        <v>5.1757999999999997</v>
      </c>
      <c r="L158" s="9">
        <f>4.5812 * CHOOSE(CONTROL!$C$32, $C$9, 100%, $E$9)</f>
        <v>4.5811999999999999</v>
      </c>
      <c r="M158" s="9">
        <f>4.5845 * CHOOSE(CONTROL!$C$32, $C$9, 100%, $E$9)</f>
        <v>4.5845000000000002</v>
      </c>
      <c r="N158" s="9">
        <f>4.5812 * CHOOSE(CONTROL!$C$32, $C$9, 100%, $E$9)</f>
        <v>4.5811999999999999</v>
      </c>
      <c r="O158" s="9">
        <f>4.5845 * CHOOSE(CONTROL!$C$32, $C$9, 100%, $E$9)</f>
        <v>4.5845000000000002</v>
      </c>
      <c r="P158" s="17"/>
      <c r="Q158" s="17"/>
      <c r="R158" s="17"/>
    </row>
    <row r="159" spans="1:18" ht="15" x14ac:dyDescent="0.2">
      <c r="A159" s="16">
        <v>45689</v>
      </c>
      <c r="B159" s="10">
        <f>4.1243 * CHOOSE(CONTROL!$C$32, $C$9, 100%, $E$9)</f>
        <v>4.1242999999999999</v>
      </c>
      <c r="C159" s="10">
        <f>4.1243 * CHOOSE(CONTROL!$C$32, $C$9, 100%, $E$9)</f>
        <v>4.1242999999999999</v>
      </c>
      <c r="D159" s="10">
        <f>4.1253 * CHOOSE(CONTROL!$C$32, $C$9, 100%, $E$9)</f>
        <v>4.1253000000000002</v>
      </c>
      <c r="E159" s="9">
        <f>4.5102 * CHOOSE(CONTROL!$C$32, $C$9, 100%, $E$9)</f>
        <v>4.5102000000000002</v>
      </c>
      <c r="F159" s="9">
        <f>4.5102 * CHOOSE(CONTROL!$C$32, $C$9, 100%, $E$9)</f>
        <v>4.5102000000000002</v>
      </c>
      <c r="G159" s="9">
        <f>4.5134 * CHOOSE(CONTROL!$C$32, $C$9, 100%, $E$9)</f>
        <v>4.5133999999999999</v>
      </c>
      <c r="H159" s="9">
        <f>5.1706 * CHOOSE(CONTROL!$C$32, $C$9, 100%, $E$9)</f>
        <v>5.1706000000000003</v>
      </c>
      <c r="I159" s="9">
        <f>5.1738 * CHOOSE(CONTROL!$C$32, $C$9, 100%, $E$9)</f>
        <v>5.1738</v>
      </c>
      <c r="J159" s="9">
        <f>5.1706 * CHOOSE(CONTROL!$C$32, $C$9, 100%, $E$9)</f>
        <v>5.1706000000000003</v>
      </c>
      <c r="K159" s="9">
        <f>5.1738 * CHOOSE(CONTROL!$C$32, $C$9, 100%, $E$9)</f>
        <v>5.1738</v>
      </c>
      <c r="L159" s="9">
        <f>4.5102 * CHOOSE(CONTROL!$C$32, $C$9, 100%, $E$9)</f>
        <v>4.5102000000000002</v>
      </c>
      <c r="M159" s="9">
        <f>4.5134 * CHOOSE(CONTROL!$C$32, $C$9, 100%, $E$9)</f>
        <v>4.5133999999999999</v>
      </c>
      <c r="N159" s="9">
        <f>4.5102 * CHOOSE(CONTROL!$C$32, $C$9, 100%, $E$9)</f>
        <v>4.5102000000000002</v>
      </c>
      <c r="O159" s="9">
        <f>4.5134 * CHOOSE(CONTROL!$C$32, $C$9, 100%, $E$9)</f>
        <v>4.5133999999999999</v>
      </c>
      <c r="P159" s="17"/>
      <c r="Q159" s="17"/>
      <c r="R159" s="17"/>
    </row>
    <row r="160" spans="1:18" ht="15" x14ac:dyDescent="0.2">
      <c r="A160" s="16">
        <v>45717</v>
      </c>
      <c r="B160" s="10">
        <f>4.1213 * CHOOSE(CONTROL!$C$32, $C$9, 100%, $E$9)</f>
        <v>4.1212999999999997</v>
      </c>
      <c r="C160" s="10">
        <f>4.1213 * CHOOSE(CONTROL!$C$32, $C$9, 100%, $E$9)</f>
        <v>4.1212999999999997</v>
      </c>
      <c r="D160" s="10">
        <f>4.1222 * CHOOSE(CONTROL!$C$32, $C$9, 100%, $E$9)</f>
        <v>4.1222000000000003</v>
      </c>
      <c r="E160" s="9">
        <f>4.5624 * CHOOSE(CONTROL!$C$32, $C$9, 100%, $E$9)</f>
        <v>4.5624000000000002</v>
      </c>
      <c r="F160" s="9">
        <f>4.5624 * CHOOSE(CONTROL!$C$32, $C$9, 100%, $E$9)</f>
        <v>4.5624000000000002</v>
      </c>
      <c r="G160" s="9">
        <f>4.5657 * CHOOSE(CONTROL!$C$32, $C$9, 100%, $E$9)</f>
        <v>4.5656999999999996</v>
      </c>
      <c r="H160" s="9">
        <f>5.1686 * CHOOSE(CONTROL!$C$32, $C$9, 100%, $E$9)</f>
        <v>5.1685999999999996</v>
      </c>
      <c r="I160" s="9">
        <f>5.1718 * CHOOSE(CONTROL!$C$32, $C$9, 100%, $E$9)</f>
        <v>5.1718000000000002</v>
      </c>
      <c r="J160" s="9">
        <f>5.1686 * CHOOSE(CONTROL!$C$32, $C$9, 100%, $E$9)</f>
        <v>5.1685999999999996</v>
      </c>
      <c r="K160" s="9">
        <f>5.1718 * CHOOSE(CONTROL!$C$32, $C$9, 100%, $E$9)</f>
        <v>5.1718000000000002</v>
      </c>
      <c r="L160" s="9">
        <f>4.5624 * CHOOSE(CONTROL!$C$32, $C$9, 100%, $E$9)</f>
        <v>4.5624000000000002</v>
      </c>
      <c r="M160" s="9">
        <f>4.5657 * CHOOSE(CONTROL!$C$32, $C$9, 100%, $E$9)</f>
        <v>4.5656999999999996</v>
      </c>
      <c r="N160" s="9">
        <f>4.5624 * CHOOSE(CONTROL!$C$32, $C$9, 100%, $E$9)</f>
        <v>4.5624000000000002</v>
      </c>
      <c r="O160" s="9">
        <f>4.5657 * CHOOSE(CONTROL!$C$32, $C$9, 100%, $E$9)</f>
        <v>4.5656999999999996</v>
      </c>
      <c r="P160" s="17"/>
      <c r="Q160" s="17"/>
      <c r="R160" s="17"/>
    </row>
    <row r="161" spans="1:18" ht="15" x14ac:dyDescent="0.2">
      <c r="A161" s="16">
        <v>45748</v>
      </c>
      <c r="B161" s="10">
        <f>4.1192 * CHOOSE(CONTROL!$C$32, $C$9, 100%, $E$9)</f>
        <v>4.1192000000000002</v>
      </c>
      <c r="C161" s="10">
        <f>4.1192 * CHOOSE(CONTROL!$C$32, $C$9, 100%, $E$9)</f>
        <v>4.1192000000000002</v>
      </c>
      <c r="D161" s="10">
        <f>4.1202 * CHOOSE(CONTROL!$C$32, $C$9, 100%, $E$9)</f>
        <v>4.1201999999999996</v>
      </c>
      <c r="E161" s="9">
        <f>4.6165 * CHOOSE(CONTROL!$C$32, $C$9, 100%, $E$9)</f>
        <v>4.6165000000000003</v>
      </c>
      <c r="F161" s="9">
        <f>4.6165 * CHOOSE(CONTROL!$C$32, $C$9, 100%, $E$9)</f>
        <v>4.6165000000000003</v>
      </c>
      <c r="G161" s="9">
        <f>4.6198 * CHOOSE(CONTROL!$C$32, $C$9, 100%, $E$9)</f>
        <v>4.6197999999999997</v>
      </c>
      <c r="H161" s="9">
        <f>5.1671 * CHOOSE(CONTROL!$C$32, $C$9, 100%, $E$9)</f>
        <v>5.1670999999999996</v>
      </c>
      <c r="I161" s="9">
        <f>5.1703 * CHOOSE(CONTROL!$C$32, $C$9, 100%, $E$9)</f>
        <v>5.1703000000000001</v>
      </c>
      <c r="J161" s="9">
        <f>5.1671 * CHOOSE(CONTROL!$C$32, $C$9, 100%, $E$9)</f>
        <v>5.1670999999999996</v>
      </c>
      <c r="K161" s="9">
        <f>5.1703 * CHOOSE(CONTROL!$C$32, $C$9, 100%, $E$9)</f>
        <v>5.1703000000000001</v>
      </c>
      <c r="L161" s="9">
        <f>4.6165 * CHOOSE(CONTROL!$C$32, $C$9, 100%, $E$9)</f>
        <v>4.6165000000000003</v>
      </c>
      <c r="M161" s="9">
        <f>4.6198 * CHOOSE(CONTROL!$C$32, $C$9, 100%, $E$9)</f>
        <v>4.6197999999999997</v>
      </c>
      <c r="N161" s="9">
        <f>4.6165 * CHOOSE(CONTROL!$C$32, $C$9, 100%, $E$9)</f>
        <v>4.6165000000000003</v>
      </c>
      <c r="O161" s="9">
        <f>4.6198 * CHOOSE(CONTROL!$C$32, $C$9, 100%, $E$9)</f>
        <v>4.6197999999999997</v>
      </c>
      <c r="P161" s="17"/>
      <c r="Q161" s="17"/>
      <c r="R161" s="17"/>
    </row>
    <row r="162" spans="1:18" ht="15" x14ac:dyDescent="0.2">
      <c r="A162" s="16">
        <v>45778</v>
      </c>
      <c r="B162" s="10">
        <f>4.1192 * CHOOSE(CONTROL!$C$32, $C$9, 100%, $E$9)</f>
        <v>4.1192000000000002</v>
      </c>
      <c r="C162" s="10">
        <f>4.1192 * CHOOSE(CONTROL!$C$32, $C$9, 100%, $E$9)</f>
        <v>4.1192000000000002</v>
      </c>
      <c r="D162" s="10">
        <f>4.1205 * CHOOSE(CONTROL!$C$32, $C$9, 100%, $E$9)</f>
        <v>4.1204999999999998</v>
      </c>
      <c r="E162" s="9">
        <f>4.6384 * CHOOSE(CONTROL!$C$32, $C$9, 100%, $E$9)</f>
        <v>4.6383999999999999</v>
      </c>
      <c r="F162" s="9">
        <f>4.6384 * CHOOSE(CONTROL!$C$32, $C$9, 100%, $E$9)</f>
        <v>4.6383999999999999</v>
      </c>
      <c r="G162" s="9">
        <f>4.6426 * CHOOSE(CONTROL!$C$32, $C$9, 100%, $E$9)</f>
        <v>4.6425999999999998</v>
      </c>
      <c r="H162" s="9">
        <f>5.1671 * CHOOSE(CONTROL!$C$32, $C$9, 100%, $E$9)</f>
        <v>5.1670999999999996</v>
      </c>
      <c r="I162" s="9">
        <f>5.1713 * CHOOSE(CONTROL!$C$32, $C$9, 100%, $E$9)</f>
        <v>5.1712999999999996</v>
      </c>
      <c r="J162" s="9">
        <f>5.1671 * CHOOSE(CONTROL!$C$32, $C$9, 100%, $E$9)</f>
        <v>5.1670999999999996</v>
      </c>
      <c r="K162" s="9">
        <f>5.1713 * CHOOSE(CONTROL!$C$32, $C$9, 100%, $E$9)</f>
        <v>5.1712999999999996</v>
      </c>
      <c r="L162" s="9">
        <f>4.6384 * CHOOSE(CONTROL!$C$32, $C$9, 100%, $E$9)</f>
        <v>4.6383999999999999</v>
      </c>
      <c r="M162" s="9">
        <f>4.6426 * CHOOSE(CONTROL!$C$32, $C$9, 100%, $E$9)</f>
        <v>4.6425999999999998</v>
      </c>
      <c r="N162" s="9">
        <f>4.6384 * CHOOSE(CONTROL!$C$32, $C$9, 100%, $E$9)</f>
        <v>4.6383999999999999</v>
      </c>
      <c r="O162" s="9">
        <f>4.6426 * CHOOSE(CONTROL!$C$32, $C$9, 100%, $E$9)</f>
        <v>4.6425999999999998</v>
      </c>
      <c r="P162" s="17"/>
      <c r="Q162" s="17"/>
      <c r="R162" s="17"/>
    </row>
    <row r="163" spans="1:18" ht="15" x14ac:dyDescent="0.2">
      <c r="A163" s="16">
        <v>45809</v>
      </c>
      <c r="B163" s="10">
        <f>4.1253 * CHOOSE(CONTROL!$C$32, $C$9, 100%, $E$9)</f>
        <v>4.1253000000000002</v>
      </c>
      <c r="C163" s="10">
        <f>4.1253 * CHOOSE(CONTROL!$C$32, $C$9, 100%, $E$9)</f>
        <v>4.1253000000000002</v>
      </c>
      <c r="D163" s="10">
        <f>4.1265 * CHOOSE(CONTROL!$C$32, $C$9, 100%, $E$9)</f>
        <v>4.1265000000000001</v>
      </c>
      <c r="E163" s="9">
        <f>4.6208 * CHOOSE(CONTROL!$C$32, $C$9, 100%, $E$9)</f>
        <v>4.6208</v>
      </c>
      <c r="F163" s="9">
        <f>4.6208 * CHOOSE(CONTROL!$C$32, $C$9, 100%, $E$9)</f>
        <v>4.6208</v>
      </c>
      <c r="G163" s="9">
        <f>4.625 * CHOOSE(CONTROL!$C$32, $C$9, 100%, $E$9)</f>
        <v>4.625</v>
      </c>
      <c r="H163" s="9">
        <f>5.1711 * CHOOSE(CONTROL!$C$32, $C$9, 100%, $E$9)</f>
        <v>5.1711</v>
      </c>
      <c r="I163" s="9">
        <f>5.1753 * CHOOSE(CONTROL!$C$32, $C$9, 100%, $E$9)</f>
        <v>5.1753</v>
      </c>
      <c r="J163" s="9">
        <f>5.1711 * CHOOSE(CONTROL!$C$32, $C$9, 100%, $E$9)</f>
        <v>5.1711</v>
      </c>
      <c r="K163" s="9">
        <f>5.1753 * CHOOSE(CONTROL!$C$32, $C$9, 100%, $E$9)</f>
        <v>5.1753</v>
      </c>
      <c r="L163" s="9">
        <f>4.6208 * CHOOSE(CONTROL!$C$32, $C$9, 100%, $E$9)</f>
        <v>4.6208</v>
      </c>
      <c r="M163" s="9">
        <f>4.625 * CHOOSE(CONTROL!$C$32, $C$9, 100%, $E$9)</f>
        <v>4.625</v>
      </c>
      <c r="N163" s="9">
        <f>4.6208 * CHOOSE(CONTROL!$C$32, $C$9, 100%, $E$9)</f>
        <v>4.6208</v>
      </c>
      <c r="O163" s="9">
        <f>4.625 * CHOOSE(CONTROL!$C$32, $C$9, 100%, $E$9)</f>
        <v>4.625</v>
      </c>
      <c r="P163" s="17"/>
      <c r="Q163" s="17"/>
      <c r="R163" s="17"/>
    </row>
    <row r="164" spans="1:18" ht="15" x14ac:dyDescent="0.2">
      <c r="A164" s="16">
        <v>45839</v>
      </c>
      <c r="B164" s="10">
        <f>4.1941 * CHOOSE(CONTROL!$C$32, $C$9, 100%, $E$9)</f>
        <v>4.1940999999999997</v>
      </c>
      <c r="C164" s="10">
        <f>4.1941 * CHOOSE(CONTROL!$C$32, $C$9, 100%, $E$9)</f>
        <v>4.1940999999999997</v>
      </c>
      <c r="D164" s="10">
        <f>4.1953 * CHOOSE(CONTROL!$C$32, $C$9, 100%, $E$9)</f>
        <v>4.1952999999999996</v>
      </c>
      <c r="E164" s="9">
        <f>4.6523 * CHOOSE(CONTROL!$C$32, $C$9, 100%, $E$9)</f>
        <v>4.6523000000000003</v>
      </c>
      <c r="F164" s="9">
        <f>4.6523 * CHOOSE(CONTROL!$C$32, $C$9, 100%, $E$9)</f>
        <v>4.6523000000000003</v>
      </c>
      <c r="G164" s="9">
        <f>4.6565 * CHOOSE(CONTROL!$C$32, $C$9, 100%, $E$9)</f>
        <v>4.6565000000000003</v>
      </c>
      <c r="H164" s="9">
        <f>5.2554 * CHOOSE(CONTROL!$C$32, $C$9, 100%, $E$9)</f>
        <v>5.2553999999999998</v>
      </c>
      <c r="I164" s="9">
        <f>5.2596 * CHOOSE(CONTROL!$C$32, $C$9, 100%, $E$9)</f>
        <v>5.2595999999999998</v>
      </c>
      <c r="J164" s="9">
        <f>5.2554 * CHOOSE(CONTROL!$C$32, $C$9, 100%, $E$9)</f>
        <v>5.2553999999999998</v>
      </c>
      <c r="K164" s="9">
        <f>5.2596 * CHOOSE(CONTROL!$C$32, $C$9, 100%, $E$9)</f>
        <v>5.2595999999999998</v>
      </c>
      <c r="L164" s="9">
        <f>4.6523 * CHOOSE(CONTROL!$C$32, $C$9, 100%, $E$9)</f>
        <v>4.6523000000000003</v>
      </c>
      <c r="M164" s="9">
        <f>4.6565 * CHOOSE(CONTROL!$C$32, $C$9, 100%, $E$9)</f>
        <v>4.6565000000000003</v>
      </c>
      <c r="N164" s="9">
        <f>4.6523 * CHOOSE(CONTROL!$C$32, $C$9, 100%, $E$9)</f>
        <v>4.6523000000000003</v>
      </c>
      <c r="O164" s="9">
        <f>4.6565 * CHOOSE(CONTROL!$C$32, $C$9, 100%, $E$9)</f>
        <v>4.6565000000000003</v>
      </c>
      <c r="P164" s="17"/>
      <c r="Q164" s="17"/>
      <c r="R164" s="17"/>
    </row>
    <row r="165" spans="1:18" ht="15" x14ac:dyDescent="0.2">
      <c r="A165" s="16">
        <v>45870</v>
      </c>
      <c r="B165" s="10">
        <f>4.2008 * CHOOSE(CONTROL!$C$32, $C$9, 100%, $E$9)</f>
        <v>4.2008000000000001</v>
      </c>
      <c r="C165" s="10">
        <f>4.2008 * CHOOSE(CONTROL!$C$32, $C$9, 100%, $E$9)</f>
        <v>4.2008000000000001</v>
      </c>
      <c r="D165" s="10">
        <f>4.202 * CHOOSE(CONTROL!$C$32, $C$9, 100%, $E$9)</f>
        <v>4.202</v>
      </c>
      <c r="E165" s="9">
        <f>4.5913 * CHOOSE(CONTROL!$C$32, $C$9, 100%, $E$9)</f>
        <v>4.5913000000000004</v>
      </c>
      <c r="F165" s="9">
        <f>4.5913 * CHOOSE(CONTROL!$C$32, $C$9, 100%, $E$9)</f>
        <v>4.5913000000000004</v>
      </c>
      <c r="G165" s="9">
        <f>4.5955 * CHOOSE(CONTROL!$C$32, $C$9, 100%, $E$9)</f>
        <v>4.5955000000000004</v>
      </c>
      <c r="H165" s="9">
        <f>5.2598 * CHOOSE(CONTROL!$C$32, $C$9, 100%, $E$9)</f>
        <v>5.2598000000000003</v>
      </c>
      <c r="I165" s="9">
        <f>5.264 * CHOOSE(CONTROL!$C$32, $C$9, 100%, $E$9)</f>
        <v>5.2640000000000002</v>
      </c>
      <c r="J165" s="9">
        <f>5.2598 * CHOOSE(CONTROL!$C$32, $C$9, 100%, $E$9)</f>
        <v>5.2598000000000003</v>
      </c>
      <c r="K165" s="9">
        <f>5.264 * CHOOSE(CONTROL!$C$32, $C$9, 100%, $E$9)</f>
        <v>5.2640000000000002</v>
      </c>
      <c r="L165" s="9">
        <f>4.5913 * CHOOSE(CONTROL!$C$32, $C$9, 100%, $E$9)</f>
        <v>4.5913000000000004</v>
      </c>
      <c r="M165" s="9">
        <f>4.5955 * CHOOSE(CONTROL!$C$32, $C$9, 100%, $E$9)</f>
        <v>4.5955000000000004</v>
      </c>
      <c r="N165" s="9">
        <f>4.5913 * CHOOSE(CONTROL!$C$32, $C$9, 100%, $E$9)</f>
        <v>4.5913000000000004</v>
      </c>
      <c r="O165" s="9">
        <f>4.5955 * CHOOSE(CONTROL!$C$32, $C$9, 100%, $E$9)</f>
        <v>4.5955000000000004</v>
      </c>
      <c r="P165" s="17"/>
      <c r="Q165" s="17"/>
      <c r="R165" s="17"/>
    </row>
    <row r="166" spans="1:18" ht="15" x14ac:dyDescent="0.2">
      <c r="A166" s="16">
        <v>45901</v>
      </c>
      <c r="B166" s="10">
        <f>4.1977 * CHOOSE(CONTROL!$C$32, $C$9, 100%, $E$9)</f>
        <v>4.1977000000000002</v>
      </c>
      <c r="C166" s="10">
        <f>4.1977 * CHOOSE(CONTROL!$C$32, $C$9, 100%, $E$9)</f>
        <v>4.1977000000000002</v>
      </c>
      <c r="D166" s="10">
        <f>4.199 * CHOOSE(CONTROL!$C$32, $C$9, 100%, $E$9)</f>
        <v>4.1989999999999998</v>
      </c>
      <c r="E166" s="9">
        <f>4.5819 * CHOOSE(CONTROL!$C$32, $C$9, 100%, $E$9)</f>
        <v>4.5819000000000001</v>
      </c>
      <c r="F166" s="9">
        <f>4.5819 * CHOOSE(CONTROL!$C$32, $C$9, 100%, $E$9)</f>
        <v>4.5819000000000001</v>
      </c>
      <c r="G166" s="9">
        <f>4.5861 * CHOOSE(CONTROL!$C$32, $C$9, 100%, $E$9)</f>
        <v>4.5861000000000001</v>
      </c>
      <c r="H166" s="9">
        <f>5.2578 * CHOOSE(CONTROL!$C$32, $C$9, 100%, $E$9)</f>
        <v>5.2577999999999996</v>
      </c>
      <c r="I166" s="9">
        <f>5.262 * CHOOSE(CONTROL!$C$32, $C$9, 100%, $E$9)</f>
        <v>5.2619999999999996</v>
      </c>
      <c r="J166" s="9">
        <f>5.2578 * CHOOSE(CONTROL!$C$32, $C$9, 100%, $E$9)</f>
        <v>5.2577999999999996</v>
      </c>
      <c r="K166" s="9">
        <f>5.262 * CHOOSE(CONTROL!$C$32, $C$9, 100%, $E$9)</f>
        <v>5.2619999999999996</v>
      </c>
      <c r="L166" s="9">
        <f>4.5819 * CHOOSE(CONTROL!$C$32, $C$9, 100%, $E$9)</f>
        <v>4.5819000000000001</v>
      </c>
      <c r="M166" s="9">
        <f>4.5861 * CHOOSE(CONTROL!$C$32, $C$9, 100%, $E$9)</f>
        <v>4.5861000000000001</v>
      </c>
      <c r="N166" s="9">
        <f>4.5819 * CHOOSE(CONTROL!$C$32, $C$9, 100%, $E$9)</f>
        <v>4.5819000000000001</v>
      </c>
      <c r="O166" s="9">
        <f>4.5861 * CHOOSE(CONTROL!$C$32, $C$9, 100%, $E$9)</f>
        <v>4.5861000000000001</v>
      </c>
      <c r="P166" s="17"/>
      <c r="Q166" s="17"/>
      <c r="R166" s="17"/>
    </row>
    <row r="167" spans="1:18" ht="15" x14ac:dyDescent="0.2">
      <c r="A167" s="16">
        <v>45931</v>
      </c>
      <c r="B167" s="10">
        <f>4.1941 * CHOOSE(CONTROL!$C$32, $C$9, 100%, $E$9)</f>
        <v>4.1940999999999997</v>
      </c>
      <c r="C167" s="10">
        <f>4.1941 * CHOOSE(CONTROL!$C$32, $C$9, 100%, $E$9)</f>
        <v>4.1940999999999997</v>
      </c>
      <c r="D167" s="10">
        <f>4.195 * CHOOSE(CONTROL!$C$32, $C$9, 100%, $E$9)</f>
        <v>4.1950000000000003</v>
      </c>
      <c r="E167" s="9">
        <f>4.5977 * CHOOSE(CONTROL!$C$32, $C$9, 100%, $E$9)</f>
        <v>4.5976999999999997</v>
      </c>
      <c r="F167" s="9">
        <f>4.5977 * CHOOSE(CONTROL!$C$32, $C$9, 100%, $E$9)</f>
        <v>4.5976999999999997</v>
      </c>
      <c r="G167" s="9">
        <f>4.6009 * CHOOSE(CONTROL!$C$32, $C$9, 100%, $E$9)</f>
        <v>4.6009000000000002</v>
      </c>
      <c r="H167" s="9">
        <f>5.2548 * CHOOSE(CONTROL!$C$32, $C$9, 100%, $E$9)</f>
        <v>5.2548000000000004</v>
      </c>
      <c r="I167" s="9">
        <f>5.2581 * CHOOSE(CONTROL!$C$32, $C$9, 100%, $E$9)</f>
        <v>5.2580999999999998</v>
      </c>
      <c r="J167" s="9">
        <f>5.2548 * CHOOSE(CONTROL!$C$32, $C$9, 100%, $E$9)</f>
        <v>5.2548000000000004</v>
      </c>
      <c r="K167" s="9">
        <f>5.2581 * CHOOSE(CONTROL!$C$32, $C$9, 100%, $E$9)</f>
        <v>5.2580999999999998</v>
      </c>
      <c r="L167" s="9">
        <f>4.5977 * CHOOSE(CONTROL!$C$32, $C$9, 100%, $E$9)</f>
        <v>4.5976999999999997</v>
      </c>
      <c r="M167" s="9">
        <f>4.6009 * CHOOSE(CONTROL!$C$32, $C$9, 100%, $E$9)</f>
        <v>4.6009000000000002</v>
      </c>
      <c r="N167" s="9">
        <f>4.5977 * CHOOSE(CONTROL!$C$32, $C$9, 100%, $E$9)</f>
        <v>4.5976999999999997</v>
      </c>
      <c r="O167" s="9">
        <f>4.6009 * CHOOSE(CONTROL!$C$32, $C$9, 100%, $E$9)</f>
        <v>4.6009000000000002</v>
      </c>
      <c r="P167" s="17"/>
      <c r="Q167" s="17"/>
      <c r="R167" s="17"/>
    </row>
    <row r="168" spans="1:18" ht="15" x14ac:dyDescent="0.2">
      <c r="A168" s="16">
        <v>45962</v>
      </c>
      <c r="B168" s="10">
        <f>4.1971 * CHOOSE(CONTROL!$C$32, $C$9, 100%, $E$9)</f>
        <v>4.1970999999999998</v>
      </c>
      <c r="C168" s="10">
        <f>4.1971 * CHOOSE(CONTROL!$C$32, $C$9, 100%, $E$9)</f>
        <v>4.1970999999999998</v>
      </c>
      <c r="D168" s="10">
        <f>4.1981 * CHOOSE(CONTROL!$C$32, $C$9, 100%, $E$9)</f>
        <v>4.1981000000000002</v>
      </c>
      <c r="E168" s="9">
        <f>4.6144 * CHOOSE(CONTROL!$C$32, $C$9, 100%, $E$9)</f>
        <v>4.6143999999999998</v>
      </c>
      <c r="F168" s="9">
        <f>4.6144 * CHOOSE(CONTROL!$C$32, $C$9, 100%, $E$9)</f>
        <v>4.6143999999999998</v>
      </c>
      <c r="G168" s="9">
        <f>4.6176 * CHOOSE(CONTROL!$C$32, $C$9, 100%, $E$9)</f>
        <v>4.6176000000000004</v>
      </c>
      <c r="H168" s="9">
        <f>5.2568 * CHOOSE(CONTROL!$C$32, $C$9, 100%, $E$9)</f>
        <v>5.2568000000000001</v>
      </c>
      <c r="I168" s="9">
        <f>5.2601 * CHOOSE(CONTROL!$C$32, $C$9, 100%, $E$9)</f>
        <v>5.2601000000000004</v>
      </c>
      <c r="J168" s="9">
        <f>5.2568 * CHOOSE(CONTROL!$C$32, $C$9, 100%, $E$9)</f>
        <v>5.2568000000000001</v>
      </c>
      <c r="K168" s="9">
        <f>5.2601 * CHOOSE(CONTROL!$C$32, $C$9, 100%, $E$9)</f>
        <v>5.2601000000000004</v>
      </c>
      <c r="L168" s="9">
        <f>4.6144 * CHOOSE(CONTROL!$C$32, $C$9, 100%, $E$9)</f>
        <v>4.6143999999999998</v>
      </c>
      <c r="M168" s="9">
        <f>4.6176 * CHOOSE(CONTROL!$C$32, $C$9, 100%, $E$9)</f>
        <v>4.6176000000000004</v>
      </c>
      <c r="N168" s="9">
        <f>4.6144 * CHOOSE(CONTROL!$C$32, $C$9, 100%, $E$9)</f>
        <v>4.6143999999999998</v>
      </c>
      <c r="O168" s="9">
        <f>4.6176 * CHOOSE(CONTROL!$C$32, $C$9, 100%, $E$9)</f>
        <v>4.6176000000000004</v>
      </c>
    </row>
    <row r="169" spans="1:18" ht="15" x14ac:dyDescent="0.2">
      <c r="A169" s="16">
        <v>45992</v>
      </c>
      <c r="B169" s="10">
        <f>4.1971 * CHOOSE(CONTROL!$C$32, $C$9, 100%, $E$9)</f>
        <v>4.1970999999999998</v>
      </c>
      <c r="C169" s="10">
        <f>4.1971 * CHOOSE(CONTROL!$C$32, $C$9, 100%, $E$9)</f>
        <v>4.1970999999999998</v>
      </c>
      <c r="D169" s="10">
        <f>4.1981 * CHOOSE(CONTROL!$C$32, $C$9, 100%, $E$9)</f>
        <v>4.1981000000000002</v>
      </c>
      <c r="E169" s="9">
        <f>4.5779 * CHOOSE(CONTROL!$C$32, $C$9, 100%, $E$9)</f>
        <v>4.5778999999999996</v>
      </c>
      <c r="F169" s="9">
        <f>4.5779 * CHOOSE(CONTROL!$C$32, $C$9, 100%, $E$9)</f>
        <v>4.5778999999999996</v>
      </c>
      <c r="G169" s="9">
        <f>4.5812 * CHOOSE(CONTROL!$C$32, $C$9, 100%, $E$9)</f>
        <v>4.5811999999999999</v>
      </c>
      <c r="H169" s="9">
        <f>5.2568 * CHOOSE(CONTROL!$C$32, $C$9, 100%, $E$9)</f>
        <v>5.2568000000000001</v>
      </c>
      <c r="I169" s="9">
        <f>5.2601 * CHOOSE(CONTROL!$C$32, $C$9, 100%, $E$9)</f>
        <v>5.2601000000000004</v>
      </c>
      <c r="J169" s="9">
        <f>5.2568 * CHOOSE(CONTROL!$C$32, $C$9, 100%, $E$9)</f>
        <v>5.2568000000000001</v>
      </c>
      <c r="K169" s="9">
        <f>5.2601 * CHOOSE(CONTROL!$C$32, $C$9, 100%, $E$9)</f>
        <v>5.2601000000000004</v>
      </c>
      <c r="L169" s="9">
        <f>4.5779 * CHOOSE(CONTROL!$C$32, $C$9, 100%, $E$9)</f>
        <v>4.5778999999999996</v>
      </c>
      <c r="M169" s="9">
        <f>4.5812 * CHOOSE(CONTROL!$C$32, $C$9, 100%, $E$9)</f>
        <v>4.5811999999999999</v>
      </c>
      <c r="N169" s="9">
        <f>4.5779 * CHOOSE(CONTROL!$C$32, $C$9, 100%, $E$9)</f>
        <v>4.5778999999999996</v>
      </c>
      <c r="O169" s="9">
        <f>4.5812 * CHOOSE(CONTROL!$C$32, $C$9, 100%, $E$9)</f>
        <v>4.5811999999999999</v>
      </c>
    </row>
    <row r="170" spans="1:18" ht="15" x14ac:dyDescent="0.2">
      <c r="A170" s="16">
        <v>46023</v>
      </c>
      <c r="B170" s="10">
        <f>4.2282 * CHOOSE(CONTROL!$C$32, $C$9, 100%, $E$9)</f>
        <v>4.2282000000000002</v>
      </c>
      <c r="C170" s="10">
        <f>4.2282 * CHOOSE(CONTROL!$C$32, $C$9, 100%, $E$9)</f>
        <v>4.2282000000000002</v>
      </c>
      <c r="D170" s="10">
        <f>4.2292 * CHOOSE(CONTROL!$C$32, $C$9, 100%, $E$9)</f>
        <v>4.2291999999999996</v>
      </c>
      <c r="E170" s="9">
        <f>4.6388 * CHOOSE(CONTROL!$C$32, $C$9, 100%, $E$9)</f>
        <v>4.6387999999999998</v>
      </c>
      <c r="F170" s="9">
        <f>4.6388 * CHOOSE(CONTROL!$C$32, $C$9, 100%, $E$9)</f>
        <v>4.6387999999999998</v>
      </c>
      <c r="G170" s="9">
        <f>4.6421 * CHOOSE(CONTROL!$C$32, $C$9, 100%, $E$9)</f>
        <v>4.6421000000000001</v>
      </c>
      <c r="H170" s="9">
        <f>5.2967 * CHOOSE(CONTROL!$C$32, $C$9, 100%, $E$9)</f>
        <v>5.2967000000000004</v>
      </c>
      <c r="I170" s="9">
        <f>5.2999 * CHOOSE(CONTROL!$C$32, $C$9, 100%, $E$9)</f>
        <v>5.2999000000000001</v>
      </c>
      <c r="J170" s="9">
        <f>5.2967 * CHOOSE(CONTROL!$C$32, $C$9, 100%, $E$9)</f>
        <v>5.2967000000000004</v>
      </c>
      <c r="K170" s="9">
        <f>5.2999 * CHOOSE(CONTROL!$C$32, $C$9, 100%, $E$9)</f>
        <v>5.2999000000000001</v>
      </c>
      <c r="L170" s="9">
        <f>4.6388 * CHOOSE(CONTROL!$C$32, $C$9, 100%, $E$9)</f>
        <v>4.6387999999999998</v>
      </c>
      <c r="M170" s="9">
        <f>4.6421 * CHOOSE(CONTROL!$C$32, $C$9, 100%, $E$9)</f>
        <v>4.6421000000000001</v>
      </c>
      <c r="N170" s="9">
        <f>4.6388 * CHOOSE(CONTROL!$C$32, $C$9, 100%, $E$9)</f>
        <v>4.6387999999999998</v>
      </c>
      <c r="O170" s="9">
        <f>4.6421 * CHOOSE(CONTROL!$C$32, $C$9, 100%, $E$9)</f>
        <v>4.6421000000000001</v>
      </c>
    </row>
    <row r="171" spans="1:18" ht="15" x14ac:dyDescent="0.2">
      <c r="A171" s="16">
        <v>46054</v>
      </c>
      <c r="B171" s="10">
        <f>4.2252 * CHOOSE(CONTROL!$C$32, $C$9, 100%, $E$9)</f>
        <v>4.2252000000000001</v>
      </c>
      <c r="C171" s="10">
        <f>4.2252 * CHOOSE(CONTROL!$C$32, $C$9, 100%, $E$9)</f>
        <v>4.2252000000000001</v>
      </c>
      <c r="D171" s="10">
        <f>4.2261 * CHOOSE(CONTROL!$C$32, $C$9, 100%, $E$9)</f>
        <v>4.2260999999999997</v>
      </c>
      <c r="E171" s="9">
        <f>4.5657 * CHOOSE(CONTROL!$C$32, $C$9, 100%, $E$9)</f>
        <v>4.5656999999999996</v>
      </c>
      <c r="F171" s="9">
        <f>4.5657 * CHOOSE(CONTROL!$C$32, $C$9, 100%, $E$9)</f>
        <v>4.5656999999999996</v>
      </c>
      <c r="G171" s="9">
        <f>4.569 * CHOOSE(CONTROL!$C$32, $C$9, 100%, $E$9)</f>
        <v>4.569</v>
      </c>
      <c r="H171" s="9">
        <f>5.2947 * CHOOSE(CONTROL!$C$32, $C$9, 100%, $E$9)</f>
        <v>5.2946999999999997</v>
      </c>
      <c r="I171" s="9">
        <f>5.2979 * CHOOSE(CONTROL!$C$32, $C$9, 100%, $E$9)</f>
        <v>5.2979000000000003</v>
      </c>
      <c r="J171" s="9">
        <f>5.2947 * CHOOSE(CONTROL!$C$32, $C$9, 100%, $E$9)</f>
        <v>5.2946999999999997</v>
      </c>
      <c r="K171" s="9">
        <f>5.2979 * CHOOSE(CONTROL!$C$32, $C$9, 100%, $E$9)</f>
        <v>5.2979000000000003</v>
      </c>
      <c r="L171" s="9">
        <f>4.5657 * CHOOSE(CONTROL!$C$32, $C$9, 100%, $E$9)</f>
        <v>4.5656999999999996</v>
      </c>
      <c r="M171" s="9">
        <f>4.569 * CHOOSE(CONTROL!$C$32, $C$9, 100%, $E$9)</f>
        <v>4.569</v>
      </c>
      <c r="N171" s="9">
        <f>4.5657 * CHOOSE(CONTROL!$C$32, $C$9, 100%, $E$9)</f>
        <v>4.5656999999999996</v>
      </c>
      <c r="O171" s="9">
        <f>4.569 * CHOOSE(CONTROL!$C$32, $C$9, 100%, $E$9)</f>
        <v>4.569</v>
      </c>
    </row>
    <row r="172" spans="1:18" ht="15" x14ac:dyDescent="0.2">
      <c r="A172" s="16">
        <v>46082</v>
      </c>
      <c r="B172" s="10">
        <f>4.2221 * CHOOSE(CONTROL!$C$32, $C$9, 100%, $E$9)</f>
        <v>4.2221000000000002</v>
      </c>
      <c r="C172" s="10">
        <f>4.2221 * CHOOSE(CONTROL!$C$32, $C$9, 100%, $E$9)</f>
        <v>4.2221000000000002</v>
      </c>
      <c r="D172" s="10">
        <f>4.2231 * CHOOSE(CONTROL!$C$32, $C$9, 100%, $E$9)</f>
        <v>4.2230999999999996</v>
      </c>
      <c r="E172" s="9">
        <f>4.6196 * CHOOSE(CONTROL!$C$32, $C$9, 100%, $E$9)</f>
        <v>4.6196000000000002</v>
      </c>
      <c r="F172" s="9">
        <f>4.6196 * CHOOSE(CONTROL!$C$32, $C$9, 100%, $E$9)</f>
        <v>4.6196000000000002</v>
      </c>
      <c r="G172" s="9">
        <f>4.6228 * CHOOSE(CONTROL!$C$32, $C$9, 100%, $E$9)</f>
        <v>4.6227999999999998</v>
      </c>
      <c r="H172" s="9">
        <f>5.2927 * CHOOSE(CONTROL!$C$32, $C$9, 100%, $E$9)</f>
        <v>5.2927</v>
      </c>
      <c r="I172" s="9">
        <f>5.2959 * CHOOSE(CONTROL!$C$32, $C$9, 100%, $E$9)</f>
        <v>5.2958999999999996</v>
      </c>
      <c r="J172" s="9">
        <f>5.2927 * CHOOSE(CONTROL!$C$32, $C$9, 100%, $E$9)</f>
        <v>5.2927</v>
      </c>
      <c r="K172" s="9">
        <f>5.2959 * CHOOSE(CONTROL!$C$32, $C$9, 100%, $E$9)</f>
        <v>5.2958999999999996</v>
      </c>
      <c r="L172" s="9">
        <f>4.6196 * CHOOSE(CONTROL!$C$32, $C$9, 100%, $E$9)</f>
        <v>4.6196000000000002</v>
      </c>
      <c r="M172" s="9">
        <f>4.6228 * CHOOSE(CONTROL!$C$32, $C$9, 100%, $E$9)</f>
        <v>4.6227999999999998</v>
      </c>
      <c r="N172" s="9">
        <f>4.6196 * CHOOSE(CONTROL!$C$32, $C$9, 100%, $E$9)</f>
        <v>4.6196000000000002</v>
      </c>
      <c r="O172" s="9">
        <f>4.6228 * CHOOSE(CONTROL!$C$32, $C$9, 100%, $E$9)</f>
        <v>4.6227999999999998</v>
      </c>
    </row>
    <row r="173" spans="1:18" ht="15" x14ac:dyDescent="0.2">
      <c r="A173" s="16">
        <v>46113</v>
      </c>
      <c r="B173" s="10">
        <f>4.2201 * CHOOSE(CONTROL!$C$32, $C$9, 100%, $E$9)</f>
        <v>4.2201000000000004</v>
      </c>
      <c r="C173" s="10">
        <f>4.2201 * CHOOSE(CONTROL!$C$32, $C$9, 100%, $E$9)</f>
        <v>4.2201000000000004</v>
      </c>
      <c r="D173" s="10">
        <f>4.2211 * CHOOSE(CONTROL!$C$32, $C$9, 100%, $E$9)</f>
        <v>4.2210999999999999</v>
      </c>
      <c r="E173" s="9">
        <f>4.6754 * CHOOSE(CONTROL!$C$32, $C$9, 100%, $E$9)</f>
        <v>4.6753999999999998</v>
      </c>
      <c r="F173" s="9">
        <f>4.6754 * CHOOSE(CONTROL!$C$32, $C$9, 100%, $E$9)</f>
        <v>4.6753999999999998</v>
      </c>
      <c r="G173" s="9">
        <f>4.6787 * CHOOSE(CONTROL!$C$32, $C$9, 100%, $E$9)</f>
        <v>4.6787000000000001</v>
      </c>
      <c r="H173" s="9">
        <f>5.2912 * CHOOSE(CONTROL!$C$32, $C$9, 100%, $E$9)</f>
        <v>5.2911999999999999</v>
      </c>
      <c r="I173" s="9">
        <f>5.2944 * CHOOSE(CONTROL!$C$32, $C$9, 100%, $E$9)</f>
        <v>5.2944000000000004</v>
      </c>
      <c r="J173" s="9">
        <f>5.2912 * CHOOSE(CONTROL!$C$32, $C$9, 100%, $E$9)</f>
        <v>5.2911999999999999</v>
      </c>
      <c r="K173" s="9">
        <f>5.2944 * CHOOSE(CONTROL!$C$32, $C$9, 100%, $E$9)</f>
        <v>5.2944000000000004</v>
      </c>
      <c r="L173" s="9">
        <f>4.6754 * CHOOSE(CONTROL!$C$32, $C$9, 100%, $E$9)</f>
        <v>4.6753999999999998</v>
      </c>
      <c r="M173" s="9">
        <f>4.6787 * CHOOSE(CONTROL!$C$32, $C$9, 100%, $E$9)</f>
        <v>4.6787000000000001</v>
      </c>
      <c r="N173" s="9">
        <f>4.6754 * CHOOSE(CONTROL!$C$32, $C$9, 100%, $E$9)</f>
        <v>4.6753999999999998</v>
      </c>
      <c r="O173" s="9">
        <f>4.6787 * CHOOSE(CONTROL!$C$32, $C$9, 100%, $E$9)</f>
        <v>4.6787000000000001</v>
      </c>
    </row>
    <row r="174" spans="1:18" ht="15" x14ac:dyDescent="0.2">
      <c r="A174" s="16">
        <v>46143</v>
      </c>
      <c r="B174" s="10">
        <f>4.2201 * CHOOSE(CONTROL!$C$32, $C$9, 100%, $E$9)</f>
        <v>4.2201000000000004</v>
      </c>
      <c r="C174" s="10">
        <f>4.2201 * CHOOSE(CONTROL!$C$32, $C$9, 100%, $E$9)</f>
        <v>4.2201000000000004</v>
      </c>
      <c r="D174" s="10">
        <f>4.2214 * CHOOSE(CONTROL!$C$32, $C$9, 100%, $E$9)</f>
        <v>4.2214</v>
      </c>
      <c r="E174" s="9">
        <f>4.698 * CHOOSE(CONTROL!$C$32, $C$9, 100%, $E$9)</f>
        <v>4.6980000000000004</v>
      </c>
      <c r="F174" s="9">
        <f>4.698 * CHOOSE(CONTROL!$C$32, $C$9, 100%, $E$9)</f>
        <v>4.6980000000000004</v>
      </c>
      <c r="G174" s="9">
        <f>4.7022 * CHOOSE(CONTROL!$C$32, $C$9, 100%, $E$9)</f>
        <v>4.7022000000000004</v>
      </c>
      <c r="H174" s="9">
        <f>5.2912 * CHOOSE(CONTROL!$C$32, $C$9, 100%, $E$9)</f>
        <v>5.2911999999999999</v>
      </c>
      <c r="I174" s="9">
        <f>5.2954 * CHOOSE(CONTROL!$C$32, $C$9, 100%, $E$9)</f>
        <v>5.2953999999999999</v>
      </c>
      <c r="J174" s="9">
        <f>5.2912 * CHOOSE(CONTROL!$C$32, $C$9, 100%, $E$9)</f>
        <v>5.2911999999999999</v>
      </c>
      <c r="K174" s="9">
        <f>5.2954 * CHOOSE(CONTROL!$C$32, $C$9, 100%, $E$9)</f>
        <v>5.2953999999999999</v>
      </c>
      <c r="L174" s="9">
        <f>4.698 * CHOOSE(CONTROL!$C$32, $C$9, 100%, $E$9)</f>
        <v>4.6980000000000004</v>
      </c>
      <c r="M174" s="9">
        <f>4.7022 * CHOOSE(CONTROL!$C$32, $C$9, 100%, $E$9)</f>
        <v>4.7022000000000004</v>
      </c>
      <c r="N174" s="9">
        <f>4.698 * CHOOSE(CONTROL!$C$32, $C$9, 100%, $E$9)</f>
        <v>4.6980000000000004</v>
      </c>
      <c r="O174" s="9">
        <f>4.7022 * CHOOSE(CONTROL!$C$32, $C$9, 100%, $E$9)</f>
        <v>4.7022000000000004</v>
      </c>
    </row>
    <row r="175" spans="1:18" ht="15" x14ac:dyDescent="0.2">
      <c r="A175" s="16">
        <v>46174</v>
      </c>
      <c r="B175" s="10">
        <f>4.2262 * CHOOSE(CONTROL!$C$32, $C$9, 100%, $E$9)</f>
        <v>4.2262000000000004</v>
      </c>
      <c r="C175" s="10">
        <f>4.2262 * CHOOSE(CONTROL!$C$32, $C$9, 100%, $E$9)</f>
        <v>4.2262000000000004</v>
      </c>
      <c r="D175" s="10">
        <f>4.2275 * CHOOSE(CONTROL!$C$32, $C$9, 100%, $E$9)</f>
        <v>4.2275</v>
      </c>
      <c r="E175" s="9">
        <f>4.6797 * CHOOSE(CONTROL!$C$32, $C$9, 100%, $E$9)</f>
        <v>4.6797000000000004</v>
      </c>
      <c r="F175" s="9">
        <f>4.6797 * CHOOSE(CONTROL!$C$32, $C$9, 100%, $E$9)</f>
        <v>4.6797000000000004</v>
      </c>
      <c r="G175" s="9">
        <f>4.6839 * CHOOSE(CONTROL!$C$32, $C$9, 100%, $E$9)</f>
        <v>4.6839000000000004</v>
      </c>
      <c r="H175" s="9">
        <f>5.2952 * CHOOSE(CONTROL!$C$32, $C$9, 100%, $E$9)</f>
        <v>5.2952000000000004</v>
      </c>
      <c r="I175" s="9">
        <f>5.2994 * CHOOSE(CONTROL!$C$32, $C$9, 100%, $E$9)</f>
        <v>5.2994000000000003</v>
      </c>
      <c r="J175" s="9">
        <f>5.2952 * CHOOSE(CONTROL!$C$32, $C$9, 100%, $E$9)</f>
        <v>5.2952000000000004</v>
      </c>
      <c r="K175" s="9">
        <f>5.2994 * CHOOSE(CONTROL!$C$32, $C$9, 100%, $E$9)</f>
        <v>5.2994000000000003</v>
      </c>
      <c r="L175" s="9">
        <f>4.6797 * CHOOSE(CONTROL!$C$32, $C$9, 100%, $E$9)</f>
        <v>4.6797000000000004</v>
      </c>
      <c r="M175" s="9">
        <f>4.6839 * CHOOSE(CONTROL!$C$32, $C$9, 100%, $E$9)</f>
        <v>4.6839000000000004</v>
      </c>
      <c r="N175" s="9">
        <f>4.6797 * CHOOSE(CONTROL!$C$32, $C$9, 100%, $E$9)</f>
        <v>4.6797000000000004</v>
      </c>
      <c r="O175" s="9">
        <f>4.6839 * CHOOSE(CONTROL!$C$32, $C$9, 100%, $E$9)</f>
        <v>4.6839000000000004</v>
      </c>
    </row>
    <row r="176" spans="1:18" ht="15" x14ac:dyDescent="0.2">
      <c r="A176" s="16">
        <v>46204</v>
      </c>
      <c r="B176" s="10">
        <f>4.2803 * CHOOSE(CONTROL!$C$32, $C$9, 100%, $E$9)</f>
        <v>4.2803000000000004</v>
      </c>
      <c r="C176" s="10">
        <f>4.2803 * CHOOSE(CONTROL!$C$32, $C$9, 100%, $E$9)</f>
        <v>4.2803000000000004</v>
      </c>
      <c r="D176" s="10">
        <f>4.2815 * CHOOSE(CONTROL!$C$32, $C$9, 100%, $E$9)</f>
        <v>4.2815000000000003</v>
      </c>
      <c r="E176" s="9">
        <f>4.7488 * CHOOSE(CONTROL!$C$32, $C$9, 100%, $E$9)</f>
        <v>4.7488000000000001</v>
      </c>
      <c r="F176" s="9">
        <f>4.7488 * CHOOSE(CONTROL!$C$32, $C$9, 100%, $E$9)</f>
        <v>4.7488000000000001</v>
      </c>
      <c r="G176" s="9">
        <f>4.7531 * CHOOSE(CONTROL!$C$32, $C$9, 100%, $E$9)</f>
        <v>4.7530999999999999</v>
      </c>
      <c r="H176" s="9">
        <f>5.379 * CHOOSE(CONTROL!$C$32, $C$9, 100%, $E$9)</f>
        <v>5.3789999999999996</v>
      </c>
      <c r="I176" s="9">
        <f>5.3832 * CHOOSE(CONTROL!$C$32, $C$9, 100%, $E$9)</f>
        <v>5.3832000000000004</v>
      </c>
      <c r="J176" s="9">
        <f>5.379 * CHOOSE(CONTROL!$C$32, $C$9, 100%, $E$9)</f>
        <v>5.3789999999999996</v>
      </c>
      <c r="K176" s="9">
        <f>5.3832 * CHOOSE(CONTROL!$C$32, $C$9, 100%, $E$9)</f>
        <v>5.3832000000000004</v>
      </c>
      <c r="L176" s="9">
        <f>4.7488 * CHOOSE(CONTROL!$C$32, $C$9, 100%, $E$9)</f>
        <v>4.7488000000000001</v>
      </c>
      <c r="M176" s="9">
        <f>4.7531 * CHOOSE(CONTROL!$C$32, $C$9, 100%, $E$9)</f>
        <v>4.7530999999999999</v>
      </c>
      <c r="N176" s="9">
        <f>4.7488 * CHOOSE(CONTROL!$C$32, $C$9, 100%, $E$9)</f>
        <v>4.7488000000000001</v>
      </c>
      <c r="O176" s="9">
        <f>4.7531 * CHOOSE(CONTROL!$C$32, $C$9, 100%, $E$9)</f>
        <v>4.7530999999999999</v>
      </c>
    </row>
    <row r="177" spans="1:15" ht="15" x14ac:dyDescent="0.2">
      <c r="A177" s="16">
        <v>46235</v>
      </c>
      <c r="B177" s="10">
        <f>4.287 * CHOOSE(CONTROL!$C$32, $C$9, 100%, $E$9)</f>
        <v>4.2869999999999999</v>
      </c>
      <c r="C177" s="10">
        <f>4.287 * CHOOSE(CONTROL!$C$32, $C$9, 100%, $E$9)</f>
        <v>4.2869999999999999</v>
      </c>
      <c r="D177" s="10">
        <f>4.2882 * CHOOSE(CONTROL!$C$32, $C$9, 100%, $E$9)</f>
        <v>4.2881999999999998</v>
      </c>
      <c r="E177" s="9">
        <f>4.6859 * CHOOSE(CONTROL!$C$32, $C$9, 100%, $E$9)</f>
        <v>4.6859000000000002</v>
      </c>
      <c r="F177" s="9">
        <f>4.6859 * CHOOSE(CONTROL!$C$32, $C$9, 100%, $E$9)</f>
        <v>4.6859000000000002</v>
      </c>
      <c r="G177" s="9">
        <f>4.6901 * CHOOSE(CONTROL!$C$32, $C$9, 100%, $E$9)</f>
        <v>4.6901000000000002</v>
      </c>
      <c r="H177" s="9">
        <f>5.3834 * CHOOSE(CONTROL!$C$32, $C$9, 100%, $E$9)</f>
        <v>5.3834</v>
      </c>
      <c r="I177" s="9">
        <f>5.3876 * CHOOSE(CONTROL!$C$32, $C$9, 100%, $E$9)</f>
        <v>5.3875999999999999</v>
      </c>
      <c r="J177" s="9">
        <f>5.3834 * CHOOSE(CONTROL!$C$32, $C$9, 100%, $E$9)</f>
        <v>5.3834</v>
      </c>
      <c r="K177" s="9">
        <f>5.3876 * CHOOSE(CONTROL!$C$32, $C$9, 100%, $E$9)</f>
        <v>5.3875999999999999</v>
      </c>
      <c r="L177" s="9">
        <f>4.6859 * CHOOSE(CONTROL!$C$32, $C$9, 100%, $E$9)</f>
        <v>4.6859000000000002</v>
      </c>
      <c r="M177" s="9">
        <f>4.6901 * CHOOSE(CONTROL!$C$32, $C$9, 100%, $E$9)</f>
        <v>4.6901000000000002</v>
      </c>
      <c r="N177" s="9">
        <f>4.6859 * CHOOSE(CONTROL!$C$32, $C$9, 100%, $E$9)</f>
        <v>4.6859000000000002</v>
      </c>
      <c r="O177" s="9">
        <f>4.6901 * CHOOSE(CONTROL!$C$32, $C$9, 100%, $E$9)</f>
        <v>4.6901000000000002</v>
      </c>
    </row>
    <row r="178" spans="1:15" ht="15" x14ac:dyDescent="0.2">
      <c r="A178" s="16">
        <v>46266</v>
      </c>
      <c r="B178" s="10">
        <f>4.2839 * CHOOSE(CONTROL!$C$32, $C$9, 100%, $E$9)</f>
        <v>4.2839</v>
      </c>
      <c r="C178" s="10">
        <f>4.2839 * CHOOSE(CONTROL!$C$32, $C$9, 100%, $E$9)</f>
        <v>4.2839</v>
      </c>
      <c r="D178" s="10">
        <f>4.2852 * CHOOSE(CONTROL!$C$32, $C$9, 100%, $E$9)</f>
        <v>4.2851999999999997</v>
      </c>
      <c r="E178" s="9">
        <f>4.6763 * CHOOSE(CONTROL!$C$32, $C$9, 100%, $E$9)</f>
        <v>4.6763000000000003</v>
      </c>
      <c r="F178" s="9">
        <f>4.6763 * CHOOSE(CONTROL!$C$32, $C$9, 100%, $E$9)</f>
        <v>4.6763000000000003</v>
      </c>
      <c r="G178" s="9">
        <f>4.6805 * CHOOSE(CONTROL!$C$32, $C$9, 100%, $E$9)</f>
        <v>4.6805000000000003</v>
      </c>
      <c r="H178" s="9">
        <f>5.3814 * CHOOSE(CONTROL!$C$32, $C$9, 100%, $E$9)</f>
        <v>5.3814000000000002</v>
      </c>
      <c r="I178" s="9">
        <f>5.3856 * CHOOSE(CONTROL!$C$32, $C$9, 100%, $E$9)</f>
        <v>5.3856000000000002</v>
      </c>
      <c r="J178" s="9">
        <f>5.3814 * CHOOSE(CONTROL!$C$32, $C$9, 100%, $E$9)</f>
        <v>5.3814000000000002</v>
      </c>
      <c r="K178" s="9">
        <f>5.3856 * CHOOSE(CONTROL!$C$32, $C$9, 100%, $E$9)</f>
        <v>5.3856000000000002</v>
      </c>
      <c r="L178" s="9">
        <f>4.6763 * CHOOSE(CONTROL!$C$32, $C$9, 100%, $E$9)</f>
        <v>4.6763000000000003</v>
      </c>
      <c r="M178" s="9">
        <f>4.6805 * CHOOSE(CONTROL!$C$32, $C$9, 100%, $E$9)</f>
        <v>4.6805000000000003</v>
      </c>
      <c r="N178" s="9">
        <f>4.6763 * CHOOSE(CONTROL!$C$32, $C$9, 100%, $E$9)</f>
        <v>4.6763000000000003</v>
      </c>
      <c r="O178" s="9">
        <f>4.6805 * CHOOSE(CONTROL!$C$32, $C$9, 100%, $E$9)</f>
        <v>4.6805000000000003</v>
      </c>
    </row>
    <row r="179" spans="1:15" ht="15" x14ac:dyDescent="0.2">
      <c r="A179" s="16">
        <v>46296</v>
      </c>
      <c r="B179" s="10">
        <f>4.2807 * CHOOSE(CONTROL!$C$32, $C$9, 100%, $E$9)</f>
        <v>4.2807000000000004</v>
      </c>
      <c r="C179" s="10">
        <f>4.2807 * CHOOSE(CONTROL!$C$32, $C$9, 100%, $E$9)</f>
        <v>4.2807000000000004</v>
      </c>
      <c r="D179" s="10">
        <f>4.2816 * CHOOSE(CONTROL!$C$32, $C$9, 100%, $E$9)</f>
        <v>4.2816000000000001</v>
      </c>
      <c r="E179" s="9">
        <f>4.6929 * CHOOSE(CONTROL!$C$32, $C$9, 100%, $E$9)</f>
        <v>4.6928999999999998</v>
      </c>
      <c r="F179" s="9">
        <f>4.6929 * CHOOSE(CONTROL!$C$32, $C$9, 100%, $E$9)</f>
        <v>4.6928999999999998</v>
      </c>
      <c r="G179" s="9">
        <f>4.6961 * CHOOSE(CONTROL!$C$32, $C$9, 100%, $E$9)</f>
        <v>4.6961000000000004</v>
      </c>
      <c r="H179" s="9">
        <f>5.3787 * CHOOSE(CONTROL!$C$32, $C$9, 100%, $E$9)</f>
        <v>5.3787000000000003</v>
      </c>
      <c r="I179" s="9">
        <f>5.3819 * CHOOSE(CONTROL!$C$32, $C$9, 100%, $E$9)</f>
        <v>5.3818999999999999</v>
      </c>
      <c r="J179" s="9">
        <f>5.3787 * CHOOSE(CONTROL!$C$32, $C$9, 100%, $E$9)</f>
        <v>5.3787000000000003</v>
      </c>
      <c r="K179" s="9">
        <f>5.3819 * CHOOSE(CONTROL!$C$32, $C$9, 100%, $E$9)</f>
        <v>5.3818999999999999</v>
      </c>
      <c r="L179" s="9">
        <f>4.6929 * CHOOSE(CONTROL!$C$32, $C$9, 100%, $E$9)</f>
        <v>4.6928999999999998</v>
      </c>
      <c r="M179" s="9">
        <f>4.6961 * CHOOSE(CONTROL!$C$32, $C$9, 100%, $E$9)</f>
        <v>4.6961000000000004</v>
      </c>
      <c r="N179" s="9">
        <f>4.6929 * CHOOSE(CONTROL!$C$32, $C$9, 100%, $E$9)</f>
        <v>4.6928999999999998</v>
      </c>
      <c r="O179" s="9">
        <f>4.6961 * CHOOSE(CONTROL!$C$32, $C$9, 100%, $E$9)</f>
        <v>4.6961000000000004</v>
      </c>
    </row>
    <row r="180" spans="1:15" ht="15" x14ac:dyDescent="0.2">
      <c r="A180" s="16">
        <v>46327</v>
      </c>
      <c r="B180" s="10">
        <f>4.2837 * CHOOSE(CONTROL!$C$32, $C$9, 100%, $E$9)</f>
        <v>4.2836999999999996</v>
      </c>
      <c r="C180" s="10">
        <f>4.2837 * CHOOSE(CONTROL!$C$32, $C$9, 100%, $E$9)</f>
        <v>4.2836999999999996</v>
      </c>
      <c r="D180" s="10">
        <f>4.2846 * CHOOSE(CONTROL!$C$32, $C$9, 100%, $E$9)</f>
        <v>4.2846000000000002</v>
      </c>
      <c r="E180" s="9">
        <f>4.71 * CHOOSE(CONTROL!$C$32, $C$9, 100%, $E$9)</f>
        <v>4.71</v>
      </c>
      <c r="F180" s="9">
        <f>4.71 * CHOOSE(CONTROL!$C$32, $C$9, 100%, $E$9)</f>
        <v>4.71</v>
      </c>
      <c r="G180" s="9">
        <f>4.7133 * CHOOSE(CONTROL!$C$32, $C$9, 100%, $E$9)</f>
        <v>4.7133000000000003</v>
      </c>
      <c r="H180" s="9">
        <f>5.3807 * CHOOSE(CONTROL!$C$32, $C$9, 100%, $E$9)</f>
        <v>5.3807</v>
      </c>
      <c r="I180" s="9">
        <f>5.3839 * CHOOSE(CONTROL!$C$32, $C$9, 100%, $E$9)</f>
        <v>5.3838999999999997</v>
      </c>
      <c r="J180" s="9">
        <f>5.3807 * CHOOSE(CONTROL!$C$32, $C$9, 100%, $E$9)</f>
        <v>5.3807</v>
      </c>
      <c r="K180" s="9">
        <f>5.3839 * CHOOSE(CONTROL!$C$32, $C$9, 100%, $E$9)</f>
        <v>5.3838999999999997</v>
      </c>
      <c r="L180" s="9">
        <f>4.71 * CHOOSE(CONTROL!$C$32, $C$9, 100%, $E$9)</f>
        <v>4.71</v>
      </c>
      <c r="M180" s="9">
        <f>4.7133 * CHOOSE(CONTROL!$C$32, $C$9, 100%, $E$9)</f>
        <v>4.7133000000000003</v>
      </c>
      <c r="N180" s="9">
        <f>4.71 * CHOOSE(CONTROL!$C$32, $C$9, 100%, $E$9)</f>
        <v>4.71</v>
      </c>
      <c r="O180" s="9">
        <f>4.7133 * CHOOSE(CONTROL!$C$32, $C$9, 100%, $E$9)</f>
        <v>4.7133000000000003</v>
      </c>
    </row>
    <row r="181" spans="1:15" ht="15" x14ac:dyDescent="0.2">
      <c r="A181" s="16">
        <v>46357</v>
      </c>
      <c r="B181" s="10">
        <f>4.2837 * CHOOSE(CONTROL!$C$32, $C$9, 100%, $E$9)</f>
        <v>4.2836999999999996</v>
      </c>
      <c r="C181" s="10">
        <f>4.2837 * CHOOSE(CONTROL!$C$32, $C$9, 100%, $E$9)</f>
        <v>4.2836999999999996</v>
      </c>
      <c r="D181" s="10">
        <f>4.2846 * CHOOSE(CONTROL!$C$32, $C$9, 100%, $E$9)</f>
        <v>4.2846000000000002</v>
      </c>
      <c r="E181" s="9">
        <f>4.6725 * CHOOSE(CONTROL!$C$32, $C$9, 100%, $E$9)</f>
        <v>4.6725000000000003</v>
      </c>
      <c r="F181" s="9">
        <f>4.6725 * CHOOSE(CONTROL!$C$32, $C$9, 100%, $E$9)</f>
        <v>4.6725000000000003</v>
      </c>
      <c r="G181" s="9">
        <f>4.6757 * CHOOSE(CONTROL!$C$32, $C$9, 100%, $E$9)</f>
        <v>4.6757</v>
      </c>
      <c r="H181" s="9">
        <f>5.3807 * CHOOSE(CONTROL!$C$32, $C$9, 100%, $E$9)</f>
        <v>5.3807</v>
      </c>
      <c r="I181" s="9">
        <f>5.3839 * CHOOSE(CONTROL!$C$32, $C$9, 100%, $E$9)</f>
        <v>5.3838999999999997</v>
      </c>
      <c r="J181" s="9">
        <f>5.3807 * CHOOSE(CONTROL!$C$32, $C$9, 100%, $E$9)</f>
        <v>5.3807</v>
      </c>
      <c r="K181" s="9">
        <f>5.3839 * CHOOSE(CONTROL!$C$32, $C$9, 100%, $E$9)</f>
        <v>5.3838999999999997</v>
      </c>
      <c r="L181" s="9">
        <f>4.6725 * CHOOSE(CONTROL!$C$32, $C$9, 100%, $E$9)</f>
        <v>4.6725000000000003</v>
      </c>
      <c r="M181" s="9">
        <f>4.6757 * CHOOSE(CONTROL!$C$32, $C$9, 100%, $E$9)</f>
        <v>4.6757</v>
      </c>
      <c r="N181" s="9">
        <f>4.6725 * CHOOSE(CONTROL!$C$32, $C$9, 100%, $E$9)</f>
        <v>4.6725000000000003</v>
      </c>
      <c r="O181" s="9">
        <f>4.6757 * CHOOSE(CONTROL!$C$32, $C$9, 100%, $E$9)</f>
        <v>4.6757</v>
      </c>
    </row>
    <row r="182" spans="1:15" ht="15" x14ac:dyDescent="0.2">
      <c r="A182" s="16">
        <v>46388</v>
      </c>
      <c r="B182" s="10">
        <f>4.3234 * CHOOSE(CONTROL!$C$32, $C$9, 100%, $E$9)</f>
        <v>4.3234000000000004</v>
      </c>
      <c r="C182" s="10">
        <f>4.3234 * CHOOSE(CONTROL!$C$32, $C$9, 100%, $E$9)</f>
        <v>4.3234000000000004</v>
      </c>
      <c r="D182" s="10">
        <f>4.3244 * CHOOSE(CONTROL!$C$32, $C$9, 100%, $E$9)</f>
        <v>4.3243999999999998</v>
      </c>
      <c r="E182" s="9">
        <f>4.7226 * CHOOSE(CONTROL!$C$32, $C$9, 100%, $E$9)</f>
        <v>4.7225999999999999</v>
      </c>
      <c r="F182" s="9">
        <f>4.7226 * CHOOSE(CONTROL!$C$32, $C$9, 100%, $E$9)</f>
        <v>4.7225999999999999</v>
      </c>
      <c r="G182" s="9">
        <f>4.7258 * CHOOSE(CONTROL!$C$32, $C$9, 100%, $E$9)</f>
        <v>4.7257999999999996</v>
      </c>
      <c r="H182" s="9">
        <f>5.4215 * CHOOSE(CONTROL!$C$32, $C$9, 100%, $E$9)</f>
        <v>5.4215</v>
      </c>
      <c r="I182" s="9">
        <f>5.4247 * CHOOSE(CONTROL!$C$32, $C$9, 100%, $E$9)</f>
        <v>5.4246999999999996</v>
      </c>
      <c r="J182" s="9">
        <f>5.4215 * CHOOSE(CONTROL!$C$32, $C$9, 100%, $E$9)</f>
        <v>5.4215</v>
      </c>
      <c r="K182" s="9">
        <f>5.4247 * CHOOSE(CONTROL!$C$32, $C$9, 100%, $E$9)</f>
        <v>5.4246999999999996</v>
      </c>
      <c r="L182" s="9">
        <f>4.7226 * CHOOSE(CONTROL!$C$32, $C$9, 100%, $E$9)</f>
        <v>4.7225999999999999</v>
      </c>
      <c r="M182" s="9">
        <f>4.7258 * CHOOSE(CONTROL!$C$32, $C$9, 100%, $E$9)</f>
        <v>4.7257999999999996</v>
      </c>
      <c r="N182" s="9">
        <f>4.7226 * CHOOSE(CONTROL!$C$32, $C$9, 100%, $E$9)</f>
        <v>4.7225999999999999</v>
      </c>
      <c r="O182" s="9">
        <f>4.7258 * CHOOSE(CONTROL!$C$32, $C$9, 100%, $E$9)</f>
        <v>4.7257999999999996</v>
      </c>
    </row>
    <row r="183" spans="1:15" ht="15" x14ac:dyDescent="0.2">
      <c r="A183" s="16">
        <v>46419</v>
      </c>
      <c r="B183" s="10">
        <f>4.3204 * CHOOSE(CONTROL!$C$32, $C$9, 100%, $E$9)</f>
        <v>4.3204000000000002</v>
      </c>
      <c r="C183" s="10">
        <f>4.3204 * CHOOSE(CONTROL!$C$32, $C$9, 100%, $E$9)</f>
        <v>4.3204000000000002</v>
      </c>
      <c r="D183" s="10">
        <f>4.3213 * CHOOSE(CONTROL!$C$32, $C$9, 100%, $E$9)</f>
        <v>4.3212999999999999</v>
      </c>
      <c r="E183" s="9">
        <f>4.6472 * CHOOSE(CONTROL!$C$32, $C$9, 100%, $E$9)</f>
        <v>4.6471999999999998</v>
      </c>
      <c r="F183" s="9">
        <f>4.6472 * CHOOSE(CONTROL!$C$32, $C$9, 100%, $E$9)</f>
        <v>4.6471999999999998</v>
      </c>
      <c r="G183" s="9">
        <f>4.6504 * CHOOSE(CONTROL!$C$32, $C$9, 100%, $E$9)</f>
        <v>4.6504000000000003</v>
      </c>
      <c r="H183" s="9">
        <f>5.4195 * CHOOSE(CONTROL!$C$32, $C$9, 100%, $E$9)</f>
        <v>5.4195000000000002</v>
      </c>
      <c r="I183" s="9">
        <f>5.4227 * CHOOSE(CONTROL!$C$32, $C$9, 100%, $E$9)</f>
        <v>5.4226999999999999</v>
      </c>
      <c r="J183" s="9">
        <f>5.4195 * CHOOSE(CONTROL!$C$32, $C$9, 100%, $E$9)</f>
        <v>5.4195000000000002</v>
      </c>
      <c r="K183" s="9">
        <f>5.4227 * CHOOSE(CONTROL!$C$32, $C$9, 100%, $E$9)</f>
        <v>5.4226999999999999</v>
      </c>
      <c r="L183" s="9">
        <f>4.6472 * CHOOSE(CONTROL!$C$32, $C$9, 100%, $E$9)</f>
        <v>4.6471999999999998</v>
      </c>
      <c r="M183" s="9">
        <f>4.6504 * CHOOSE(CONTROL!$C$32, $C$9, 100%, $E$9)</f>
        <v>4.6504000000000003</v>
      </c>
      <c r="N183" s="9">
        <f>4.6472 * CHOOSE(CONTROL!$C$32, $C$9, 100%, $E$9)</f>
        <v>4.6471999999999998</v>
      </c>
      <c r="O183" s="9">
        <f>4.6504 * CHOOSE(CONTROL!$C$32, $C$9, 100%, $E$9)</f>
        <v>4.6504000000000003</v>
      </c>
    </row>
    <row r="184" spans="1:15" ht="15" x14ac:dyDescent="0.2">
      <c r="A184" s="16">
        <v>46447</v>
      </c>
      <c r="B184" s="10">
        <f>4.3173 * CHOOSE(CONTROL!$C$32, $C$9, 100%, $E$9)</f>
        <v>4.3173000000000004</v>
      </c>
      <c r="C184" s="10">
        <f>4.3173 * CHOOSE(CONTROL!$C$32, $C$9, 100%, $E$9)</f>
        <v>4.3173000000000004</v>
      </c>
      <c r="D184" s="10">
        <f>4.3183 * CHOOSE(CONTROL!$C$32, $C$9, 100%, $E$9)</f>
        <v>4.3182999999999998</v>
      </c>
      <c r="E184" s="9">
        <f>4.7028 * CHOOSE(CONTROL!$C$32, $C$9, 100%, $E$9)</f>
        <v>4.7027999999999999</v>
      </c>
      <c r="F184" s="9">
        <f>4.7028 * CHOOSE(CONTROL!$C$32, $C$9, 100%, $E$9)</f>
        <v>4.7027999999999999</v>
      </c>
      <c r="G184" s="9">
        <f>4.7061 * CHOOSE(CONTROL!$C$32, $C$9, 100%, $E$9)</f>
        <v>4.7061000000000002</v>
      </c>
      <c r="H184" s="9">
        <f>5.4175 * CHOOSE(CONTROL!$C$32, $C$9, 100%, $E$9)</f>
        <v>5.4175000000000004</v>
      </c>
      <c r="I184" s="9">
        <f>5.4207 * CHOOSE(CONTROL!$C$32, $C$9, 100%, $E$9)</f>
        <v>5.4207000000000001</v>
      </c>
      <c r="J184" s="9">
        <f>5.4175 * CHOOSE(CONTROL!$C$32, $C$9, 100%, $E$9)</f>
        <v>5.4175000000000004</v>
      </c>
      <c r="K184" s="9">
        <f>5.4207 * CHOOSE(CONTROL!$C$32, $C$9, 100%, $E$9)</f>
        <v>5.4207000000000001</v>
      </c>
      <c r="L184" s="9">
        <f>4.7028 * CHOOSE(CONTROL!$C$32, $C$9, 100%, $E$9)</f>
        <v>4.7027999999999999</v>
      </c>
      <c r="M184" s="9">
        <f>4.7061 * CHOOSE(CONTROL!$C$32, $C$9, 100%, $E$9)</f>
        <v>4.7061000000000002</v>
      </c>
      <c r="N184" s="9">
        <f>4.7028 * CHOOSE(CONTROL!$C$32, $C$9, 100%, $E$9)</f>
        <v>4.7027999999999999</v>
      </c>
      <c r="O184" s="9">
        <f>4.7061 * CHOOSE(CONTROL!$C$32, $C$9, 100%, $E$9)</f>
        <v>4.7061000000000002</v>
      </c>
    </row>
    <row r="185" spans="1:15" ht="15" x14ac:dyDescent="0.2">
      <c r="A185" s="16">
        <v>46478</v>
      </c>
      <c r="B185" s="10">
        <f>4.3155 * CHOOSE(CONTROL!$C$32, $C$9, 100%, $E$9)</f>
        <v>4.3155000000000001</v>
      </c>
      <c r="C185" s="10">
        <f>4.3155 * CHOOSE(CONTROL!$C$32, $C$9, 100%, $E$9)</f>
        <v>4.3155000000000001</v>
      </c>
      <c r="D185" s="10">
        <f>4.3164 * CHOOSE(CONTROL!$C$32, $C$9, 100%, $E$9)</f>
        <v>4.3163999999999998</v>
      </c>
      <c r="E185" s="9">
        <f>4.7607 * CHOOSE(CONTROL!$C$32, $C$9, 100%, $E$9)</f>
        <v>4.7606999999999999</v>
      </c>
      <c r="F185" s="9">
        <f>4.7607 * CHOOSE(CONTROL!$C$32, $C$9, 100%, $E$9)</f>
        <v>4.7606999999999999</v>
      </c>
      <c r="G185" s="9">
        <f>4.7639 * CHOOSE(CONTROL!$C$32, $C$9, 100%, $E$9)</f>
        <v>4.7638999999999996</v>
      </c>
      <c r="H185" s="9">
        <f>5.4161 * CHOOSE(CONTROL!$C$32, $C$9, 100%, $E$9)</f>
        <v>5.4161000000000001</v>
      </c>
      <c r="I185" s="9">
        <f>5.4193 * CHOOSE(CONTROL!$C$32, $C$9, 100%, $E$9)</f>
        <v>5.4192999999999998</v>
      </c>
      <c r="J185" s="9">
        <f>5.4161 * CHOOSE(CONTROL!$C$32, $C$9, 100%, $E$9)</f>
        <v>5.4161000000000001</v>
      </c>
      <c r="K185" s="9">
        <f>5.4193 * CHOOSE(CONTROL!$C$32, $C$9, 100%, $E$9)</f>
        <v>5.4192999999999998</v>
      </c>
      <c r="L185" s="9">
        <f>4.7607 * CHOOSE(CONTROL!$C$32, $C$9, 100%, $E$9)</f>
        <v>4.7606999999999999</v>
      </c>
      <c r="M185" s="9">
        <f>4.7639 * CHOOSE(CONTROL!$C$32, $C$9, 100%, $E$9)</f>
        <v>4.7638999999999996</v>
      </c>
      <c r="N185" s="9">
        <f>4.7607 * CHOOSE(CONTROL!$C$32, $C$9, 100%, $E$9)</f>
        <v>4.7606999999999999</v>
      </c>
      <c r="O185" s="9">
        <f>4.7639 * CHOOSE(CONTROL!$C$32, $C$9, 100%, $E$9)</f>
        <v>4.7638999999999996</v>
      </c>
    </row>
    <row r="186" spans="1:15" ht="15" x14ac:dyDescent="0.2">
      <c r="A186" s="16">
        <v>46508</v>
      </c>
      <c r="B186" s="10">
        <f>4.3155 * CHOOSE(CONTROL!$C$32, $C$9, 100%, $E$9)</f>
        <v>4.3155000000000001</v>
      </c>
      <c r="C186" s="10">
        <f>4.3155 * CHOOSE(CONTROL!$C$32, $C$9, 100%, $E$9)</f>
        <v>4.3155000000000001</v>
      </c>
      <c r="D186" s="10">
        <f>4.3167 * CHOOSE(CONTROL!$C$32, $C$9, 100%, $E$9)</f>
        <v>4.3167</v>
      </c>
      <c r="E186" s="9">
        <f>4.7839 * CHOOSE(CONTROL!$C$32, $C$9, 100%, $E$9)</f>
        <v>4.7839</v>
      </c>
      <c r="F186" s="9">
        <f>4.7839 * CHOOSE(CONTROL!$C$32, $C$9, 100%, $E$9)</f>
        <v>4.7839</v>
      </c>
      <c r="G186" s="9">
        <f>4.7881 * CHOOSE(CONTROL!$C$32, $C$9, 100%, $E$9)</f>
        <v>4.7881</v>
      </c>
      <c r="H186" s="9">
        <f>5.4161 * CHOOSE(CONTROL!$C$32, $C$9, 100%, $E$9)</f>
        <v>5.4161000000000001</v>
      </c>
      <c r="I186" s="9">
        <f>5.4203 * CHOOSE(CONTROL!$C$32, $C$9, 100%, $E$9)</f>
        <v>5.4203000000000001</v>
      </c>
      <c r="J186" s="9">
        <f>5.4161 * CHOOSE(CONTROL!$C$32, $C$9, 100%, $E$9)</f>
        <v>5.4161000000000001</v>
      </c>
      <c r="K186" s="9">
        <f>5.4203 * CHOOSE(CONTROL!$C$32, $C$9, 100%, $E$9)</f>
        <v>5.4203000000000001</v>
      </c>
      <c r="L186" s="9">
        <f>4.7839 * CHOOSE(CONTROL!$C$32, $C$9, 100%, $E$9)</f>
        <v>4.7839</v>
      </c>
      <c r="M186" s="9">
        <f>4.7881 * CHOOSE(CONTROL!$C$32, $C$9, 100%, $E$9)</f>
        <v>4.7881</v>
      </c>
      <c r="N186" s="9">
        <f>4.7839 * CHOOSE(CONTROL!$C$32, $C$9, 100%, $E$9)</f>
        <v>4.7839</v>
      </c>
      <c r="O186" s="9">
        <f>4.7881 * CHOOSE(CONTROL!$C$32, $C$9, 100%, $E$9)</f>
        <v>4.7881</v>
      </c>
    </row>
    <row r="187" spans="1:15" ht="15" x14ac:dyDescent="0.2">
      <c r="A187" s="16">
        <v>46539</v>
      </c>
      <c r="B187" s="10">
        <f>4.3215 * CHOOSE(CONTROL!$C$32, $C$9, 100%, $E$9)</f>
        <v>4.3215000000000003</v>
      </c>
      <c r="C187" s="10">
        <f>4.3215 * CHOOSE(CONTROL!$C$32, $C$9, 100%, $E$9)</f>
        <v>4.3215000000000003</v>
      </c>
      <c r="D187" s="10">
        <f>4.3228 * CHOOSE(CONTROL!$C$32, $C$9, 100%, $E$9)</f>
        <v>4.3228</v>
      </c>
      <c r="E187" s="9">
        <f>4.7649 * CHOOSE(CONTROL!$C$32, $C$9, 100%, $E$9)</f>
        <v>4.7648999999999999</v>
      </c>
      <c r="F187" s="9">
        <f>4.7649 * CHOOSE(CONTROL!$C$32, $C$9, 100%, $E$9)</f>
        <v>4.7648999999999999</v>
      </c>
      <c r="G187" s="9">
        <f>4.7691 * CHOOSE(CONTROL!$C$32, $C$9, 100%, $E$9)</f>
        <v>4.7690999999999999</v>
      </c>
      <c r="H187" s="9">
        <f>5.4201 * CHOOSE(CONTROL!$C$32, $C$9, 100%, $E$9)</f>
        <v>5.4200999999999997</v>
      </c>
      <c r="I187" s="9">
        <f>5.4243 * CHOOSE(CONTROL!$C$32, $C$9, 100%, $E$9)</f>
        <v>5.4242999999999997</v>
      </c>
      <c r="J187" s="9">
        <f>5.4201 * CHOOSE(CONTROL!$C$32, $C$9, 100%, $E$9)</f>
        <v>5.4200999999999997</v>
      </c>
      <c r="K187" s="9">
        <f>5.4243 * CHOOSE(CONTROL!$C$32, $C$9, 100%, $E$9)</f>
        <v>5.4242999999999997</v>
      </c>
      <c r="L187" s="9">
        <f>4.7649 * CHOOSE(CONTROL!$C$32, $C$9, 100%, $E$9)</f>
        <v>4.7648999999999999</v>
      </c>
      <c r="M187" s="9">
        <f>4.7691 * CHOOSE(CONTROL!$C$32, $C$9, 100%, $E$9)</f>
        <v>4.7690999999999999</v>
      </c>
      <c r="N187" s="9">
        <f>4.7649 * CHOOSE(CONTROL!$C$32, $C$9, 100%, $E$9)</f>
        <v>4.7648999999999999</v>
      </c>
      <c r="O187" s="9">
        <f>4.7691 * CHOOSE(CONTROL!$C$32, $C$9, 100%, $E$9)</f>
        <v>4.7690999999999999</v>
      </c>
    </row>
    <row r="188" spans="1:15" ht="15" x14ac:dyDescent="0.2">
      <c r="A188" s="16">
        <v>46569</v>
      </c>
      <c r="B188" s="10">
        <f>4.3946 * CHOOSE(CONTROL!$C$32, $C$9, 100%, $E$9)</f>
        <v>4.3945999999999996</v>
      </c>
      <c r="C188" s="10">
        <f>4.3946 * CHOOSE(CONTROL!$C$32, $C$9, 100%, $E$9)</f>
        <v>4.3945999999999996</v>
      </c>
      <c r="D188" s="10">
        <f>4.3959 * CHOOSE(CONTROL!$C$32, $C$9, 100%, $E$9)</f>
        <v>4.3959000000000001</v>
      </c>
      <c r="E188" s="9">
        <f>4.801 * CHOOSE(CONTROL!$C$32, $C$9, 100%, $E$9)</f>
        <v>4.8010000000000002</v>
      </c>
      <c r="F188" s="9">
        <f>4.801 * CHOOSE(CONTROL!$C$32, $C$9, 100%, $E$9)</f>
        <v>4.8010000000000002</v>
      </c>
      <c r="G188" s="9">
        <f>4.8052 * CHOOSE(CONTROL!$C$32, $C$9, 100%, $E$9)</f>
        <v>4.8052000000000001</v>
      </c>
      <c r="H188" s="9">
        <f>5.5049 * CHOOSE(CONTROL!$C$32, $C$9, 100%, $E$9)</f>
        <v>5.5049000000000001</v>
      </c>
      <c r="I188" s="9">
        <f>5.5091 * CHOOSE(CONTROL!$C$32, $C$9, 100%, $E$9)</f>
        <v>5.5091000000000001</v>
      </c>
      <c r="J188" s="9">
        <f>5.5049 * CHOOSE(CONTROL!$C$32, $C$9, 100%, $E$9)</f>
        <v>5.5049000000000001</v>
      </c>
      <c r="K188" s="9">
        <f>5.5091 * CHOOSE(CONTROL!$C$32, $C$9, 100%, $E$9)</f>
        <v>5.5091000000000001</v>
      </c>
      <c r="L188" s="9">
        <f>4.801 * CHOOSE(CONTROL!$C$32, $C$9, 100%, $E$9)</f>
        <v>4.8010000000000002</v>
      </c>
      <c r="M188" s="9">
        <f>4.8052 * CHOOSE(CONTROL!$C$32, $C$9, 100%, $E$9)</f>
        <v>4.8052000000000001</v>
      </c>
      <c r="N188" s="9">
        <f>4.801 * CHOOSE(CONTROL!$C$32, $C$9, 100%, $E$9)</f>
        <v>4.8010000000000002</v>
      </c>
      <c r="O188" s="9">
        <f>4.8052 * CHOOSE(CONTROL!$C$32, $C$9, 100%, $E$9)</f>
        <v>4.8052000000000001</v>
      </c>
    </row>
    <row r="189" spans="1:15" ht="15" x14ac:dyDescent="0.2">
      <c r="A189" s="16">
        <v>46600</v>
      </c>
      <c r="B189" s="10">
        <f>4.4013 * CHOOSE(CONTROL!$C$32, $C$9, 100%, $E$9)</f>
        <v>4.4013</v>
      </c>
      <c r="C189" s="10">
        <f>4.4013 * CHOOSE(CONTROL!$C$32, $C$9, 100%, $E$9)</f>
        <v>4.4013</v>
      </c>
      <c r="D189" s="10">
        <f>4.4026 * CHOOSE(CONTROL!$C$32, $C$9, 100%, $E$9)</f>
        <v>4.4025999999999996</v>
      </c>
      <c r="E189" s="9">
        <f>4.7358 * CHOOSE(CONTROL!$C$32, $C$9, 100%, $E$9)</f>
        <v>4.7358000000000002</v>
      </c>
      <c r="F189" s="9">
        <f>4.7358 * CHOOSE(CONTROL!$C$32, $C$9, 100%, $E$9)</f>
        <v>4.7358000000000002</v>
      </c>
      <c r="G189" s="9">
        <f>4.74 * CHOOSE(CONTROL!$C$32, $C$9, 100%, $E$9)</f>
        <v>4.74</v>
      </c>
      <c r="H189" s="9">
        <f>5.5093 * CHOOSE(CONTROL!$C$32, $C$9, 100%, $E$9)</f>
        <v>5.5092999999999996</v>
      </c>
      <c r="I189" s="9">
        <f>5.5135 * CHOOSE(CONTROL!$C$32, $C$9, 100%, $E$9)</f>
        <v>5.5134999999999996</v>
      </c>
      <c r="J189" s="9">
        <f>5.5093 * CHOOSE(CONTROL!$C$32, $C$9, 100%, $E$9)</f>
        <v>5.5092999999999996</v>
      </c>
      <c r="K189" s="9">
        <f>5.5135 * CHOOSE(CONTROL!$C$32, $C$9, 100%, $E$9)</f>
        <v>5.5134999999999996</v>
      </c>
      <c r="L189" s="9">
        <f>4.7358 * CHOOSE(CONTROL!$C$32, $C$9, 100%, $E$9)</f>
        <v>4.7358000000000002</v>
      </c>
      <c r="M189" s="9">
        <f>4.74 * CHOOSE(CONTROL!$C$32, $C$9, 100%, $E$9)</f>
        <v>4.74</v>
      </c>
      <c r="N189" s="9">
        <f>4.7358 * CHOOSE(CONTROL!$C$32, $C$9, 100%, $E$9)</f>
        <v>4.7358000000000002</v>
      </c>
      <c r="O189" s="9">
        <f>4.74 * CHOOSE(CONTROL!$C$32, $C$9, 100%, $E$9)</f>
        <v>4.74</v>
      </c>
    </row>
    <row r="190" spans="1:15" ht="15" x14ac:dyDescent="0.2">
      <c r="A190" s="16">
        <v>46631</v>
      </c>
      <c r="B190" s="10">
        <f>4.3983 * CHOOSE(CONTROL!$C$32, $C$9, 100%, $E$9)</f>
        <v>4.3982999999999999</v>
      </c>
      <c r="C190" s="10">
        <f>4.3983 * CHOOSE(CONTROL!$C$32, $C$9, 100%, $E$9)</f>
        <v>4.3982999999999999</v>
      </c>
      <c r="D190" s="10">
        <f>4.3995 * CHOOSE(CONTROL!$C$32, $C$9, 100%, $E$9)</f>
        <v>4.3994999999999997</v>
      </c>
      <c r="E190" s="9">
        <f>4.726 * CHOOSE(CONTROL!$C$32, $C$9, 100%, $E$9)</f>
        <v>4.726</v>
      </c>
      <c r="F190" s="9">
        <f>4.726 * CHOOSE(CONTROL!$C$32, $C$9, 100%, $E$9)</f>
        <v>4.726</v>
      </c>
      <c r="G190" s="9">
        <f>4.7302 * CHOOSE(CONTROL!$C$32, $C$9, 100%, $E$9)</f>
        <v>4.7302</v>
      </c>
      <c r="H190" s="9">
        <f>5.5073 * CHOOSE(CONTROL!$C$32, $C$9, 100%, $E$9)</f>
        <v>5.5072999999999999</v>
      </c>
      <c r="I190" s="9">
        <f>5.5115 * CHOOSE(CONTROL!$C$32, $C$9, 100%, $E$9)</f>
        <v>5.5114999999999998</v>
      </c>
      <c r="J190" s="9">
        <f>5.5073 * CHOOSE(CONTROL!$C$32, $C$9, 100%, $E$9)</f>
        <v>5.5072999999999999</v>
      </c>
      <c r="K190" s="9">
        <f>5.5115 * CHOOSE(CONTROL!$C$32, $C$9, 100%, $E$9)</f>
        <v>5.5114999999999998</v>
      </c>
      <c r="L190" s="9">
        <f>4.726 * CHOOSE(CONTROL!$C$32, $C$9, 100%, $E$9)</f>
        <v>4.726</v>
      </c>
      <c r="M190" s="9">
        <f>4.7302 * CHOOSE(CONTROL!$C$32, $C$9, 100%, $E$9)</f>
        <v>4.7302</v>
      </c>
      <c r="N190" s="9">
        <f>4.726 * CHOOSE(CONTROL!$C$32, $C$9, 100%, $E$9)</f>
        <v>4.726</v>
      </c>
      <c r="O190" s="9">
        <f>4.7302 * CHOOSE(CONTROL!$C$32, $C$9, 100%, $E$9)</f>
        <v>4.7302</v>
      </c>
    </row>
    <row r="191" spans="1:15" ht="15" x14ac:dyDescent="0.2">
      <c r="A191" s="16">
        <v>46661</v>
      </c>
      <c r="B191" s="10">
        <f>4.3954 * CHOOSE(CONTROL!$C$32, $C$9, 100%, $E$9)</f>
        <v>4.3954000000000004</v>
      </c>
      <c r="C191" s="10">
        <f>4.3954 * CHOOSE(CONTROL!$C$32, $C$9, 100%, $E$9)</f>
        <v>4.3954000000000004</v>
      </c>
      <c r="D191" s="10">
        <f>4.3964 * CHOOSE(CONTROL!$C$32, $C$9, 100%, $E$9)</f>
        <v>4.3963999999999999</v>
      </c>
      <c r="E191" s="9">
        <f>4.7436 * CHOOSE(CONTROL!$C$32, $C$9, 100%, $E$9)</f>
        <v>4.7435999999999998</v>
      </c>
      <c r="F191" s="9">
        <f>4.7436 * CHOOSE(CONTROL!$C$32, $C$9, 100%, $E$9)</f>
        <v>4.7435999999999998</v>
      </c>
      <c r="G191" s="9">
        <f>4.7468 * CHOOSE(CONTROL!$C$32, $C$9, 100%, $E$9)</f>
        <v>4.7468000000000004</v>
      </c>
      <c r="H191" s="9">
        <f>5.5048 * CHOOSE(CONTROL!$C$32, $C$9, 100%, $E$9)</f>
        <v>5.5048000000000004</v>
      </c>
      <c r="I191" s="9">
        <f>5.5081 * CHOOSE(CONTROL!$C$32, $C$9, 100%, $E$9)</f>
        <v>5.5080999999999998</v>
      </c>
      <c r="J191" s="9">
        <f>5.5048 * CHOOSE(CONTROL!$C$32, $C$9, 100%, $E$9)</f>
        <v>5.5048000000000004</v>
      </c>
      <c r="K191" s="9">
        <f>5.5081 * CHOOSE(CONTROL!$C$32, $C$9, 100%, $E$9)</f>
        <v>5.5080999999999998</v>
      </c>
      <c r="L191" s="9">
        <f>4.7436 * CHOOSE(CONTROL!$C$32, $C$9, 100%, $E$9)</f>
        <v>4.7435999999999998</v>
      </c>
      <c r="M191" s="9">
        <f>4.7468 * CHOOSE(CONTROL!$C$32, $C$9, 100%, $E$9)</f>
        <v>4.7468000000000004</v>
      </c>
      <c r="N191" s="9">
        <f>4.7436 * CHOOSE(CONTROL!$C$32, $C$9, 100%, $E$9)</f>
        <v>4.7435999999999998</v>
      </c>
      <c r="O191" s="9">
        <f>4.7468 * CHOOSE(CONTROL!$C$32, $C$9, 100%, $E$9)</f>
        <v>4.7468000000000004</v>
      </c>
    </row>
    <row r="192" spans="1:15" ht="15" x14ac:dyDescent="0.2">
      <c r="A192" s="16">
        <v>46692</v>
      </c>
      <c r="B192" s="10">
        <f>4.3985 * CHOOSE(CONTROL!$C$32, $C$9, 100%, $E$9)</f>
        <v>4.3985000000000003</v>
      </c>
      <c r="C192" s="10">
        <f>4.3985 * CHOOSE(CONTROL!$C$32, $C$9, 100%, $E$9)</f>
        <v>4.3985000000000003</v>
      </c>
      <c r="D192" s="10">
        <f>4.3994 * CHOOSE(CONTROL!$C$32, $C$9, 100%, $E$9)</f>
        <v>4.3994</v>
      </c>
      <c r="E192" s="9">
        <f>4.7612 * CHOOSE(CONTROL!$C$32, $C$9, 100%, $E$9)</f>
        <v>4.7611999999999997</v>
      </c>
      <c r="F192" s="9">
        <f>4.7612 * CHOOSE(CONTROL!$C$32, $C$9, 100%, $E$9)</f>
        <v>4.7611999999999997</v>
      </c>
      <c r="G192" s="9">
        <f>4.7644 * CHOOSE(CONTROL!$C$32, $C$9, 100%, $E$9)</f>
        <v>4.7644000000000002</v>
      </c>
      <c r="H192" s="9">
        <f>5.5068 * CHOOSE(CONTROL!$C$32, $C$9, 100%, $E$9)</f>
        <v>5.5068000000000001</v>
      </c>
      <c r="I192" s="9">
        <f>5.5101 * CHOOSE(CONTROL!$C$32, $C$9, 100%, $E$9)</f>
        <v>5.5101000000000004</v>
      </c>
      <c r="J192" s="9">
        <f>5.5068 * CHOOSE(CONTROL!$C$32, $C$9, 100%, $E$9)</f>
        <v>5.5068000000000001</v>
      </c>
      <c r="K192" s="9">
        <f>5.5101 * CHOOSE(CONTROL!$C$32, $C$9, 100%, $E$9)</f>
        <v>5.5101000000000004</v>
      </c>
      <c r="L192" s="9">
        <f>4.7612 * CHOOSE(CONTROL!$C$32, $C$9, 100%, $E$9)</f>
        <v>4.7611999999999997</v>
      </c>
      <c r="M192" s="9">
        <f>4.7644 * CHOOSE(CONTROL!$C$32, $C$9, 100%, $E$9)</f>
        <v>4.7644000000000002</v>
      </c>
      <c r="N192" s="9">
        <f>4.7612 * CHOOSE(CONTROL!$C$32, $C$9, 100%, $E$9)</f>
        <v>4.7611999999999997</v>
      </c>
      <c r="O192" s="9">
        <f>4.7644 * CHOOSE(CONTROL!$C$32, $C$9, 100%, $E$9)</f>
        <v>4.7644000000000002</v>
      </c>
    </row>
    <row r="193" spans="1:15" ht="15" x14ac:dyDescent="0.2">
      <c r="A193" s="16">
        <v>46722</v>
      </c>
      <c r="B193" s="10">
        <f>4.3985 * CHOOSE(CONTROL!$C$32, $C$9, 100%, $E$9)</f>
        <v>4.3985000000000003</v>
      </c>
      <c r="C193" s="10">
        <f>4.3985 * CHOOSE(CONTROL!$C$32, $C$9, 100%, $E$9)</f>
        <v>4.3985000000000003</v>
      </c>
      <c r="D193" s="10">
        <f>4.3994 * CHOOSE(CONTROL!$C$32, $C$9, 100%, $E$9)</f>
        <v>4.3994</v>
      </c>
      <c r="E193" s="9">
        <f>4.7224 * CHOOSE(CONTROL!$C$32, $C$9, 100%, $E$9)</f>
        <v>4.7224000000000004</v>
      </c>
      <c r="F193" s="9">
        <f>4.7224 * CHOOSE(CONTROL!$C$32, $C$9, 100%, $E$9)</f>
        <v>4.7224000000000004</v>
      </c>
      <c r="G193" s="9">
        <f>4.7257 * CHOOSE(CONTROL!$C$32, $C$9, 100%, $E$9)</f>
        <v>4.7256999999999998</v>
      </c>
      <c r="H193" s="9">
        <f>5.5068 * CHOOSE(CONTROL!$C$32, $C$9, 100%, $E$9)</f>
        <v>5.5068000000000001</v>
      </c>
      <c r="I193" s="9">
        <f>5.5101 * CHOOSE(CONTROL!$C$32, $C$9, 100%, $E$9)</f>
        <v>5.5101000000000004</v>
      </c>
      <c r="J193" s="9">
        <f>5.5068 * CHOOSE(CONTROL!$C$32, $C$9, 100%, $E$9)</f>
        <v>5.5068000000000001</v>
      </c>
      <c r="K193" s="9">
        <f>5.5101 * CHOOSE(CONTROL!$C$32, $C$9, 100%, $E$9)</f>
        <v>5.5101000000000004</v>
      </c>
      <c r="L193" s="9">
        <f>4.7224 * CHOOSE(CONTROL!$C$32, $C$9, 100%, $E$9)</f>
        <v>4.7224000000000004</v>
      </c>
      <c r="M193" s="9">
        <f>4.7257 * CHOOSE(CONTROL!$C$32, $C$9, 100%, $E$9)</f>
        <v>4.7256999999999998</v>
      </c>
      <c r="N193" s="9">
        <f>4.7224 * CHOOSE(CONTROL!$C$32, $C$9, 100%, $E$9)</f>
        <v>4.7224000000000004</v>
      </c>
      <c r="O193" s="9">
        <f>4.7257 * CHOOSE(CONTROL!$C$32, $C$9, 100%, $E$9)</f>
        <v>4.7256999999999998</v>
      </c>
    </row>
    <row r="194" spans="1:15" ht="15" x14ac:dyDescent="0.2">
      <c r="A194" s="16">
        <v>46753</v>
      </c>
      <c r="B194" s="10">
        <f>4.4321 * CHOOSE(CONTROL!$C$32, $C$9, 100%, $E$9)</f>
        <v>4.4321000000000002</v>
      </c>
      <c r="C194" s="10">
        <f>4.4321 * CHOOSE(CONTROL!$C$32, $C$9, 100%, $E$9)</f>
        <v>4.4321000000000002</v>
      </c>
      <c r="D194" s="10">
        <f>4.4331 * CHOOSE(CONTROL!$C$32, $C$9, 100%, $E$9)</f>
        <v>4.4330999999999996</v>
      </c>
      <c r="E194" s="9">
        <f>4.7788 * CHOOSE(CONTROL!$C$32, $C$9, 100%, $E$9)</f>
        <v>4.7788000000000004</v>
      </c>
      <c r="F194" s="9">
        <f>4.7788 * CHOOSE(CONTROL!$C$32, $C$9, 100%, $E$9)</f>
        <v>4.7788000000000004</v>
      </c>
      <c r="G194" s="9">
        <f>4.782 * CHOOSE(CONTROL!$C$32, $C$9, 100%, $E$9)</f>
        <v>4.782</v>
      </c>
      <c r="H194" s="9">
        <f>5.5459 * CHOOSE(CONTROL!$C$32, $C$9, 100%, $E$9)</f>
        <v>5.5458999999999996</v>
      </c>
      <c r="I194" s="9">
        <f>5.5492 * CHOOSE(CONTROL!$C$32, $C$9, 100%, $E$9)</f>
        <v>5.5491999999999999</v>
      </c>
      <c r="J194" s="9">
        <f>5.5459 * CHOOSE(CONTROL!$C$32, $C$9, 100%, $E$9)</f>
        <v>5.5458999999999996</v>
      </c>
      <c r="K194" s="9">
        <f>5.5492 * CHOOSE(CONTROL!$C$32, $C$9, 100%, $E$9)</f>
        <v>5.5491999999999999</v>
      </c>
      <c r="L194" s="9">
        <f>4.7788 * CHOOSE(CONTROL!$C$32, $C$9, 100%, $E$9)</f>
        <v>4.7788000000000004</v>
      </c>
      <c r="M194" s="9">
        <f>4.782 * CHOOSE(CONTROL!$C$32, $C$9, 100%, $E$9)</f>
        <v>4.782</v>
      </c>
      <c r="N194" s="9">
        <f>4.7788 * CHOOSE(CONTROL!$C$32, $C$9, 100%, $E$9)</f>
        <v>4.7788000000000004</v>
      </c>
      <c r="O194" s="9">
        <f>4.782 * CHOOSE(CONTROL!$C$32, $C$9, 100%, $E$9)</f>
        <v>4.782</v>
      </c>
    </row>
    <row r="195" spans="1:15" ht="15" x14ac:dyDescent="0.2">
      <c r="A195" s="16">
        <v>46784</v>
      </c>
      <c r="B195" s="10">
        <f>4.4291 * CHOOSE(CONTROL!$C$32, $C$9, 100%, $E$9)</f>
        <v>4.4291</v>
      </c>
      <c r="C195" s="10">
        <f>4.4291 * CHOOSE(CONTROL!$C$32, $C$9, 100%, $E$9)</f>
        <v>4.4291</v>
      </c>
      <c r="D195" s="10">
        <f>4.43 * CHOOSE(CONTROL!$C$32, $C$9, 100%, $E$9)</f>
        <v>4.43</v>
      </c>
      <c r="E195" s="9">
        <f>4.7013 * CHOOSE(CONTROL!$C$32, $C$9, 100%, $E$9)</f>
        <v>4.7012999999999998</v>
      </c>
      <c r="F195" s="9">
        <f>4.7013 * CHOOSE(CONTROL!$C$32, $C$9, 100%, $E$9)</f>
        <v>4.7012999999999998</v>
      </c>
      <c r="G195" s="9">
        <f>4.7045 * CHOOSE(CONTROL!$C$32, $C$9, 100%, $E$9)</f>
        <v>4.7045000000000003</v>
      </c>
      <c r="H195" s="9">
        <f>5.5439 * CHOOSE(CONTROL!$C$32, $C$9, 100%, $E$9)</f>
        <v>5.5438999999999998</v>
      </c>
      <c r="I195" s="9">
        <f>5.5472 * CHOOSE(CONTROL!$C$32, $C$9, 100%, $E$9)</f>
        <v>5.5472000000000001</v>
      </c>
      <c r="J195" s="9">
        <f>5.5439 * CHOOSE(CONTROL!$C$32, $C$9, 100%, $E$9)</f>
        <v>5.5438999999999998</v>
      </c>
      <c r="K195" s="9">
        <f>5.5472 * CHOOSE(CONTROL!$C$32, $C$9, 100%, $E$9)</f>
        <v>5.5472000000000001</v>
      </c>
      <c r="L195" s="9">
        <f>4.7013 * CHOOSE(CONTROL!$C$32, $C$9, 100%, $E$9)</f>
        <v>4.7012999999999998</v>
      </c>
      <c r="M195" s="9">
        <f>4.7045 * CHOOSE(CONTROL!$C$32, $C$9, 100%, $E$9)</f>
        <v>4.7045000000000003</v>
      </c>
      <c r="N195" s="9">
        <f>4.7013 * CHOOSE(CONTROL!$C$32, $C$9, 100%, $E$9)</f>
        <v>4.7012999999999998</v>
      </c>
      <c r="O195" s="9">
        <f>4.7045 * CHOOSE(CONTROL!$C$32, $C$9, 100%, $E$9)</f>
        <v>4.7045000000000003</v>
      </c>
    </row>
    <row r="196" spans="1:15" ht="15" x14ac:dyDescent="0.2">
      <c r="A196" s="16">
        <v>46813</v>
      </c>
      <c r="B196" s="10">
        <f>4.426 * CHOOSE(CONTROL!$C$32, $C$9, 100%, $E$9)</f>
        <v>4.4260000000000002</v>
      </c>
      <c r="C196" s="10">
        <f>4.426 * CHOOSE(CONTROL!$C$32, $C$9, 100%, $E$9)</f>
        <v>4.4260000000000002</v>
      </c>
      <c r="D196" s="10">
        <f>4.427 * CHOOSE(CONTROL!$C$32, $C$9, 100%, $E$9)</f>
        <v>4.4269999999999996</v>
      </c>
      <c r="E196" s="9">
        <f>4.7586 * CHOOSE(CONTROL!$C$32, $C$9, 100%, $E$9)</f>
        <v>4.7586000000000004</v>
      </c>
      <c r="F196" s="9">
        <f>4.7586 * CHOOSE(CONTROL!$C$32, $C$9, 100%, $E$9)</f>
        <v>4.7586000000000004</v>
      </c>
      <c r="G196" s="9">
        <f>4.7618 * CHOOSE(CONTROL!$C$32, $C$9, 100%, $E$9)</f>
        <v>4.7618</v>
      </c>
      <c r="H196" s="9">
        <f>5.5419 * CHOOSE(CONTROL!$C$32, $C$9, 100%, $E$9)</f>
        <v>5.5419</v>
      </c>
      <c r="I196" s="9">
        <f>5.5452 * CHOOSE(CONTROL!$C$32, $C$9, 100%, $E$9)</f>
        <v>5.5452000000000004</v>
      </c>
      <c r="J196" s="9">
        <f>5.5419 * CHOOSE(CONTROL!$C$32, $C$9, 100%, $E$9)</f>
        <v>5.5419</v>
      </c>
      <c r="K196" s="9">
        <f>5.5452 * CHOOSE(CONTROL!$C$32, $C$9, 100%, $E$9)</f>
        <v>5.5452000000000004</v>
      </c>
      <c r="L196" s="9">
        <f>4.7586 * CHOOSE(CONTROL!$C$32, $C$9, 100%, $E$9)</f>
        <v>4.7586000000000004</v>
      </c>
      <c r="M196" s="9">
        <f>4.7618 * CHOOSE(CONTROL!$C$32, $C$9, 100%, $E$9)</f>
        <v>4.7618</v>
      </c>
      <c r="N196" s="9">
        <f>4.7586 * CHOOSE(CONTROL!$C$32, $C$9, 100%, $E$9)</f>
        <v>4.7586000000000004</v>
      </c>
      <c r="O196" s="9">
        <f>4.7618 * CHOOSE(CONTROL!$C$32, $C$9, 100%, $E$9)</f>
        <v>4.7618</v>
      </c>
    </row>
    <row r="197" spans="1:15" ht="15" x14ac:dyDescent="0.2">
      <c r="A197" s="16">
        <v>46844</v>
      </c>
      <c r="B197" s="10">
        <f>4.4243 * CHOOSE(CONTROL!$C$32, $C$9, 100%, $E$9)</f>
        <v>4.4242999999999997</v>
      </c>
      <c r="C197" s="10">
        <f>4.4243 * CHOOSE(CONTROL!$C$32, $C$9, 100%, $E$9)</f>
        <v>4.4242999999999997</v>
      </c>
      <c r="D197" s="10">
        <f>4.4252 * CHOOSE(CONTROL!$C$32, $C$9, 100%, $E$9)</f>
        <v>4.4252000000000002</v>
      </c>
      <c r="E197" s="9">
        <f>4.8182 * CHOOSE(CONTROL!$C$32, $C$9, 100%, $E$9)</f>
        <v>4.8182</v>
      </c>
      <c r="F197" s="9">
        <f>4.8182 * CHOOSE(CONTROL!$C$32, $C$9, 100%, $E$9)</f>
        <v>4.8182</v>
      </c>
      <c r="G197" s="9">
        <f>4.8214 * CHOOSE(CONTROL!$C$32, $C$9, 100%, $E$9)</f>
        <v>4.8213999999999997</v>
      </c>
      <c r="H197" s="9">
        <f>5.5406 * CHOOSE(CONTROL!$C$32, $C$9, 100%, $E$9)</f>
        <v>5.5406000000000004</v>
      </c>
      <c r="I197" s="9">
        <f>5.5438 * CHOOSE(CONTROL!$C$32, $C$9, 100%, $E$9)</f>
        <v>5.5438000000000001</v>
      </c>
      <c r="J197" s="9">
        <f>5.5406 * CHOOSE(CONTROL!$C$32, $C$9, 100%, $E$9)</f>
        <v>5.5406000000000004</v>
      </c>
      <c r="K197" s="9">
        <f>5.5438 * CHOOSE(CONTROL!$C$32, $C$9, 100%, $E$9)</f>
        <v>5.5438000000000001</v>
      </c>
      <c r="L197" s="9">
        <f>4.8182 * CHOOSE(CONTROL!$C$32, $C$9, 100%, $E$9)</f>
        <v>4.8182</v>
      </c>
      <c r="M197" s="9">
        <f>4.8214 * CHOOSE(CONTROL!$C$32, $C$9, 100%, $E$9)</f>
        <v>4.8213999999999997</v>
      </c>
      <c r="N197" s="9">
        <f>4.8182 * CHOOSE(CONTROL!$C$32, $C$9, 100%, $E$9)</f>
        <v>4.8182</v>
      </c>
      <c r="O197" s="9">
        <f>4.8214 * CHOOSE(CONTROL!$C$32, $C$9, 100%, $E$9)</f>
        <v>4.8213999999999997</v>
      </c>
    </row>
    <row r="198" spans="1:15" ht="15" x14ac:dyDescent="0.2">
      <c r="A198" s="16">
        <v>46874</v>
      </c>
      <c r="B198" s="10">
        <f>4.4243 * CHOOSE(CONTROL!$C$32, $C$9, 100%, $E$9)</f>
        <v>4.4242999999999997</v>
      </c>
      <c r="C198" s="10">
        <f>4.4243 * CHOOSE(CONTROL!$C$32, $C$9, 100%, $E$9)</f>
        <v>4.4242999999999997</v>
      </c>
      <c r="D198" s="10">
        <f>4.4255 * CHOOSE(CONTROL!$C$32, $C$9, 100%, $E$9)</f>
        <v>4.4255000000000004</v>
      </c>
      <c r="E198" s="9">
        <f>4.8421 * CHOOSE(CONTROL!$C$32, $C$9, 100%, $E$9)</f>
        <v>4.8421000000000003</v>
      </c>
      <c r="F198" s="9">
        <f>4.8421 * CHOOSE(CONTROL!$C$32, $C$9, 100%, $E$9)</f>
        <v>4.8421000000000003</v>
      </c>
      <c r="G198" s="9">
        <f>4.8463 * CHOOSE(CONTROL!$C$32, $C$9, 100%, $E$9)</f>
        <v>4.8463000000000003</v>
      </c>
      <c r="H198" s="9">
        <f>5.5406 * CHOOSE(CONTROL!$C$32, $C$9, 100%, $E$9)</f>
        <v>5.5406000000000004</v>
      </c>
      <c r="I198" s="9">
        <f>5.5448 * CHOOSE(CONTROL!$C$32, $C$9, 100%, $E$9)</f>
        <v>5.5448000000000004</v>
      </c>
      <c r="J198" s="9">
        <f>5.5406 * CHOOSE(CONTROL!$C$32, $C$9, 100%, $E$9)</f>
        <v>5.5406000000000004</v>
      </c>
      <c r="K198" s="9">
        <f>5.5448 * CHOOSE(CONTROL!$C$32, $C$9, 100%, $E$9)</f>
        <v>5.5448000000000004</v>
      </c>
      <c r="L198" s="9">
        <f>4.8421 * CHOOSE(CONTROL!$C$32, $C$9, 100%, $E$9)</f>
        <v>4.8421000000000003</v>
      </c>
      <c r="M198" s="9">
        <f>4.8463 * CHOOSE(CONTROL!$C$32, $C$9, 100%, $E$9)</f>
        <v>4.8463000000000003</v>
      </c>
      <c r="N198" s="9">
        <f>4.8421 * CHOOSE(CONTROL!$C$32, $C$9, 100%, $E$9)</f>
        <v>4.8421000000000003</v>
      </c>
      <c r="O198" s="9">
        <f>4.8463 * CHOOSE(CONTROL!$C$32, $C$9, 100%, $E$9)</f>
        <v>4.8463000000000003</v>
      </c>
    </row>
    <row r="199" spans="1:15" ht="15" x14ac:dyDescent="0.2">
      <c r="A199" s="16">
        <v>46905</v>
      </c>
      <c r="B199" s="10">
        <f>4.4303 * CHOOSE(CONTROL!$C$32, $C$9, 100%, $E$9)</f>
        <v>4.4302999999999999</v>
      </c>
      <c r="C199" s="10">
        <f>4.4303 * CHOOSE(CONTROL!$C$32, $C$9, 100%, $E$9)</f>
        <v>4.4302999999999999</v>
      </c>
      <c r="D199" s="10">
        <f>4.4316 * CHOOSE(CONTROL!$C$32, $C$9, 100%, $E$9)</f>
        <v>4.4316000000000004</v>
      </c>
      <c r="E199" s="9">
        <f>4.8224 * CHOOSE(CONTROL!$C$32, $C$9, 100%, $E$9)</f>
        <v>4.8224</v>
      </c>
      <c r="F199" s="9">
        <f>4.8224 * CHOOSE(CONTROL!$C$32, $C$9, 100%, $E$9)</f>
        <v>4.8224</v>
      </c>
      <c r="G199" s="9">
        <f>4.8266 * CHOOSE(CONTROL!$C$32, $C$9, 100%, $E$9)</f>
        <v>4.8266</v>
      </c>
      <c r="H199" s="9">
        <f>5.5446 * CHOOSE(CONTROL!$C$32, $C$9, 100%, $E$9)</f>
        <v>5.5446</v>
      </c>
      <c r="I199" s="9">
        <f>5.5488 * CHOOSE(CONTROL!$C$32, $C$9, 100%, $E$9)</f>
        <v>5.5488</v>
      </c>
      <c r="J199" s="9">
        <f>5.5446 * CHOOSE(CONTROL!$C$32, $C$9, 100%, $E$9)</f>
        <v>5.5446</v>
      </c>
      <c r="K199" s="9">
        <f>5.5488 * CHOOSE(CONTROL!$C$32, $C$9, 100%, $E$9)</f>
        <v>5.5488</v>
      </c>
      <c r="L199" s="9">
        <f>4.8224 * CHOOSE(CONTROL!$C$32, $C$9, 100%, $E$9)</f>
        <v>4.8224</v>
      </c>
      <c r="M199" s="9">
        <f>4.8266 * CHOOSE(CONTROL!$C$32, $C$9, 100%, $E$9)</f>
        <v>4.8266</v>
      </c>
      <c r="N199" s="9">
        <f>4.8224 * CHOOSE(CONTROL!$C$32, $C$9, 100%, $E$9)</f>
        <v>4.8224</v>
      </c>
      <c r="O199" s="9">
        <f>4.8266 * CHOOSE(CONTROL!$C$32, $C$9, 100%, $E$9)</f>
        <v>4.8266</v>
      </c>
    </row>
    <row r="200" spans="1:15" ht="15" x14ac:dyDescent="0.2">
      <c r="A200" s="16">
        <v>46935</v>
      </c>
      <c r="B200" s="10">
        <f>4.4901 * CHOOSE(CONTROL!$C$32, $C$9, 100%, $E$9)</f>
        <v>4.4901</v>
      </c>
      <c r="C200" s="10">
        <f>4.4901 * CHOOSE(CONTROL!$C$32, $C$9, 100%, $E$9)</f>
        <v>4.4901</v>
      </c>
      <c r="D200" s="10">
        <f>4.4914 * CHOOSE(CONTROL!$C$32, $C$9, 100%, $E$9)</f>
        <v>4.4913999999999996</v>
      </c>
      <c r="E200" s="9">
        <f>4.8783 * CHOOSE(CONTROL!$C$32, $C$9, 100%, $E$9)</f>
        <v>4.8783000000000003</v>
      </c>
      <c r="F200" s="9">
        <f>4.8783 * CHOOSE(CONTROL!$C$32, $C$9, 100%, $E$9)</f>
        <v>4.8783000000000003</v>
      </c>
      <c r="G200" s="9">
        <f>4.8825 * CHOOSE(CONTROL!$C$32, $C$9, 100%, $E$9)</f>
        <v>4.8825000000000003</v>
      </c>
      <c r="H200" s="9">
        <f>5.6263 * CHOOSE(CONTROL!$C$32, $C$9, 100%, $E$9)</f>
        <v>5.6262999999999996</v>
      </c>
      <c r="I200" s="9">
        <f>5.6305 * CHOOSE(CONTROL!$C$32, $C$9, 100%, $E$9)</f>
        <v>5.6304999999999996</v>
      </c>
      <c r="J200" s="9">
        <f>5.6263 * CHOOSE(CONTROL!$C$32, $C$9, 100%, $E$9)</f>
        <v>5.6262999999999996</v>
      </c>
      <c r="K200" s="9">
        <f>5.6305 * CHOOSE(CONTROL!$C$32, $C$9, 100%, $E$9)</f>
        <v>5.6304999999999996</v>
      </c>
      <c r="L200" s="9">
        <f>4.8783 * CHOOSE(CONTROL!$C$32, $C$9, 100%, $E$9)</f>
        <v>4.8783000000000003</v>
      </c>
      <c r="M200" s="9">
        <f>4.8825 * CHOOSE(CONTROL!$C$32, $C$9, 100%, $E$9)</f>
        <v>4.8825000000000003</v>
      </c>
      <c r="N200" s="9">
        <f>4.8783 * CHOOSE(CONTROL!$C$32, $C$9, 100%, $E$9)</f>
        <v>4.8783000000000003</v>
      </c>
      <c r="O200" s="9">
        <f>4.8825 * CHOOSE(CONTROL!$C$32, $C$9, 100%, $E$9)</f>
        <v>4.8825000000000003</v>
      </c>
    </row>
    <row r="201" spans="1:15" ht="15" x14ac:dyDescent="0.2">
      <c r="A201" s="16">
        <v>46966</v>
      </c>
      <c r="B201" s="10">
        <f>4.4968 * CHOOSE(CONTROL!$C$32, $C$9, 100%, $E$9)</f>
        <v>4.4968000000000004</v>
      </c>
      <c r="C201" s="10">
        <f>4.4968 * CHOOSE(CONTROL!$C$32, $C$9, 100%, $E$9)</f>
        <v>4.4968000000000004</v>
      </c>
      <c r="D201" s="10">
        <f>4.498 * CHOOSE(CONTROL!$C$32, $C$9, 100%, $E$9)</f>
        <v>4.4980000000000002</v>
      </c>
      <c r="E201" s="9">
        <f>4.8111 * CHOOSE(CONTROL!$C$32, $C$9, 100%, $E$9)</f>
        <v>4.8110999999999997</v>
      </c>
      <c r="F201" s="9">
        <f>4.8111 * CHOOSE(CONTROL!$C$32, $C$9, 100%, $E$9)</f>
        <v>4.8110999999999997</v>
      </c>
      <c r="G201" s="9">
        <f>4.8153 * CHOOSE(CONTROL!$C$32, $C$9, 100%, $E$9)</f>
        <v>4.8152999999999997</v>
      </c>
      <c r="H201" s="9">
        <f>5.6307 * CHOOSE(CONTROL!$C$32, $C$9, 100%, $E$9)</f>
        <v>5.6307</v>
      </c>
      <c r="I201" s="9">
        <f>5.6349 * CHOOSE(CONTROL!$C$32, $C$9, 100%, $E$9)</f>
        <v>5.6349</v>
      </c>
      <c r="J201" s="9">
        <f>5.6307 * CHOOSE(CONTROL!$C$32, $C$9, 100%, $E$9)</f>
        <v>5.6307</v>
      </c>
      <c r="K201" s="9">
        <f>5.6349 * CHOOSE(CONTROL!$C$32, $C$9, 100%, $E$9)</f>
        <v>5.6349</v>
      </c>
      <c r="L201" s="9">
        <f>4.8111 * CHOOSE(CONTROL!$C$32, $C$9, 100%, $E$9)</f>
        <v>4.8110999999999997</v>
      </c>
      <c r="M201" s="9">
        <f>4.8153 * CHOOSE(CONTROL!$C$32, $C$9, 100%, $E$9)</f>
        <v>4.8152999999999997</v>
      </c>
      <c r="N201" s="9">
        <f>4.8111 * CHOOSE(CONTROL!$C$32, $C$9, 100%, $E$9)</f>
        <v>4.8110999999999997</v>
      </c>
      <c r="O201" s="9">
        <f>4.8153 * CHOOSE(CONTROL!$C$32, $C$9, 100%, $E$9)</f>
        <v>4.8152999999999997</v>
      </c>
    </row>
    <row r="202" spans="1:15" ht="15" x14ac:dyDescent="0.2">
      <c r="A202" s="16">
        <v>46997</v>
      </c>
      <c r="B202" s="10">
        <f>4.4938 * CHOOSE(CONTROL!$C$32, $C$9, 100%, $E$9)</f>
        <v>4.4938000000000002</v>
      </c>
      <c r="C202" s="10">
        <f>4.4938 * CHOOSE(CONTROL!$C$32, $C$9, 100%, $E$9)</f>
        <v>4.4938000000000002</v>
      </c>
      <c r="D202" s="10">
        <f>4.495 * CHOOSE(CONTROL!$C$32, $C$9, 100%, $E$9)</f>
        <v>4.4950000000000001</v>
      </c>
      <c r="E202" s="9">
        <f>4.801 * CHOOSE(CONTROL!$C$32, $C$9, 100%, $E$9)</f>
        <v>4.8010000000000002</v>
      </c>
      <c r="F202" s="9">
        <f>4.801 * CHOOSE(CONTROL!$C$32, $C$9, 100%, $E$9)</f>
        <v>4.8010000000000002</v>
      </c>
      <c r="G202" s="9">
        <f>4.8052 * CHOOSE(CONTROL!$C$32, $C$9, 100%, $E$9)</f>
        <v>4.8052000000000001</v>
      </c>
      <c r="H202" s="9">
        <f>5.6287 * CHOOSE(CONTROL!$C$32, $C$9, 100%, $E$9)</f>
        <v>5.6287000000000003</v>
      </c>
      <c r="I202" s="9">
        <f>5.6329 * CHOOSE(CONTROL!$C$32, $C$9, 100%, $E$9)</f>
        <v>5.6329000000000002</v>
      </c>
      <c r="J202" s="9">
        <f>5.6287 * CHOOSE(CONTROL!$C$32, $C$9, 100%, $E$9)</f>
        <v>5.6287000000000003</v>
      </c>
      <c r="K202" s="9">
        <f>5.6329 * CHOOSE(CONTROL!$C$32, $C$9, 100%, $E$9)</f>
        <v>5.6329000000000002</v>
      </c>
      <c r="L202" s="9">
        <f>4.801 * CHOOSE(CONTROL!$C$32, $C$9, 100%, $E$9)</f>
        <v>4.8010000000000002</v>
      </c>
      <c r="M202" s="9">
        <f>4.8052 * CHOOSE(CONTROL!$C$32, $C$9, 100%, $E$9)</f>
        <v>4.8052000000000001</v>
      </c>
      <c r="N202" s="9">
        <f>4.801 * CHOOSE(CONTROL!$C$32, $C$9, 100%, $E$9)</f>
        <v>4.8010000000000002</v>
      </c>
      <c r="O202" s="9">
        <f>4.8052 * CHOOSE(CONTROL!$C$32, $C$9, 100%, $E$9)</f>
        <v>4.8052000000000001</v>
      </c>
    </row>
    <row r="203" spans="1:15" ht="15" x14ac:dyDescent="0.2">
      <c r="A203" s="16">
        <v>47027</v>
      </c>
      <c r="B203" s="10">
        <f>4.4912 * CHOOSE(CONTROL!$C$32, $C$9, 100%, $E$9)</f>
        <v>4.4912000000000001</v>
      </c>
      <c r="C203" s="10">
        <f>4.4912 * CHOOSE(CONTROL!$C$32, $C$9, 100%, $E$9)</f>
        <v>4.4912000000000001</v>
      </c>
      <c r="D203" s="10">
        <f>4.4922 * CHOOSE(CONTROL!$C$32, $C$9, 100%, $E$9)</f>
        <v>4.4922000000000004</v>
      </c>
      <c r="E203" s="9">
        <f>4.8195 * CHOOSE(CONTROL!$C$32, $C$9, 100%, $E$9)</f>
        <v>4.8194999999999997</v>
      </c>
      <c r="F203" s="9">
        <f>4.8195 * CHOOSE(CONTROL!$C$32, $C$9, 100%, $E$9)</f>
        <v>4.8194999999999997</v>
      </c>
      <c r="G203" s="9">
        <f>4.8228 * CHOOSE(CONTROL!$C$32, $C$9, 100%, $E$9)</f>
        <v>4.8228</v>
      </c>
      <c r="H203" s="9">
        <f>5.6264 * CHOOSE(CONTROL!$C$32, $C$9, 100%, $E$9)</f>
        <v>5.6264000000000003</v>
      </c>
      <c r="I203" s="9">
        <f>5.6297 * CHOOSE(CONTROL!$C$32, $C$9, 100%, $E$9)</f>
        <v>5.6296999999999997</v>
      </c>
      <c r="J203" s="9">
        <f>5.6264 * CHOOSE(CONTROL!$C$32, $C$9, 100%, $E$9)</f>
        <v>5.6264000000000003</v>
      </c>
      <c r="K203" s="9">
        <f>5.6297 * CHOOSE(CONTROL!$C$32, $C$9, 100%, $E$9)</f>
        <v>5.6296999999999997</v>
      </c>
      <c r="L203" s="9">
        <f>4.8195 * CHOOSE(CONTROL!$C$32, $C$9, 100%, $E$9)</f>
        <v>4.8194999999999997</v>
      </c>
      <c r="M203" s="9">
        <f>4.8228 * CHOOSE(CONTROL!$C$32, $C$9, 100%, $E$9)</f>
        <v>4.8228</v>
      </c>
      <c r="N203" s="9">
        <f>4.8195 * CHOOSE(CONTROL!$C$32, $C$9, 100%, $E$9)</f>
        <v>4.8194999999999997</v>
      </c>
      <c r="O203" s="9">
        <f>4.8228 * CHOOSE(CONTROL!$C$32, $C$9, 100%, $E$9)</f>
        <v>4.8228</v>
      </c>
    </row>
    <row r="204" spans="1:15" ht="15" x14ac:dyDescent="0.2">
      <c r="A204" s="16">
        <v>47058</v>
      </c>
      <c r="B204" s="10">
        <f>4.4943 * CHOOSE(CONTROL!$C$32, $C$9, 100%, $E$9)</f>
        <v>4.4943</v>
      </c>
      <c r="C204" s="10">
        <f>4.4943 * CHOOSE(CONTROL!$C$32, $C$9, 100%, $E$9)</f>
        <v>4.4943</v>
      </c>
      <c r="D204" s="10">
        <f>4.4952 * CHOOSE(CONTROL!$C$32, $C$9, 100%, $E$9)</f>
        <v>4.4951999999999996</v>
      </c>
      <c r="E204" s="9">
        <f>4.8376 * CHOOSE(CONTROL!$C$32, $C$9, 100%, $E$9)</f>
        <v>4.8376000000000001</v>
      </c>
      <c r="F204" s="9">
        <f>4.8376 * CHOOSE(CONTROL!$C$32, $C$9, 100%, $E$9)</f>
        <v>4.8376000000000001</v>
      </c>
      <c r="G204" s="9">
        <f>4.8408 * CHOOSE(CONTROL!$C$32, $C$9, 100%, $E$9)</f>
        <v>4.8407999999999998</v>
      </c>
      <c r="H204" s="9">
        <f>5.6284 * CHOOSE(CONTROL!$C$32, $C$9, 100%, $E$9)</f>
        <v>5.6284000000000001</v>
      </c>
      <c r="I204" s="9">
        <f>5.6317 * CHOOSE(CONTROL!$C$32, $C$9, 100%, $E$9)</f>
        <v>5.6317000000000004</v>
      </c>
      <c r="J204" s="9">
        <f>5.6284 * CHOOSE(CONTROL!$C$32, $C$9, 100%, $E$9)</f>
        <v>5.6284000000000001</v>
      </c>
      <c r="K204" s="9">
        <f>5.6317 * CHOOSE(CONTROL!$C$32, $C$9, 100%, $E$9)</f>
        <v>5.6317000000000004</v>
      </c>
      <c r="L204" s="9">
        <f>4.8376 * CHOOSE(CONTROL!$C$32, $C$9, 100%, $E$9)</f>
        <v>4.8376000000000001</v>
      </c>
      <c r="M204" s="9">
        <f>4.8408 * CHOOSE(CONTROL!$C$32, $C$9, 100%, $E$9)</f>
        <v>4.8407999999999998</v>
      </c>
      <c r="N204" s="9">
        <f>4.8376 * CHOOSE(CONTROL!$C$32, $C$9, 100%, $E$9)</f>
        <v>4.8376000000000001</v>
      </c>
      <c r="O204" s="9">
        <f>4.8408 * CHOOSE(CONTROL!$C$32, $C$9, 100%, $E$9)</f>
        <v>4.8407999999999998</v>
      </c>
    </row>
    <row r="205" spans="1:15" ht="15" x14ac:dyDescent="0.2">
      <c r="A205" s="16">
        <v>47088</v>
      </c>
      <c r="B205" s="10">
        <f>4.4943 * CHOOSE(CONTROL!$C$32, $C$9, 100%, $E$9)</f>
        <v>4.4943</v>
      </c>
      <c r="C205" s="10">
        <f>4.4943 * CHOOSE(CONTROL!$C$32, $C$9, 100%, $E$9)</f>
        <v>4.4943</v>
      </c>
      <c r="D205" s="10">
        <f>4.4952 * CHOOSE(CONTROL!$C$32, $C$9, 100%, $E$9)</f>
        <v>4.4951999999999996</v>
      </c>
      <c r="E205" s="9">
        <f>4.7977 * CHOOSE(CONTROL!$C$32, $C$9, 100%, $E$9)</f>
        <v>4.7976999999999999</v>
      </c>
      <c r="F205" s="9">
        <f>4.7977 * CHOOSE(CONTROL!$C$32, $C$9, 100%, $E$9)</f>
        <v>4.7976999999999999</v>
      </c>
      <c r="G205" s="9">
        <f>4.801 * CHOOSE(CONTROL!$C$32, $C$9, 100%, $E$9)</f>
        <v>4.8010000000000002</v>
      </c>
      <c r="H205" s="9">
        <f>5.6284 * CHOOSE(CONTROL!$C$32, $C$9, 100%, $E$9)</f>
        <v>5.6284000000000001</v>
      </c>
      <c r="I205" s="9">
        <f>5.6317 * CHOOSE(CONTROL!$C$32, $C$9, 100%, $E$9)</f>
        <v>5.6317000000000004</v>
      </c>
      <c r="J205" s="9">
        <f>5.6284 * CHOOSE(CONTROL!$C$32, $C$9, 100%, $E$9)</f>
        <v>5.6284000000000001</v>
      </c>
      <c r="K205" s="9">
        <f>5.6317 * CHOOSE(CONTROL!$C$32, $C$9, 100%, $E$9)</f>
        <v>5.6317000000000004</v>
      </c>
      <c r="L205" s="9">
        <f>4.7977 * CHOOSE(CONTROL!$C$32, $C$9, 100%, $E$9)</f>
        <v>4.7976999999999999</v>
      </c>
      <c r="M205" s="9">
        <f>4.801 * CHOOSE(CONTROL!$C$32, $C$9, 100%, $E$9)</f>
        <v>4.8010000000000002</v>
      </c>
      <c r="N205" s="9">
        <f>4.7977 * CHOOSE(CONTROL!$C$32, $C$9, 100%, $E$9)</f>
        <v>4.7976999999999999</v>
      </c>
      <c r="O205" s="9">
        <f>4.801 * CHOOSE(CONTROL!$C$32, $C$9, 100%, $E$9)</f>
        <v>4.8010000000000002</v>
      </c>
    </row>
    <row r="206" spans="1:15" ht="15" x14ac:dyDescent="0.2">
      <c r="A206" s="16">
        <v>47119</v>
      </c>
      <c r="B206" s="10">
        <f>4.5398 * CHOOSE(CONTROL!$C$32, $C$9, 100%, $E$9)</f>
        <v>4.5397999999999996</v>
      </c>
      <c r="C206" s="10">
        <f>4.5398 * CHOOSE(CONTROL!$C$32, $C$9, 100%, $E$9)</f>
        <v>4.5397999999999996</v>
      </c>
      <c r="D206" s="10">
        <f>4.5408 * CHOOSE(CONTROL!$C$32, $C$9, 100%, $E$9)</f>
        <v>4.5407999999999999</v>
      </c>
      <c r="E206" s="9">
        <f>4.8591 * CHOOSE(CONTROL!$C$32, $C$9, 100%, $E$9)</f>
        <v>4.8590999999999998</v>
      </c>
      <c r="F206" s="9">
        <f>4.8591 * CHOOSE(CONTROL!$C$32, $C$9, 100%, $E$9)</f>
        <v>4.8590999999999998</v>
      </c>
      <c r="G206" s="9">
        <f>4.8623 * CHOOSE(CONTROL!$C$32, $C$9, 100%, $E$9)</f>
        <v>4.8623000000000003</v>
      </c>
      <c r="H206" s="9">
        <f>5.6752 * CHOOSE(CONTROL!$C$32, $C$9, 100%, $E$9)</f>
        <v>5.6752000000000002</v>
      </c>
      <c r="I206" s="9">
        <f>5.6785 * CHOOSE(CONTROL!$C$32, $C$9, 100%, $E$9)</f>
        <v>5.6784999999999997</v>
      </c>
      <c r="J206" s="9">
        <f>5.6752 * CHOOSE(CONTROL!$C$32, $C$9, 100%, $E$9)</f>
        <v>5.6752000000000002</v>
      </c>
      <c r="K206" s="9">
        <f>5.6785 * CHOOSE(CONTROL!$C$32, $C$9, 100%, $E$9)</f>
        <v>5.6784999999999997</v>
      </c>
      <c r="L206" s="9">
        <f>4.8591 * CHOOSE(CONTROL!$C$32, $C$9, 100%, $E$9)</f>
        <v>4.8590999999999998</v>
      </c>
      <c r="M206" s="9">
        <f>4.8623 * CHOOSE(CONTROL!$C$32, $C$9, 100%, $E$9)</f>
        <v>4.8623000000000003</v>
      </c>
      <c r="N206" s="9">
        <f>4.8591 * CHOOSE(CONTROL!$C$32, $C$9, 100%, $E$9)</f>
        <v>4.8590999999999998</v>
      </c>
      <c r="O206" s="9">
        <f>4.8623 * CHOOSE(CONTROL!$C$32, $C$9, 100%, $E$9)</f>
        <v>4.8623000000000003</v>
      </c>
    </row>
    <row r="207" spans="1:15" ht="15" x14ac:dyDescent="0.2">
      <c r="A207" s="16">
        <v>47150</v>
      </c>
      <c r="B207" s="10">
        <f>4.5368 * CHOOSE(CONTROL!$C$32, $C$9, 100%, $E$9)</f>
        <v>4.5368000000000004</v>
      </c>
      <c r="C207" s="10">
        <f>4.5368 * CHOOSE(CONTROL!$C$32, $C$9, 100%, $E$9)</f>
        <v>4.5368000000000004</v>
      </c>
      <c r="D207" s="10">
        <f>4.5377 * CHOOSE(CONTROL!$C$32, $C$9, 100%, $E$9)</f>
        <v>4.5377000000000001</v>
      </c>
      <c r="E207" s="9">
        <f>4.779 * CHOOSE(CONTROL!$C$32, $C$9, 100%, $E$9)</f>
        <v>4.7789999999999999</v>
      </c>
      <c r="F207" s="9">
        <f>4.779 * CHOOSE(CONTROL!$C$32, $C$9, 100%, $E$9)</f>
        <v>4.7789999999999999</v>
      </c>
      <c r="G207" s="9">
        <f>4.7823 * CHOOSE(CONTROL!$C$32, $C$9, 100%, $E$9)</f>
        <v>4.7823000000000002</v>
      </c>
      <c r="H207" s="9">
        <f>5.6732 * CHOOSE(CONTROL!$C$32, $C$9, 100%, $E$9)</f>
        <v>5.6731999999999996</v>
      </c>
      <c r="I207" s="9">
        <f>5.6765 * CHOOSE(CONTROL!$C$32, $C$9, 100%, $E$9)</f>
        <v>5.6764999999999999</v>
      </c>
      <c r="J207" s="9">
        <f>5.6732 * CHOOSE(CONTROL!$C$32, $C$9, 100%, $E$9)</f>
        <v>5.6731999999999996</v>
      </c>
      <c r="K207" s="9">
        <f>5.6765 * CHOOSE(CONTROL!$C$32, $C$9, 100%, $E$9)</f>
        <v>5.6764999999999999</v>
      </c>
      <c r="L207" s="9">
        <f>4.779 * CHOOSE(CONTROL!$C$32, $C$9, 100%, $E$9)</f>
        <v>4.7789999999999999</v>
      </c>
      <c r="M207" s="9">
        <f>4.7823 * CHOOSE(CONTROL!$C$32, $C$9, 100%, $E$9)</f>
        <v>4.7823000000000002</v>
      </c>
      <c r="N207" s="9">
        <f>4.779 * CHOOSE(CONTROL!$C$32, $C$9, 100%, $E$9)</f>
        <v>4.7789999999999999</v>
      </c>
      <c r="O207" s="9">
        <f>4.7823 * CHOOSE(CONTROL!$C$32, $C$9, 100%, $E$9)</f>
        <v>4.7823000000000002</v>
      </c>
    </row>
    <row r="208" spans="1:15" ht="15" x14ac:dyDescent="0.2">
      <c r="A208" s="16">
        <v>47178</v>
      </c>
      <c r="B208" s="10">
        <f>4.5337 * CHOOSE(CONTROL!$C$32, $C$9, 100%, $E$9)</f>
        <v>4.5336999999999996</v>
      </c>
      <c r="C208" s="10">
        <f>4.5337 * CHOOSE(CONTROL!$C$32, $C$9, 100%, $E$9)</f>
        <v>4.5336999999999996</v>
      </c>
      <c r="D208" s="10">
        <f>4.5347 * CHOOSE(CONTROL!$C$32, $C$9, 100%, $E$9)</f>
        <v>4.5347</v>
      </c>
      <c r="E208" s="9">
        <f>4.8384 * CHOOSE(CONTROL!$C$32, $C$9, 100%, $E$9)</f>
        <v>4.8384</v>
      </c>
      <c r="F208" s="9">
        <f>4.8384 * CHOOSE(CONTROL!$C$32, $C$9, 100%, $E$9)</f>
        <v>4.8384</v>
      </c>
      <c r="G208" s="9">
        <f>4.8416 * CHOOSE(CONTROL!$C$32, $C$9, 100%, $E$9)</f>
        <v>4.8415999999999997</v>
      </c>
      <c r="H208" s="9">
        <f>5.6712 * CHOOSE(CONTROL!$C$32, $C$9, 100%, $E$9)</f>
        <v>5.6711999999999998</v>
      </c>
      <c r="I208" s="9">
        <f>5.6745 * CHOOSE(CONTROL!$C$32, $C$9, 100%, $E$9)</f>
        <v>5.6745000000000001</v>
      </c>
      <c r="J208" s="9">
        <f>5.6712 * CHOOSE(CONTROL!$C$32, $C$9, 100%, $E$9)</f>
        <v>5.6711999999999998</v>
      </c>
      <c r="K208" s="9">
        <f>5.6745 * CHOOSE(CONTROL!$C$32, $C$9, 100%, $E$9)</f>
        <v>5.6745000000000001</v>
      </c>
      <c r="L208" s="9">
        <f>4.8384 * CHOOSE(CONTROL!$C$32, $C$9, 100%, $E$9)</f>
        <v>4.8384</v>
      </c>
      <c r="M208" s="9">
        <f>4.8416 * CHOOSE(CONTROL!$C$32, $C$9, 100%, $E$9)</f>
        <v>4.8415999999999997</v>
      </c>
      <c r="N208" s="9">
        <f>4.8384 * CHOOSE(CONTROL!$C$32, $C$9, 100%, $E$9)</f>
        <v>4.8384</v>
      </c>
      <c r="O208" s="9">
        <f>4.8416 * CHOOSE(CONTROL!$C$32, $C$9, 100%, $E$9)</f>
        <v>4.8415999999999997</v>
      </c>
    </row>
    <row r="209" spans="1:15" ht="15" x14ac:dyDescent="0.2">
      <c r="A209" s="16">
        <v>47209</v>
      </c>
      <c r="B209" s="10">
        <f>4.5321 * CHOOSE(CONTROL!$C$32, $C$9, 100%, $E$9)</f>
        <v>4.5320999999999998</v>
      </c>
      <c r="C209" s="10">
        <f>4.5321 * CHOOSE(CONTROL!$C$32, $C$9, 100%, $E$9)</f>
        <v>4.5320999999999998</v>
      </c>
      <c r="D209" s="10">
        <f>4.533 * CHOOSE(CONTROL!$C$32, $C$9, 100%, $E$9)</f>
        <v>4.5330000000000004</v>
      </c>
      <c r="E209" s="9">
        <f>4.9001 * CHOOSE(CONTROL!$C$32, $C$9, 100%, $E$9)</f>
        <v>4.9001000000000001</v>
      </c>
      <c r="F209" s="9">
        <f>4.9001 * CHOOSE(CONTROL!$C$32, $C$9, 100%, $E$9)</f>
        <v>4.9001000000000001</v>
      </c>
      <c r="G209" s="9">
        <f>4.9034 * CHOOSE(CONTROL!$C$32, $C$9, 100%, $E$9)</f>
        <v>4.9034000000000004</v>
      </c>
      <c r="H209" s="9">
        <f>5.67 * CHOOSE(CONTROL!$C$32, $C$9, 100%, $E$9)</f>
        <v>5.67</v>
      </c>
      <c r="I209" s="9">
        <f>5.6732 * CHOOSE(CONTROL!$C$32, $C$9, 100%, $E$9)</f>
        <v>5.6731999999999996</v>
      </c>
      <c r="J209" s="9">
        <f>5.67 * CHOOSE(CONTROL!$C$32, $C$9, 100%, $E$9)</f>
        <v>5.67</v>
      </c>
      <c r="K209" s="9">
        <f>5.6732 * CHOOSE(CONTROL!$C$32, $C$9, 100%, $E$9)</f>
        <v>5.6731999999999996</v>
      </c>
      <c r="L209" s="9">
        <f>4.9001 * CHOOSE(CONTROL!$C$32, $C$9, 100%, $E$9)</f>
        <v>4.9001000000000001</v>
      </c>
      <c r="M209" s="9">
        <f>4.9034 * CHOOSE(CONTROL!$C$32, $C$9, 100%, $E$9)</f>
        <v>4.9034000000000004</v>
      </c>
      <c r="N209" s="9">
        <f>4.9001 * CHOOSE(CONTROL!$C$32, $C$9, 100%, $E$9)</f>
        <v>4.9001000000000001</v>
      </c>
      <c r="O209" s="9">
        <f>4.9034 * CHOOSE(CONTROL!$C$32, $C$9, 100%, $E$9)</f>
        <v>4.9034000000000004</v>
      </c>
    </row>
    <row r="210" spans="1:15" ht="15" x14ac:dyDescent="0.2">
      <c r="A210" s="16">
        <v>47239</v>
      </c>
      <c r="B210" s="10">
        <f>4.5321 * CHOOSE(CONTROL!$C$32, $C$9, 100%, $E$9)</f>
        <v>4.5320999999999998</v>
      </c>
      <c r="C210" s="10">
        <f>4.5321 * CHOOSE(CONTROL!$C$32, $C$9, 100%, $E$9)</f>
        <v>4.5320999999999998</v>
      </c>
      <c r="D210" s="10">
        <f>4.5333 * CHOOSE(CONTROL!$C$32, $C$9, 100%, $E$9)</f>
        <v>4.5332999999999997</v>
      </c>
      <c r="E210" s="9">
        <f>4.9249 * CHOOSE(CONTROL!$C$32, $C$9, 100%, $E$9)</f>
        <v>4.9249000000000001</v>
      </c>
      <c r="F210" s="9">
        <f>4.9249 * CHOOSE(CONTROL!$C$32, $C$9, 100%, $E$9)</f>
        <v>4.9249000000000001</v>
      </c>
      <c r="G210" s="9">
        <f>4.9291 * CHOOSE(CONTROL!$C$32, $C$9, 100%, $E$9)</f>
        <v>4.9291</v>
      </c>
      <c r="H210" s="9">
        <f>5.67 * CHOOSE(CONTROL!$C$32, $C$9, 100%, $E$9)</f>
        <v>5.67</v>
      </c>
      <c r="I210" s="9">
        <f>5.6742 * CHOOSE(CONTROL!$C$32, $C$9, 100%, $E$9)</f>
        <v>5.6741999999999999</v>
      </c>
      <c r="J210" s="9">
        <f>5.67 * CHOOSE(CONTROL!$C$32, $C$9, 100%, $E$9)</f>
        <v>5.67</v>
      </c>
      <c r="K210" s="9">
        <f>5.6742 * CHOOSE(CONTROL!$C$32, $C$9, 100%, $E$9)</f>
        <v>5.6741999999999999</v>
      </c>
      <c r="L210" s="9">
        <f>4.9249 * CHOOSE(CONTROL!$C$32, $C$9, 100%, $E$9)</f>
        <v>4.9249000000000001</v>
      </c>
      <c r="M210" s="9">
        <f>4.9291 * CHOOSE(CONTROL!$C$32, $C$9, 100%, $E$9)</f>
        <v>4.9291</v>
      </c>
      <c r="N210" s="9">
        <f>4.9249 * CHOOSE(CONTROL!$C$32, $C$9, 100%, $E$9)</f>
        <v>4.9249000000000001</v>
      </c>
      <c r="O210" s="9">
        <f>4.9291 * CHOOSE(CONTROL!$C$32, $C$9, 100%, $E$9)</f>
        <v>4.9291</v>
      </c>
    </row>
    <row r="211" spans="1:15" ht="15" x14ac:dyDescent="0.2">
      <c r="A211" s="16">
        <v>47270</v>
      </c>
      <c r="B211" s="10">
        <f>4.5381 * CHOOSE(CONTROL!$C$32, $C$9, 100%, $E$9)</f>
        <v>4.5381</v>
      </c>
      <c r="C211" s="10">
        <f>4.5381 * CHOOSE(CONTROL!$C$32, $C$9, 100%, $E$9)</f>
        <v>4.5381</v>
      </c>
      <c r="D211" s="10">
        <f>4.5394 * CHOOSE(CONTROL!$C$32, $C$9, 100%, $E$9)</f>
        <v>4.5393999999999997</v>
      </c>
      <c r="E211" s="9">
        <f>4.9044 * CHOOSE(CONTROL!$C$32, $C$9, 100%, $E$9)</f>
        <v>4.9043999999999999</v>
      </c>
      <c r="F211" s="9">
        <f>4.9044 * CHOOSE(CONTROL!$C$32, $C$9, 100%, $E$9)</f>
        <v>4.9043999999999999</v>
      </c>
      <c r="G211" s="9">
        <f>4.9086 * CHOOSE(CONTROL!$C$32, $C$9, 100%, $E$9)</f>
        <v>4.9085999999999999</v>
      </c>
      <c r="H211" s="9">
        <f>5.674 * CHOOSE(CONTROL!$C$32, $C$9, 100%, $E$9)</f>
        <v>5.6740000000000004</v>
      </c>
      <c r="I211" s="9">
        <f>5.6782 * CHOOSE(CONTROL!$C$32, $C$9, 100%, $E$9)</f>
        <v>5.6782000000000004</v>
      </c>
      <c r="J211" s="9">
        <f>5.674 * CHOOSE(CONTROL!$C$32, $C$9, 100%, $E$9)</f>
        <v>5.6740000000000004</v>
      </c>
      <c r="K211" s="9">
        <f>5.6782 * CHOOSE(CONTROL!$C$32, $C$9, 100%, $E$9)</f>
        <v>5.6782000000000004</v>
      </c>
      <c r="L211" s="9">
        <f>4.9044 * CHOOSE(CONTROL!$C$32, $C$9, 100%, $E$9)</f>
        <v>4.9043999999999999</v>
      </c>
      <c r="M211" s="9">
        <f>4.9086 * CHOOSE(CONTROL!$C$32, $C$9, 100%, $E$9)</f>
        <v>4.9085999999999999</v>
      </c>
      <c r="N211" s="9">
        <f>4.9044 * CHOOSE(CONTROL!$C$32, $C$9, 100%, $E$9)</f>
        <v>4.9043999999999999</v>
      </c>
      <c r="O211" s="9">
        <f>4.9086 * CHOOSE(CONTROL!$C$32, $C$9, 100%, $E$9)</f>
        <v>4.9085999999999999</v>
      </c>
    </row>
    <row r="212" spans="1:15" ht="15" x14ac:dyDescent="0.2">
      <c r="A212" s="16">
        <v>47300</v>
      </c>
      <c r="B212" s="10">
        <f>4.6224 * CHOOSE(CONTROL!$C$32, $C$9, 100%, $E$9)</f>
        <v>4.6223999999999998</v>
      </c>
      <c r="C212" s="10">
        <f>4.6224 * CHOOSE(CONTROL!$C$32, $C$9, 100%, $E$9)</f>
        <v>4.6223999999999998</v>
      </c>
      <c r="D212" s="10">
        <f>4.6237 * CHOOSE(CONTROL!$C$32, $C$9, 100%, $E$9)</f>
        <v>4.6237000000000004</v>
      </c>
      <c r="E212" s="9">
        <f>4.9592 * CHOOSE(CONTROL!$C$32, $C$9, 100%, $E$9)</f>
        <v>4.9592000000000001</v>
      </c>
      <c r="F212" s="9">
        <f>4.9592 * CHOOSE(CONTROL!$C$32, $C$9, 100%, $E$9)</f>
        <v>4.9592000000000001</v>
      </c>
      <c r="G212" s="9">
        <f>4.9634 * CHOOSE(CONTROL!$C$32, $C$9, 100%, $E$9)</f>
        <v>4.9634</v>
      </c>
      <c r="H212" s="9">
        <f>5.7718 * CHOOSE(CONTROL!$C$32, $C$9, 100%, $E$9)</f>
        <v>5.7717999999999998</v>
      </c>
      <c r="I212" s="9">
        <f>5.776 * CHOOSE(CONTROL!$C$32, $C$9, 100%, $E$9)</f>
        <v>5.7759999999999998</v>
      </c>
      <c r="J212" s="9">
        <f>5.7718 * CHOOSE(CONTROL!$C$32, $C$9, 100%, $E$9)</f>
        <v>5.7717999999999998</v>
      </c>
      <c r="K212" s="9">
        <f>5.776 * CHOOSE(CONTROL!$C$32, $C$9, 100%, $E$9)</f>
        <v>5.7759999999999998</v>
      </c>
      <c r="L212" s="9">
        <f>4.9592 * CHOOSE(CONTROL!$C$32, $C$9, 100%, $E$9)</f>
        <v>4.9592000000000001</v>
      </c>
      <c r="M212" s="9">
        <f>4.9634 * CHOOSE(CONTROL!$C$32, $C$9, 100%, $E$9)</f>
        <v>4.9634</v>
      </c>
      <c r="N212" s="9">
        <f>4.9592 * CHOOSE(CONTROL!$C$32, $C$9, 100%, $E$9)</f>
        <v>4.9592000000000001</v>
      </c>
      <c r="O212" s="9">
        <f>4.9634 * CHOOSE(CONTROL!$C$32, $C$9, 100%, $E$9)</f>
        <v>4.9634</v>
      </c>
    </row>
    <row r="213" spans="1:15" ht="15" x14ac:dyDescent="0.2">
      <c r="A213" s="16">
        <v>47331</v>
      </c>
      <c r="B213" s="10">
        <f>4.6291 * CHOOSE(CONTROL!$C$32, $C$9, 100%, $E$9)</f>
        <v>4.6291000000000002</v>
      </c>
      <c r="C213" s="10">
        <f>4.6291 * CHOOSE(CONTROL!$C$32, $C$9, 100%, $E$9)</f>
        <v>4.6291000000000002</v>
      </c>
      <c r="D213" s="10">
        <f>4.6304 * CHOOSE(CONTROL!$C$32, $C$9, 100%, $E$9)</f>
        <v>4.6303999999999998</v>
      </c>
      <c r="E213" s="9">
        <f>4.8896 * CHOOSE(CONTROL!$C$32, $C$9, 100%, $E$9)</f>
        <v>4.8895999999999997</v>
      </c>
      <c r="F213" s="9">
        <f>4.8896 * CHOOSE(CONTROL!$C$32, $C$9, 100%, $E$9)</f>
        <v>4.8895999999999997</v>
      </c>
      <c r="G213" s="9">
        <f>4.8938 * CHOOSE(CONTROL!$C$32, $C$9, 100%, $E$9)</f>
        <v>4.8937999999999997</v>
      </c>
      <c r="H213" s="9">
        <f>5.7762 * CHOOSE(CONTROL!$C$32, $C$9, 100%, $E$9)</f>
        <v>5.7762000000000002</v>
      </c>
      <c r="I213" s="9">
        <f>5.7804 * CHOOSE(CONTROL!$C$32, $C$9, 100%, $E$9)</f>
        <v>5.7804000000000002</v>
      </c>
      <c r="J213" s="9">
        <f>5.7762 * CHOOSE(CONTROL!$C$32, $C$9, 100%, $E$9)</f>
        <v>5.7762000000000002</v>
      </c>
      <c r="K213" s="9">
        <f>5.7804 * CHOOSE(CONTROL!$C$32, $C$9, 100%, $E$9)</f>
        <v>5.7804000000000002</v>
      </c>
      <c r="L213" s="9">
        <f>4.8896 * CHOOSE(CONTROL!$C$32, $C$9, 100%, $E$9)</f>
        <v>4.8895999999999997</v>
      </c>
      <c r="M213" s="9">
        <f>4.8938 * CHOOSE(CONTROL!$C$32, $C$9, 100%, $E$9)</f>
        <v>4.8937999999999997</v>
      </c>
      <c r="N213" s="9">
        <f>4.8896 * CHOOSE(CONTROL!$C$32, $C$9, 100%, $E$9)</f>
        <v>4.8895999999999997</v>
      </c>
      <c r="O213" s="9">
        <f>4.8938 * CHOOSE(CONTROL!$C$32, $C$9, 100%, $E$9)</f>
        <v>4.8937999999999997</v>
      </c>
    </row>
    <row r="214" spans="1:15" ht="15" x14ac:dyDescent="0.2">
      <c r="A214" s="16">
        <v>47362</v>
      </c>
      <c r="B214" s="10">
        <f>4.6261 * CHOOSE(CONTROL!$C$32, $C$9, 100%, $E$9)</f>
        <v>4.6261000000000001</v>
      </c>
      <c r="C214" s="10">
        <f>4.6261 * CHOOSE(CONTROL!$C$32, $C$9, 100%, $E$9)</f>
        <v>4.6261000000000001</v>
      </c>
      <c r="D214" s="10">
        <f>4.6273 * CHOOSE(CONTROL!$C$32, $C$9, 100%, $E$9)</f>
        <v>4.6273</v>
      </c>
      <c r="E214" s="9">
        <f>4.8792 * CHOOSE(CONTROL!$C$32, $C$9, 100%, $E$9)</f>
        <v>4.8792</v>
      </c>
      <c r="F214" s="9">
        <f>4.8792 * CHOOSE(CONTROL!$C$32, $C$9, 100%, $E$9)</f>
        <v>4.8792</v>
      </c>
      <c r="G214" s="9">
        <f>4.8834 * CHOOSE(CONTROL!$C$32, $C$9, 100%, $E$9)</f>
        <v>4.8834</v>
      </c>
      <c r="H214" s="9">
        <f>5.7742 * CHOOSE(CONTROL!$C$32, $C$9, 100%, $E$9)</f>
        <v>5.7742000000000004</v>
      </c>
      <c r="I214" s="9">
        <f>5.7784 * CHOOSE(CONTROL!$C$32, $C$9, 100%, $E$9)</f>
        <v>5.7784000000000004</v>
      </c>
      <c r="J214" s="9">
        <f>5.7742 * CHOOSE(CONTROL!$C$32, $C$9, 100%, $E$9)</f>
        <v>5.7742000000000004</v>
      </c>
      <c r="K214" s="9">
        <f>5.7784 * CHOOSE(CONTROL!$C$32, $C$9, 100%, $E$9)</f>
        <v>5.7784000000000004</v>
      </c>
      <c r="L214" s="9">
        <f>4.8792 * CHOOSE(CONTROL!$C$32, $C$9, 100%, $E$9)</f>
        <v>4.8792</v>
      </c>
      <c r="M214" s="9">
        <f>4.8834 * CHOOSE(CONTROL!$C$32, $C$9, 100%, $E$9)</f>
        <v>4.8834</v>
      </c>
      <c r="N214" s="9">
        <f>4.8792 * CHOOSE(CONTROL!$C$32, $C$9, 100%, $E$9)</f>
        <v>4.8792</v>
      </c>
      <c r="O214" s="9">
        <f>4.8834 * CHOOSE(CONTROL!$C$32, $C$9, 100%, $E$9)</f>
        <v>4.8834</v>
      </c>
    </row>
    <row r="215" spans="1:15" ht="15" x14ac:dyDescent="0.2">
      <c r="A215" s="16">
        <v>47392</v>
      </c>
      <c r="B215" s="10">
        <f>4.6241 * CHOOSE(CONTROL!$C$32, $C$9, 100%, $E$9)</f>
        <v>4.6241000000000003</v>
      </c>
      <c r="C215" s="10">
        <f>4.6241 * CHOOSE(CONTROL!$C$32, $C$9, 100%, $E$9)</f>
        <v>4.6241000000000003</v>
      </c>
      <c r="D215" s="10">
        <f>4.625 * CHOOSE(CONTROL!$C$32, $C$9, 100%, $E$9)</f>
        <v>4.625</v>
      </c>
      <c r="E215" s="9">
        <f>4.8988 * CHOOSE(CONTROL!$C$32, $C$9, 100%, $E$9)</f>
        <v>4.8987999999999996</v>
      </c>
      <c r="F215" s="9">
        <f>4.8988 * CHOOSE(CONTROL!$C$32, $C$9, 100%, $E$9)</f>
        <v>4.8987999999999996</v>
      </c>
      <c r="G215" s="9">
        <f>4.902 * CHOOSE(CONTROL!$C$32, $C$9, 100%, $E$9)</f>
        <v>4.9020000000000001</v>
      </c>
      <c r="H215" s="9">
        <f>5.7722 * CHOOSE(CONTROL!$C$32, $C$9, 100%, $E$9)</f>
        <v>5.7721999999999998</v>
      </c>
      <c r="I215" s="9">
        <f>5.7754 * CHOOSE(CONTROL!$C$32, $C$9, 100%, $E$9)</f>
        <v>5.7754000000000003</v>
      </c>
      <c r="J215" s="9">
        <f>5.7722 * CHOOSE(CONTROL!$C$32, $C$9, 100%, $E$9)</f>
        <v>5.7721999999999998</v>
      </c>
      <c r="K215" s="9">
        <f>5.7754 * CHOOSE(CONTROL!$C$32, $C$9, 100%, $E$9)</f>
        <v>5.7754000000000003</v>
      </c>
      <c r="L215" s="9">
        <f>4.8988 * CHOOSE(CONTROL!$C$32, $C$9, 100%, $E$9)</f>
        <v>4.8987999999999996</v>
      </c>
      <c r="M215" s="9">
        <f>4.902 * CHOOSE(CONTROL!$C$32, $C$9, 100%, $E$9)</f>
        <v>4.9020000000000001</v>
      </c>
      <c r="N215" s="9">
        <f>4.8988 * CHOOSE(CONTROL!$C$32, $C$9, 100%, $E$9)</f>
        <v>4.8987999999999996</v>
      </c>
      <c r="O215" s="9">
        <f>4.902 * CHOOSE(CONTROL!$C$32, $C$9, 100%, $E$9)</f>
        <v>4.9020000000000001</v>
      </c>
    </row>
    <row r="216" spans="1:15" ht="15" x14ac:dyDescent="0.2">
      <c r="A216" s="16">
        <v>47423</v>
      </c>
      <c r="B216" s="10">
        <f>4.6271 * CHOOSE(CONTROL!$C$32, $C$9, 100%, $E$9)</f>
        <v>4.6271000000000004</v>
      </c>
      <c r="C216" s="10">
        <f>4.6271 * CHOOSE(CONTROL!$C$32, $C$9, 100%, $E$9)</f>
        <v>4.6271000000000004</v>
      </c>
      <c r="D216" s="10">
        <f>4.6281 * CHOOSE(CONTROL!$C$32, $C$9, 100%, $E$9)</f>
        <v>4.6280999999999999</v>
      </c>
      <c r="E216" s="9">
        <f>4.9174 * CHOOSE(CONTROL!$C$32, $C$9, 100%, $E$9)</f>
        <v>4.9173999999999998</v>
      </c>
      <c r="F216" s="9">
        <f>4.9174 * CHOOSE(CONTROL!$C$32, $C$9, 100%, $E$9)</f>
        <v>4.9173999999999998</v>
      </c>
      <c r="G216" s="9">
        <f>4.9207 * CHOOSE(CONTROL!$C$32, $C$9, 100%, $E$9)</f>
        <v>4.9207000000000001</v>
      </c>
      <c r="H216" s="9">
        <f>5.7742 * CHOOSE(CONTROL!$C$32, $C$9, 100%, $E$9)</f>
        <v>5.7742000000000004</v>
      </c>
      <c r="I216" s="9">
        <f>5.7774 * CHOOSE(CONTROL!$C$32, $C$9, 100%, $E$9)</f>
        <v>5.7774000000000001</v>
      </c>
      <c r="J216" s="9">
        <f>5.7742 * CHOOSE(CONTROL!$C$32, $C$9, 100%, $E$9)</f>
        <v>5.7742000000000004</v>
      </c>
      <c r="K216" s="9">
        <f>5.7774 * CHOOSE(CONTROL!$C$32, $C$9, 100%, $E$9)</f>
        <v>5.7774000000000001</v>
      </c>
      <c r="L216" s="9">
        <f>4.9174 * CHOOSE(CONTROL!$C$32, $C$9, 100%, $E$9)</f>
        <v>4.9173999999999998</v>
      </c>
      <c r="M216" s="9">
        <f>4.9207 * CHOOSE(CONTROL!$C$32, $C$9, 100%, $E$9)</f>
        <v>4.9207000000000001</v>
      </c>
      <c r="N216" s="9">
        <f>4.9174 * CHOOSE(CONTROL!$C$32, $C$9, 100%, $E$9)</f>
        <v>4.9173999999999998</v>
      </c>
      <c r="O216" s="9">
        <f>4.9207 * CHOOSE(CONTROL!$C$32, $C$9, 100%, $E$9)</f>
        <v>4.9207000000000001</v>
      </c>
    </row>
    <row r="217" spans="1:15" ht="15" x14ac:dyDescent="0.2">
      <c r="A217" s="16">
        <v>47453</v>
      </c>
      <c r="B217" s="10">
        <f>4.6271 * CHOOSE(CONTROL!$C$32, $C$9, 100%, $E$9)</f>
        <v>4.6271000000000004</v>
      </c>
      <c r="C217" s="10">
        <f>4.6271 * CHOOSE(CONTROL!$C$32, $C$9, 100%, $E$9)</f>
        <v>4.6271000000000004</v>
      </c>
      <c r="D217" s="10">
        <f>4.6281 * CHOOSE(CONTROL!$C$32, $C$9, 100%, $E$9)</f>
        <v>4.6280999999999999</v>
      </c>
      <c r="E217" s="9">
        <f>4.8762 * CHOOSE(CONTROL!$C$32, $C$9, 100%, $E$9)</f>
        <v>4.8761999999999999</v>
      </c>
      <c r="F217" s="9">
        <f>4.8762 * CHOOSE(CONTROL!$C$32, $C$9, 100%, $E$9)</f>
        <v>4.8761999999999999</v>
      </c>
      <c r="G217" s="9">
        <f>4.8794 * CHOOSE(CONTROL!$C$32, $C$9, 100%, $E$9)</f>
        <v>4.8794000000000004</v>
      </c>
      <c r="H217" s="9">
        <f>5.7742 * CHOOSE(CONTROL!$C$32, $C$9, 100%, $E$9)</f>
        <v>5.7742000000000004</v>
      </c>
      <c r="I217" s="9">
        <f>5.7774 * CHOOSE(CONTROL!$C$32, $C$9, 100%, $E$9)</f>
        <v>5.7774000000000001</v>
      </c>
      <c r="J217" s="9">
        <f>5.7742 * CHOOSE(CONTROL!$C$32, $C$9, 100%, $E$9)</f>
        <v>5.7742000000000004</v>
      </c>
      <c r="K217" s="9">
        <f>5.7774 * CHOOSE(CONTROL!$C$32, $C$9, 100%, $E$9)</f>
        <v>5.7774000000000001</v>
      </c>
      <c r="L217" s="9">
        <f>4.8762 * CHOOSE(CONTROL!$C$32, $C$9, 100%, $E$9)</f>
        <v>4.8761999999999999</v>
      </c>
      <c r="M217" s="9">
        <f>4.8794 * CHOOSE(CONTROL!$C$32, $C$9, 100%, $E$9)</f>
        <v>4.8794000000000004</v>
      </c>
      <c r="N217" s="9">
        <f>4.8762 * CHOOSE(CONTROL!$C$32, $C$9, 100%, $E$9)</f>
        <v>4.8761999999999999</v>
      </c>
      <c r="O217" s="9">
        <f>4.8794 * CHOOSE(CONTROL!$C$32, $C$9, 100%, $E$9)</f>
        <v>4.8794000000000004</v>
      </c>
    </row>
    <row r="218" spans="1:15" ht="15" x14ac:dyDescent="0.2">
      <c r="A218" s="16">
        <v>47484</v>
      </c>
      <c r="B218" s="10">
        <f>4.6574 * CHOOSE(CONTROL!$C$32, $C$9, 100%, $E$9)</f>
        <v>4.6574</v>
      </c>
      <c r="C218" s="10">
        <f>4.6574 * CHOOSE(CONTROL!$C$32, $C$9, 100%, $E$9)</f>
        <v>4.6574</v>
      </c>
      <c r="D218" s="10">
        <f>4.6583 * CHOOSE(CONTROL!$C$32, $C$9, 100%, $E$9)</f>
        <v>4.6582999999999997</v>
      </c>
      <c r="E218" s="9">
        <f>4.9309 * CHOOSE(CONTROL!$C$32, $C$9, 100%, $E$9)</f>
        <v>4.9309000000000003</v>
      </c>
      <c r="F218" s="9">
        <f>4.9309 * CHOOSE(CONTROL!$C$32, $C$9, 100%, $E$9)</f>
        <v>4.9309000000000003</v>
      </c>
      <c r="G218" s="9">
        <f>4.9342 * CHOOSE(CONTROL!$C$32, $C$9, 100%, $E$9)</f>
        <v>4.9341999999999997</v>
      </c>
      <c r="H218" s="9">
        <f>5.8115 * CHOOSE(CONTROL!$C$32, $C$9, 100%, $E$9)</f>
        <v>5.8114999999999997</v>
      </c>
      <c r="I218" s="9">
        <f>5.8147 * CHOOSE(CONTROL!$C$32, $C$9, 100%, $E$9)</f>
        <v>5.8147000000000002</v>
      </c>
      <c r="J218" s="9">
        <f>5.8115 * CHOOSE(CONTROL!$C$32, $C$9, 100%, $E$9)</f>
        <v>5.8114999999999997</v>
      </c>
      <c r="K218" s="9">
        <f>5.8147 * CHOOSE(CONTROL!$C$32, $C$9, 100%, $E$9)</f>
        <v>5.8147000000000002</v>
      </c>
      <c r="L218" s="9">
        <f>4.9309 * CHOOSE(CONTROL!$C$32, $C$9, 100%, $E$9)</f>
        <v>4.9309000000000003</v>
      </c>
      <c r="M218" s="9">
        <f>4.9342 * CHOOSE(CONTROL!$C$32, $C$9, 100%, $E$9)</f>
        <v>4.9341999999999997</v>
      </c>
      <c r="N218" s="9">
        <f>4.9309 * CHOOSE(CONTROL!$C$32, $C$9, 100%, $E$9)</f>
        <v>4.9309000000000003</v>
      </c>
      <c r="O218" s="9">
        <f>4.9342 * CHOOSE(CONTROL!$C$32, $C$9, 100%, $E$9)</f>
        <v>4.9341999999999997</v>
      </c>
    </row>
    <row r="219" spans="1:15" ht="15" x14ac:dyDescent="0.2">
      <c r="A219" s="16">
        <v>47515</v>
      </c>
      <c r="B219" s="10">
        <f>4.6543 * CHOOSE(CONTROL!$C$32, $C$9, 100%, $E$9)</f>
        <v>4.6543000000000001</v>
      </c>
      <c r="C219" s="10">
        <f>4.6543 * CHOOSE(CONTROL!$C$32, $C$9, 100%, $E$9)</f>
        <v>4.6543000000000001</v>
      </c>
      <c r="D219" s="10">
        <f>4.6553 * CHOOSE(CONTROL!$C$32, $C$9, 100%, $E$9)</f>
        <v>4.6553000000000004</v>
      </c>
      <c r="E219" s="9">
        <f>4.8488 * CHOOSE(CONTROL!$C$32, $C$9, 100%, $E$9)</f>
        <v>4.8487999999999998</v>
      </c>
      <c r="F219" s="9">
        <f>4.8488 * CHOOSE(CONTROL!$C$32, $C$9, 100%, $E$9)</f>
        <v>4.8487999999999998</v>
      </c>
      <c r="G219" s="9">
        <f>4.8521 * CHOOSE(CONTROL!$C$32, $C$9, 100%, $E$9)</f>
        <v>4.8521000000000001</v>
      </c>
      <c r="H219" s="9">
        <f>5.8095 * CHOOSE(CONTROL!$C$32, $C$9, 100%, $E$9)</f>
        <v>5.8094999999999999</v>
      </c>
      <c r="I219" s="9">
        <f>5.8127 * CHOOSE(CONTROL!$C$32, $C$9, 100%, $E$9)</f>
        <v>5.8127000000000004</v>
      </c>
      <c r="J219" s="9">
        <f>5.8095 * CHOOSE(CONTROL!$C$32, $C$9, 100%, $E$9)</f>
        <v>5.8094999999999999</v>
      </c>
      <c r="K219" s="9">
        <f>5.8127 * CHOOSE(CONTROL!$C$32, $C$9, 100%, $E$9)</f>
        <v>5.8127000000000004</v>
      </c>
      <c r="L219" s="9">
        <f>4.8488 * CHOOSE(CONTROL!$C$32, $C$9, 100%, $E$9)</f>
        <v>4.8487999999999998</v>
      </c>
      <c r="M219" s="9">
        <f>4.8521 * CHOOSE(CONTROL!$C$32, $C$9, 100%, $E$9)</f>
        <v>4.8521000000000001</v>
      </c>
      <c r="N219" s="9">
        <f>4.8488 * CHOOSE(CONTROL!$C$32, $C$9, 100%, $E$9)</f>
        <v>4.8487999999999998</v>
      </c>
      <c r="O219" s="9">
        <f>4.8521 * CHOOSE(CONTROL!$C$32, $C$9, 100%, $E$9)</f>
        <v>4.8521000000000001</v>
      </c>
    </row>
    <row r="220" spans="1:15" ht="15" x14ac:dyDescent="0.2">
      <c r="A220" s="16">
        <v>47543</v>
      </c>
      <c r="B220" s="10">
        <f>4.6513 * CHOOSE(CONTROL!$C$32, $C$9, 100%, $E$9)</f>
        <v>4.6513</v>
      </c>
      <c r="C220" s="10">
        <f>4.6513 * CHOOSE(CONTROL!$C$32, $C$9, 100%, $E$9)</f>
        <v>4.6513</v>
      </c>
      <c r="D220" s="10">
        <f>4.6522 * CHOOSE(CONTROL!$C$32, $C$9, 100%, $E$9)</f>
        <v>4.6521999999999997</v>
      </c>
      <c r="E220" s="9">
        <f>4.9098 * CHOOSE(CONTROL!$C$32, $C$9, 100%, $E$9)</f>
        <v>4.9097999999999997</v>
      </c>
      <c r="F220" s="9">
        <f>4.9098 * CHOOSE(CONTROL!$C$32, $C$9, 100%, $E$9)</f>
        <v>4.9097999999999997</v>
      </c>
      <c r="G220" s="9">
        <f>4.913 * CHOOSE(CONTROL!$C$32, $C$9, 100%, $E$9)</f>
        <v>4.9130000000000003</v>
      </c>
      <c r="H220" s="9">
        <f>5.8075 * CHOOSE(CONTROL!$C$32, $C$9, 100%, $E$9)</f>
        <v>5.8075000000000001</v>
      </c>
      <c r="I220" s="9">
        <f>5.8107 * CHOOSE(CONTROL!$C$32, $C$9, 100%, $E$9)</f>
        <v>5.8106999999999998</v>
      </c>
      <c r="J220" s="9">
        <f>5.8075 * CHOOSE(CONTROL!$C$32, $C$9, 100%, $E$9)</f>
        <v>5.8075000000000001</v>
      </c>
      <c r="K220" s="9">
        <f>5.8107 * CHOOSE(CONTROL!$C$32, $C$9, 100%, $E$9)</f>
        <v>5.8106999999999998</v>
      </c>
      <c r="L220" s="9">
        <f>4.9098 * CHOOSE(CONTROL!$C$32, $C$9, 100%, $E$9)</f>
        <v>4.9097999999999997</v>
      </c>
      <c r="M220" s="9">
        <f>4.913 * CHOOSE(CONTROL!$C$32, $C$9, 100%, $E$9)</f>
        <v>4.9130000000000003</v>
      </c>
      <c r="N220" s="9">
        <f>4.9098 * CHOOSE(CONTROL!$C$32, $C$9, 100%, $E$9)</f>
        <v>4.9097999999999997</v>
      </c>
      <c r="O220" s="9">
        <f>4.913 * CHOOSE(CONTROL!$C$32, $C$9, 100%, $E$9)</f>
        <v>4.9130000000000003</v>
      </c>
    </row>
    <row r="221" spans="1:15" ht="15" x14ac:dyDescent="0.2">
      <c r="A221" s="16">
        <v>47574</v>
      </c>
      <c r="B221" s="10">
        <f>4.6497 * CHOOSE(CONTROL!$C$32, $C$9, 100%, $E$9)</f>
        <v>4.6497000000000002</v>
      </c>
      <c r="C221" s="10">
        <f>4.6497 * CHOOSE(CONTROL!$C$32, $C$9, 100%, $E$9)</f>
        <v>4.6497000000000002</v>
      </c>
      <c r="D221" s="10">
        <f>4.6507 * CHOOSE(CONTROL!$C$32, $C$9, 100%, $E$9)</f>
        <v>4.6506999999999996</v>
      </c>
      <c r="E221" s="9">
        <f>4.9732 * CHOOSE(CONTROL!$C$32, $C$9, 100%, $E$9)</f>
        <v>4.9732000000000003</v>
      </c>
      <c r="F221" s="9">
        <f>4.9732 * CHOOSE(CONTROL!$C$32, $C$9, 100%, $E$9)</f>
        <v>4.9732000000000003</v>
      </c>
      <c r="G221" s="9">
        <f>4.9765 * CHOOSE(CONTROL!$C$32, $C$9, 100%, $E$9)</f>
        <v>4.9764999999999997</v>
      </c>
      <c r="H221" s="9">
        <f>5.8063 * CHOOSE(CONTROL!$C$32, $C$9, 100%, $E$9)</f>
        <v>5.8063000000000002</v>
      </c>
      <c r="I221" s="9">
        <f>5.8095 * CHOOSE(CONTROL!$C$32, $C$9, 100%, $E$9)</f>
        <v>5.8094999999999999</v>
      </c>
      <c r="J221" s="9">
        <f>5.8063 * CHOOSE(CONTROL!$C$32, $C$9, 100%, $E$9)</f>
        <v>5.8063000000000002</v>
      </c>
      <c r="K221" s="9">
        <f>5.8095 * CHOOSE(CONTROL!$C$32, $C$9, 100%, $E$9)</f>
        <v>5.8094999999999999</v>
      </c>
      <c r="L221" s="9">
        <f>4.9732 * CHOOSE(CONTROL!$C$32, $C$9, 100%, $E$9)</f>
        <v>4.9732000000000003</v>
      </c>
      <c r="M221" s="9">
        <f>4.9765 * CHOOSE(CONTROL!$C$32, $C$9, 100%, $E$9)</f>
        <v>4.9764999999999997</v>
      </c>
      <c r="N221" s="9">
        <f>4.9732 * CHOOSE(CONTROL!$C$32, $C$9, 100%, $E$9)</f>
        <v>4.9732000000000003</v>
      </c>
      <c r="O221" s="9">
        <f>4.9765 * CHOOSE(CONTROL!$C$32, $C$9, 100%, $E$9)</f>
        <v>4.9764999999999997</v>
      </c>
    </row>
    <row r="222" spans="1:15" ht="15" x14ac:dyDescent="0.2">
      <c r="A222" s="16">
        <v>47604</v>
      </c>
      <c r="B222" s="10">
        <f>4.6497 * CHOOSE(CONTROL!$C$32, $C$9, 100%, $E$9)</f>
        <v>4.6497000000000002</v>
      </c>
      <c r="C222" s="10">
        <f>4.6497 * CHOOSE(CONTROL!$C$32, $C$9, 100%, $E$9)</f>
        <v>4.6497000000000002</v>
      </c>
      <c r="D222" s="10">
        <f>4.651 * CHOOSE(CONTROL!$C$32, $C$9, 100%, $E$9)</f>
        <v>4.6509999999999998</v>
      </c>
      <c r="E222" s="9">
        <f>4.9986 * CHOOSE(CONTROL!$C$32, $C$9, 100%, $E$9)</f>
        <v>4.9985999999999997</v>
      </c>
      <c r="F222" s="9">
        <f>4.9986 * CHOOSE(CONTROL!$C$32, $C$9, 100%, $E$9)</f>
        <v>4.9985999999999997</v>
      </c>
      <c r="G222" s="9">
        <f>5.0028 * CHOOSE(CONTROL!$C$32, $C$9, 100%, $E$9)</f>
        <v>5.0027999999999997</v>
      </c>
      <c r="H222" s="9">
        <f>5.8063 * CHOOSE(CONTROL!$C$32, $C$9, 100%, $E$9)</f>
        <v>5.8063000000000002</v>
      </c>
      <c r="I222" s="9">
        <f>5.8105 * CHOOSE(CONTROL!$C$32, $C$9, 100%, $E$9)</f>
        <v>5.8105000000000002</v>
      </c>
      <c r="J222" s="9">
        <f>5.8063 * CHOOSE(CONTROL!$C$32, $C$9, 100%, $E$9)</f>
        <v>5.8063000000000002</v>
      </c>
      <c r="K222" s="9">
        <f>5.8105 * CHOOSE(CONTROL!$C$32, $C$9, 100%, $E$9)</f>
        <v>5.8105000000000002</v>
      </c>
      <c r="L222" s="9">
        <f>4.9986 * CHOOSE(CONTROL!$C$32, $C$9, 100%, $E$9)</f>
        <v>4.9985999999999997</v>
      </c>
      <c r="M222" s="9">
        <f>5.0028 * CHOOSE(CONTROL!$C$32, $C$9, 100%, $E$9)</f>
        <v>5.0027999999999997</v>
      </c>
      <c r="N222" s="9">
        <f>4.9986 * CHOOSE(CONTROL!$C$32, $C$9, 100%, $E$9)</f>
        <v>4.9985999999999997</v>
      </c>
      <c r="O222" s="9">
        <f>5.0028 * CHOOSE(CONTROL!$C$32, $C$9, 100%, $E$9)</f>
        <v>5.0027999999999997</v>
      </c>
    </row>
    <row r="223" spans="1:15" ht="15" x14ac:dyDescent="0.2">
      <c r="A223" s="16">
        <v>47635</v>
      </c>
      <c r="B223" s="10">
        <f>4.6558 * CHOOSE(CONTROL!$C$32, $C$9, 100%, $E$9)</f>
        <v>4.6558000000000002</v>
      </c>
      <c r="C223" s="10">
        <f>4.6558 * CHOOSE(CONTROL!$C$32, $C$9, 100%, $E$9)</f>
        <v>4.6558000000000002</v>
      </c>
      <c r="D223" s="10">
        <f>4.6571 * CHOOSE(CONTROL!$C$32, $C$9, 100%, $E$9)</f>
        <v>4.6570999999999998</v>
      </c>
      <c r="E223" s="9">
        <f>4.9775 * CHOOSE(CONTROL!$C$32, $C$9, 100%, $E$9)</f>
        <v>4.9775</v>
      </c>
      <c r="F223" s="9">
        <f>4.9775 * CHOOSE(CONTROL!$C$32, $C$9, 100%, $E$9)</f>
        <v>4.9775</v>
      </c>
      <c r="G223" s="9">
        <f>4.9817 * CHOOSE(CONTROL!$C$32, $C$9, 100%, $E$9)</f>
        <v>4.9817</v>
      </c>
      <c r="H223" s="9">
        <f>5.8103 * CHOOSE(CONTROL!$C$32, $C$9, 100%, $E$9)</f>
        <v>5.8102999999999998</v>
      </c>
      <c r="I223" s="9">
        <f>5.8145 * CHOOSE(CONTROL!$C$32, $C$9, 100%, $E$9)</f>
        <v>5.8144999999999998</v>
      </c>
      <c r="J223" s="9">
        <f>5.8103 * CHOOSE(CONTROL!$C$32, $C$9, 100%, $E$9)</f>
        <v>5.8102999999999998</v>
      </c>
      <c r="K223" s="9">
        <f>5.8145 * CHOOSE(CONTROL!$C$32, $C$9, 100%, $E$9)</f>
        <v>5.8144999999999998</v>
      </c>
      <c r="L223" s="9">
        <f>4.9775 * CHOOSE(CONTROL!$C$32, $C$9, 100%, $E$9)</f>
        <v>4.9775</v>
      </c>
      <c r="M223" s="9">
        <f>4.9817 * CHOOSE(CONTROL!$C$32, $C$9, 100%, $E$9)</f>
        <v>4.9817</v>
      </c>
      <c r="N223" s="9">
        <f>4.9775 * CHOOSE(CONTROL!$C$32, $C$9, 100%, $E$9)</f>
        <v>4.9775</v>
      </c>
      <c r="O223" s="9">
        <f>4.9817 * CHOOSE(CONTROL!$C$32, $C$9, 100%, $E$9)</f>
        <v>4.9817</v>
      </c>
    </row>
    <row r="224" spans="1:15" ht="15" x14ac:dyDescent="0.2">
      <c r="A224" s="16">
        <v>47665</v>
      </c>
      <c r="B224" s="10">
        <f>4.708 * CHOOSE(CONTROL!$C$32, $C$9, 100%, $E$9)</f>
        <v>4.7080000000000002</v>
      </c>
      <c r="C224" s="10">
        <f>4.708 * CHOOSE(CONTROL!$C$32, $C$9, 100%, $E$9)</f>
        <v>4.7080000000000002</v>
      </c>
      <c r="D224" s="10">
        <f>4.7092 * CHOOSE(CONTROL!$C$32, $C$9, 100%, $E$9)</f>
        <v>4.7092000000000001</v>
      </c>
      <c r="E224" s="9">
        <f>5.0294 * CHOOSE(CONTROL!$C$32, $C$9, 100%, $E$9)</f>
        <v>5.0293999999999999</v>
      </c>
      <c r="F224" s="9">
        <f>5.0294 * CHOOSE(CONTROL!$C$32, $C$9, 100%, $E$9)</f>
        <v>5.0293999999999999</v>
      </c>
      <c r="G224" s="9">
        <f>5.0336 * CHOOSE(CONTROL!$C$32, $C$9, 100%, $E$9)</f>
        <v>5.0335999999999999</v>
      </c>
      <c r="H224" s="9">
        <f>5.8881 * CHOOSE(CONTROL!$C$32, $C$9, 100%, $E$9)</f>
        <v>5.8880999999999997</v>
      </c>
      <c r="I224" s="9">
        <f>5.8923 * CHOOSE(CONTROL!$C$32, $C$9, 100%, $E$9)</f>
        <v>5.8922999999999996</v>
      </c>
      <c r="J224" s="9">
        <f>5.8881 * CHOOSE(CONTROL!$C$32, $C$9, 100%, $E$9)</f>
        <v>5.8880999999999997</v>
      </c>
      <c r="K224" s="9">
        <f>5.8923 * CHOOSE(CONTROL!$C$32, $C$9, 100%, $E$9)</f>
        <v>5.8922999999999996</v>
      </c>
      <c r="L224" s="9">
        <f>5.0294 * CHOOSE(CONTROL!$C$32, $C$9, 100%, $E$9)</f>
        <v>5.0293999999999999</v>
      </c>
      <c r="M224" s="9">
        <f>5.0336 * CHOOSE(CONTROL!$C$32, $C$9, 100%, $E$9)</f>
        <v>5.0335999999999999</v>
      </c>
      <c r="N224" s="9">
        <f>5.0294 * CHOOSE(CONTROL!$C$32, $C$9, 100%, $E$9)</f>
        <v>5.0293999999999999</v>
      </c>
      <c r="O224" s="9">
        <f>5.0336 * CHOOSE(CONTROL!$C$32, $C$9, 100%, $E$9)</f>
        <v>5.0335999999999999</v>
      </c>
    </row>
    <row r="225" spans="1:15" ht="15" x14ac:dyDescent="0.2">
      <c r="A225" s="16">
        <v>47696</v>
      </c>
      <c r="B225" s="10">
        <f>4.7147 * CHOOSE(CONTROL!$C$32, $C$9, 100%, $E$9)</f>
        <v>4.7146999999999997</v>
      </c>
      <c r="C225" s="10">
        <f>4.7147 * CHOOSE(CONTROL!$C$32, $C$9, 100%, $E$9)</f>
        <v>4.7146999999999997</v>
      </c>
      <c r="D225" s="10">
        <f>4.7159 * CHOOSE(CONTROL!$C$32, $C$9, 100%, $E$9)</f>
        <v>4.7159000000000004</v>
      </c>
      <c r="E225" s="9">
        <f>4.9579 * CHOOSE(CONTROL!$C$32, $C$9, 100%, $E$9)</f>
        <v>4.9579000000000004</v>
      </c>
      <c r="F225" s="9">
        <f>4.9579 * CHOOSE(CONTROL!$C$32, $C$9, 100%, $E$9)</f>
        <v>4.9579000000000004</v>
      </c>
      <c r="G225" s="9">
        <f>4.9621 * CHOOSE(CONTROL!$C$32, $C$9, 100%, $E$9)</f>
        <v>4.9621000000000004</v>
      </c>
      <c r="H225" s="9">
        <f>5.8925 * CHOOSE(CONTROL!$C$32, $C$9, 100%, $E$9)</f>
        <v>5.8925000000000001</v>
      </c>
      <c r="I225" s="9">
        <f>5.8967 * CHOOSE(CONTROL!$C$32, $C$9, 100%, $E$9)</f>
        <v>5.8967000000000001</v>
      </c>
      <c r="J225" s="9">
        <f>5.8925 * CHOOSE(CONTROL!$C$32, $C$9, 100%, $E$9)</f>
        <v>5.8925000000000001</v>
      </c>
      <c r="K225" s="9">
        <f>5.8967 * CHOOSE(CONTROL!$C$32, $C$9, 100%, $E$9)</f>
        <v>5.8967000000000001</v>
      </c>
      <c r="L225" s="9">
        <f>4.9579 * CHOOSE(CONTROL!$C$32, $C$9, 100%, $E$9)</f>
        <v>4.9579000000000004</v>
      </c>
      <c r="M225" s="9">
        <f>4.9621 * CHOOSE(CONTROL!$C$32, $C$9, 100%, $E$9)</f>
        <v>4.9621000000000004</v>
      </c>
      <c r="N225" s="9">
        <f>4.9579 * CHOOSE(CONTROL!$C$32, $C$9, 100%, $E$9)</f>
        <v>4.9579000000000004</v>
      </c>
      <c r="O225" s="9">
        <f>4.9621 * CHOOSE(CONTROL!$C$32, $C$9, 100%, $E$9)</f>
        <v>4.9621000000000004</v>
      </c>
    </row>
    <row r="226" spans="1:15" ht="15" x14ac:dyDescent="0.2">
      <c r="A226" s="16">
        <v>47727</v>
      </c>
      <c r="B226" s="10">
        <f>4.7116 * CHOOSE(CONTROL!$C$32, $C$9, 100%, $E$9)</f>
        <v>4.7115999999999998</v>
      </c>
      <c r="C226" s="10">
        <f>4.7116 * CHOOSE(CONTROL!$C$32, $C$9, 100%, $E$9)</f>
        <v>4.7115999999999998</v>
      </c>
      <c r="D226" s="10">
        <f>4.7129 * CHOOSE(CONTROL!$C$32, $C$9, 100%, $E$9)</f>
        <v>4.7129000000000003</v>
      </c>
      <c r="E226" s="9">
        <f>4.9473 * CHOOSE(CONTROL!$C$32, $C$9, 100%, $E$9)</f>
        <v>4.9473000000000003</v>
      </c>
      <c r="F226" s="9">
        <f>4.9473 * CHOOSE(CONTROL!$C$32, $C$9, 100%, $E$9)</f>
        <v>4.9473000000000003</v>
      </c>
      <c r="G226" s="9">
        <f>4.9515 * CHOOSE(CONTROL!$C$32, $C$9, 100%, $E$9)</f>
        <v>4.9515000000000002</v>
      </c>
      <c r="H226" s="9">
        <f>5.8905 * CHOOSE(CONTROL!$C$32, $C$9, 100%, $E$9)</f>
        <v>5.8905000000000003</v>
      </c>
      <c r="I226" s="9">
        <f>5.8947 * CHOOSE(CONTROL!$C$32, $C$9, 100%, $E$9)</f>
        <v>5.8947000000000003</v>
      </c>
      <c r="J226" s="9">
        <f>5.8905 * CHOOSE(CONTROL!$C$32, $C$9, 100%, $E$9)</f>
        <v>5.8905000000000003</v>
      </c>
      <c r="K226" s="9">
        <f>5.8947 * CHOOSE(CONTROL!$C$32, $C$9, 100%, $E$9)</f>
        <v>5.8947000000000003</v>
      </c>
      <c r="L226" s="9">
        <f>4.9473 * CHOOSE(CONTROL!$C$32, $C$9, 100%, $E$9)</f>
        <v>4.9473000000000003</v>
      </c>
      <c r="M226" s="9">
        <f>4.9515 * CHOOSE(CONTROL!$C$32, $C$9, 100%, $E$9)</f>
        <v>4.9515000000000002</v>
      </c>
      <c r="N226" s="9">
        <f>4.9473 * CHOOSE(CONTROL!$C$32, $C$9, 100%, $E$9)</f>
        <v>4.9473000000000003</v>
      </c>
      <c r="O226" s="9">
        <f>4.9515 * CHOOSE(CONTROL!$C$32, $C$9, 100%, $E$9)</f>
        <v>4.9515000000000002</v>
      </c>
    </row>
    <row r="227" spans="1:15" ht="15" x14ac:dyDescent="0.2">
      <c r="A227" s="16">
        <v>47757</v>
      </c>
      <c r="B227" s="10">
        <f>4.7099 * CHOOSE(CONTROL!$C$32, $C$9, 100%, $E$9)</f>
        <v>4.7099000000000002</v>
      </c>
      <c r="C227" s="10">
        <f>4.7099 * CHOOSE(CONTROL!$C$32, $C$9, 100%, $E$9)</f>
        <v>4.7099000000000002</v>
      </c>
      <c r="D227" s="10">
        <f>4.7109 * CHOOSE(CONTROL!$C$32, $C$9, 100%, $E$9)</f>
        <v>4.7108999999999996</v>
      </c>
      <c r="E227" s="9">
        <f>4.9677 * CHOOSE(CONTROL!$C$32, $C$9, 100%, $E$9)</f>
        <v>4.9676999999999998</v>
      </c>
      <c r="F227" s="9">
        <f>4.9677 * CHOOSE(CONTROL!$C$32, $C$9, 100%, $E$9)</f>
        <v>4.9676999999999998</v>
      </c>
      <c r="G227" s="9">
        <f>4.971 * CHOOSE(CONTROL!$C$32, $C$9, 100%, $E$9)</f>
        <v>4.9710000000000001</v>
      </c>
      <c r="H227" s="9">
        <f>5.8887 * CHOOSE(CONTROL!$C$32, $C$9, 100%, $E$9)</f>
        <v>5.8887</v>
      </c>
      <c r="I227" s="9">
        <f>5.8919 * CHOOSE(CONTROL!$C$32, $C$9, 100%, $E$9)</f>
        <v>5.8918999999999997</v>
      </c>
      <c r="J227" s="9">
        <f>5.8887 * CHOOSE(CONTROL!$C$32, $C$9, 100%, $E$9)</f>
        <v>5.8887</v>
      </c>
      <c r="K227" s="9">
        <f>5.8919 * CHOOSE(CONTROL!$C$32, $C$9, 100%, $E$9)</f>
        <v>5.8918999999999997</v>
      </c>
      <c r="L227" s="9">
        <f>4.9677 * CHOOSE(CONTROL!$C$32, $C$9, 100%, $E$9)</f>
        <v>4.9676999999999998</v>
      </c>
      <c r="M227" s="9">
        <f>4.971 * CHOOSE(CONTROL!$C$32, $C$9, 100%, $E$9)</f>
        <v>4.9710000000000001</v>
      </c>
      <c r="N227" s="9">
        <f>4.9677 * CHOOSE(CONTROL!$C$32, $C$9, 100%, $E$9)</f>
        <v>4.9676999999999998</v>
      </c>
      <c r="O227" s="9">
        <f>4.971 * CHOOSE(CONTROL!$C$32, $C$9, 100%, $E$9)</f>
        <v>4.9710000000000001</v>
      </c>
    </row>
    <row r="228" spans="1:15" ht="15" x14ac:dyDescent="0.2">
      <c r="A228" s="16">
        <v>47788</v>
      </c>
      <c r="B228" s="10">
        <f>4.713 * CHOOSE(CONTROL!$C$32, $C$9, 100%, $E$9)</f>
        <v>4.7130000000000001</v>
      </c>
      <c r="C228" s="10">
        <f>4.713 * CHOOSE(CONTROL!$C$32, $C$9, 100%, $E$9)</f>
        <v>4.7130000000000001</v>
      </c>
      <c r="D228" s="10">
        <f>4.7139 * CHOOSE(CONTROL!$C$32, $C$9, 100%, $E$9)</f>
        <v>4.7138999999999998</v>
      </c>
      <c r="E228" s="9">
        <f>4.9868 * CHOOSE(CONTROL!$C$32, $C$9, 100%, $E$9)</f>
        <v>4.9867999999999997</v>
      </c>
      <c r="F228" s="9">
        <f>4.9868 * CHOOSE(CONTROL!$C$32, $C$9, 100%, $E$9)</f>
        <v>4.9867999999999997</v>
      </c>
      <c r="G228" s="9">
        <f>4.99 * CHOOSE(CONTROL!$C$32, $C$9, 100%, $E$9)</f>
        <v>4.99</v>
      </c>
      <c r="H228" s="9">
        <f>5.8907 * CHOOSE(CONTROL!$C$32, $C$9, 100%, $E$9)</f>
        <v>5.8906999999999998</v>
      </c>
      <c r="I228" s="9">
        <f>5.8939 * CHOOSE(CONTROL!$C$32, $C$9, 100%, $E$9)</f>
        <v>5.8939000000000004</v>
      </c>
      <c r="J228" s="9">
        <f>5.8907 * CHOOSE(CONTROL!$C$32, $C$9, 100%, $E$9)</f>
        <v>5.8906999999999998</v>
      </c>
      <c r="K228" s="9">
        <f>5.8939 * CHOOSE(CONTROL!$C$32, $C$9, 100%, $E$9)</f>
        <v>5.8939000000000004</v>
      </c>
      <c r="L228" s="9">
        <f>4.9868 * CHOOSE(CONTROL!$C$32, $C$9, 100%, $E$9)</f>
        <v>4.9867999999999997</v>
      </c>
      <c r="M228" s="9">
        <f>4.99 * CHOOSE(CONTROL!$C$32, $C$9, 100%, $E$9)</f>
        <v>4.99</v>
      </c>
      <c r="N228" s="9">
        <f>4.9868 * CHOOSE(CONTROL!$C$32, $C$9, 100%, $E$9)</f>
        <v>4.9867999999999997</v>
      </c>
      <c r="O228" s="9">
        <f>4.99 * CHOOSE(CONTROL!$C$32, $C$9, 100%, $E$9)</f>
        <v>4.99</v>
      </c>
    </row>
    <row r="229" spans="1:15" ht="15" x14ac:dyDescent="0.2">
      <c r="A229" s="16">
        <v>47818</v>
      </c>
      <c r="B229" s="10">
        <f>4.713 * CHOOSE(CONTROL!$C$32, $C$9, 100%, $E$9)</f>
        <v>4.7130000000000001</v>
      </c>
      <c r="C229" s="10">
        <f>4.713 * CHOOSE(CONTROL!$C$32, $C$9, 100%, $E$9)</f>
        <v>4.7130000000000001</v>
      </c>
      <c r="D229" s="10">
        <f>4.7139 * CHOOSE(CONTROL!$C$32, $C$9, 100%, $E$9)</f>
        <v>4.7138999999999998</v>
      </c>
      <c r="E229" s="9">
        <f>4.9445 * CHOOSE(CONTROL!$C$32, $C$9, 100%, $E$9)</f>
        <v>4.9444999999999997</v>
      </c>
      <c r="F229" s="9">
        <f>4.9445 * CHOOSE(CONTROL!$C$32, $C$9, 100%, $E$9)</f>
        <v>4.9444999999999997</v>
      </c>
      <c r="G229" s="9">
        <f>4.9477 * CHOOSE(CONTROL!$C$32, $C$9, 100%, $E$9)</f>
        <v>4.9477000000000002</v>
      </c>
      <c r="H229" s="9">
        <f>5.8907 * CHOOSE(CONTROL!$C$32, $C$9, 100%, $E$9)</f>
        <v>5.8906999999999998</v>
      </c>
      <c r="I229" s="9">
        <f>5.8939 * CHOOSE(CONTROL!$C$32, $C$9, 100%, $E$9)</f>
        <v>5.8939000000000004</v>
      </c>
      <c r="J229" s="9">
        <f>5.8907 * CHOOSE(CONTROL!$C$32, $C$9, 100%, $E$9)</f>
        <v>5.8906999999999998</v>
      </c>
      <c r="K229" s="9">
        <f>5.8939 * CHOOSE(CONTROL!$C$32, $C$9, 100%, $E$9)</f>
        <v>5.8939000000000004</v>
      </c>
      <c r="L229" s="9">
        <f>4.9445 * CHOOSE(CONTROL!$C$32, $C$9, 100%, $E$9)</f>
        <v>4.9444999999999997</v>
      </c>
      <c r="M229" s="9">
        <f>4.9477 * CHOOSE(CONTROL!$C$32, $C$9, 100%, $E$9)</f>
        <v>4.9477000000000002</v>
      </c>
      <c r="N229" s="9">
        <f>4.9445 * CHOOSE(CONTROL!$C$32, $C$9, 100%, $E$9)</f>
        <v>4.9444999999999997</v>
      </c>
      <c r="O229" s="9">
        <f>4.9477 * CHOOSE(CONTROL!$C$32, $C$9, 100%, $E$9)</f>
        <v>4.9477000000000002</v>
      </c>
    </row>
    <row r="230" spans="1:15" ht="15" x14ac:dyDescent="0.2">
      <c r="A230" s="16">
        <v>47849</v>
      </c>
      <c r="B230" s="10">
        <f>4.758 * CHOOSE(CONTROL!$C$32, $C$9, 100%, $E$9)</f>
        <v>4.758</v>
      </c>
      <c r="C230" s="10">
        <f>4.758 * CHOOSE(CONTROL!$C$32, $C$9, 100%, $E$9)</f>
        <v>4.758</v>
      </c>
      <c r="D230" s="10">
        <f>4.7589 * CHOOSE(CONTROL!$C$32, $C$9, 100%, $E$9)</f>
        <v>4.7588999999999997</v>
      </c>
      <c r="E230" s="9">
        <f>5.0046 * CHOOSE(CONTROL!$C$32, $C$9, 100%, $E$9)</f>
        <v>5.0045999999999999</v>
      </c>
      <c r="F230" s="9">
        <f>5.0046 * CHOOSE(CONTROL!$C$32, $C$9, 100%, $E$9)</f>
        <v>5.0045999999999999</v>
      </c>
      <c r="G230" s="9">
        <f>5.0078 * CHOOSE(CONTROL!$C$32, $C$9, 100%, $E$9)</f>
        <v>5.0077999999999996</v>
      </c>
      <c r="H230" s="9">
        <f>5.9385 * CHOOSE(CONTROL!$C$32, $C$9, 100%, $E$9)</f>
        <v>5.9385000000000003</v>
      </c>
      <c r="I230" s="9">
        <f>5.9417 * CHOOSE(CONTROL!$C$32, $C$9, 100%, $E$9)</f>
        <v>5.9417</v>
      </c>
      <c r="J230" s="9">
        <f>5.9385 * CHOOSE(CONTROL!$C$32, $C$9, 100%, $E$9)</f>
        <v>5.9385000000000003</v>
      </c>
      <c r="K230" s="9">
        <f>5.9417 * CHOOSE(CONTROL!$C$32, $C$9, 100%, $E$9)</f>
        <v>5.9417</v>
      </c>
      <c r="L230" s="9">
        <f>5.0046 * CHOOSE(CONTROL!$C$32, $C$9, 100%, $E$9)</f>
        <v>5.0045999999999999</v>
      </c>
      <c r="M230" s="9">
        <f>5.0078 * CHOOSE(CONTROL!$C$32, $C$9, 100%, $E$9)</f>
        <v>5.0077999999999996</v>
      </c>
      <c r="N230" s="9">
        <f>5.0046 * CHOOSE(CONTROL!$C$32, $C$9, 100%, $E$9)</f>
        <v>5.0045999999999999</v>
      </c>
      <c r="O230" s="9">
        <f>5.0078 * CHOOSE(CONTROL!$C$32, $C$9, 100%, $E$9)</f>
        <v>5.0077999999999996</v>
      </c>
    </row>
    <row r="231" spans="1:15" ht="15" x14ac:dyDescent="0.2">
      <c r="A231" s="16">
        <v>47880</v>
      </c>
      <c r="B231" s="10">
        <f>4.7549 * CHOOSE(CONTROL!$C$32, $C$9, 100%, $E$9)</f>
        <v>4.7549000000000001</v>
      </c>
      <c r="C231" s="10">
        <f>4.7549 * CHOOSE(CONTROL!$C$32, $C$9, 100%, $E$9)</f>
        <v>4.7549000000000001</v>
      </c>
      <c r="D231" s="10">
        <f>4.7559 * CHOOSE(CONTROL!$C$32, $C$9, 100%, $E$9)</f>
        <v>4.7558999999999996</v>
      </c>
      <c r="E231" s="9">
        <f>4.92 * CHOOSE(CONTROL!$C$32, $C$9, 100%, $E$9)</f>
        <v>4.92</v>
      </c>
      <c r="F231" s="9">
        <f>4.92 * CHOOSE(CONTROL!$C$32, $C$9, 100%, $E$9)</f>
        <v>4.92</v>
      </c>
      <c r="G231" s="9">
        <f>4.9233 * CHOOSE(CONTROL!$C$32, $C$9, 100%, $E$9)</f>
        <v>4.9233000000000002</v>
      </c>
      <c r="H231" s="9">
        <f>5.9365 * CHOOSE(CONTROL!$C$32, $C$9, 100%, $E$9)</f>
        <v>5.9364999999999997</v>
      </c>
      <c r="I231" s="9">
        <f>5.9397 * CHOOSE(CONTROL!$C$32, $C$9, 100%, $E$9)</f>
        <v>5.9397000000000002</v>
      </c>
      <c r="J231" s="9">
        <f>5.9365 * CHOOSE(CONTROL!$C$32, $C$9, 100%, $E$9)</f>
        <v>5.9364999999999997</v>
      </c>
      <c r="K231" s="9">
        <f>5.9397 * CHOOSE(CONTROL!$C$32, $C$9, 100%, $E$9)</f>
        <v>5.9397000000000002</v>
      </c>
      <c r="L231" s="9">
        <f>4.92 * CHOOSE(CONTROL!$C$32, $C$9, 100%, $E$9)</f>
        <v>4.92</v>
      </c>
      <c r="M231" s="9">
        <f>4.9233 * CHOOSE(CONTROL!$C$32, $C$9, 100%, $E$9)</f>
        <v>4.9233000000000002</v>
      </c>
      <c r="N231" s="9">
        <f>4.92 * CHOOSE(CONTROL!$C$32, $C$9, 100%, $E$9)</f>
        <v>4.92</v>
      </c>
      <c r="O231" s="9">
        <f>4.9233 * CHOOSE(CONTROL!$C$32, $C$9, 100%, $E$9)</f>
        <v>4.9233000000000002</v>
      </c>
    </row>
    <row r="232" spans="1:15" ht="15" x14ac:dyDescent="0.2">
      <c r="A232" s="16">
        <v>47908</v>
      </c>
      <c r="B232" s="10">
        <f>4.7519 * CHOOSE(CONTROL!$C$32, $C$9, 100%, $E$9)</f>
        <v>4.7519</v>
      </c>
      <c r="C232" s="10">
        <f>4.7519 * CHOOSE(CONTROL!$C$32, $C$9, 100%, $E$9)</f>
        <v>4.7519</v>
      </c>
      <c r="D232" s="10">
        <f>4.7528 * CHOOSE(CONTROL!$C$32, $C$9, 100%, $E$9)</f>
        <v>4.7527999999999997</v>
      </c>
      <c r="E232" s="9">
        <f>4.9829 * CHOOSE(CONTROL!$C$32, $C$9, 100%, $E$9)</f>
        <v>4.9828999999999999</v>
      </c>
      <c r="F232" s="9">
        <f>4.9829 * CHOOSE(CONTROL!$C$32, $C$9, 100%, $E$9)</f>
        <v>4.9828999999999999</v>
      </c>
      <c r="G232" s="9">
        <f>4.9861 * CHOOSE(CONTROL!$C$32, $C$9, 100%, $E$9)</f>
        <v>4.9861000000000004</v>
      </c>
      <c r="H232" s="9">
        <f>5.9345 * CHOOSE(CONTROL!$C$32, $C$9, 100%, $E$9)</f>
        <v>5.9344999999999999</v>
      </c>
      <c r="I232" s="9">
        <f>5.9377 * CHOOSE(CONTROL!$C$32, $C$9, 100%, $E$9)</f>
        <v>5.9377000000000004</v>
      </c>
      <c r="J232" s="9">
        <f>5.9345 * CHOOSE(CONTROL!$C$32, $C$9, 100%, $E$9)</f>
        <v>5.9344999999999999</v>
      </c>
      <c r="K232" s="9">
        <f>5.9377 * CHOOSE(CONTROL!$C$32, $C$9, 100%, $E$9)</f>
        <v>5.9377000000000004</v>
      </c>
      <c r="L232" s="9">
        <f>4.9829 * CHOOSE(CONTROL!$C$32, $C$9, 100%, $E$9)</f>
        <v>4.9828999999999999</v>
      </c>
      <c r="M232" s="9">
        <f>4.9861 * CHOOSE(CONTROL!$C$32, $C$9, 100%, $E$9)</f>
        <v>4.9861000000000004</v>
      </c>
      <c r="N232" s="9">
        <f>4.9829 * CHOOSE(CONTROL!$C$32, $C$9, 100%, $E$9)</f>
        <v>4.9828999999999999</v>
      </c>
      <c r="O232" s="9">
        <f>4.9861 * CHOOSE(CONTROL!$C$32, $C$9, 100%, $E$9)</f>
        <v>4.9861000000000004</v>
      </c>
    </row>
    <row r="233" spans="1:15" ht="15" x14ac:dyDescent="0.2">
      <c r="A233" s="16">
        <v>47939</v>
      </c>
      <c r="B233" s="10">
        <f>4.7504 * CHOOSE(CONTROL!$C$32, $C$9, 100%, $E$9)</f>
        <v>4.7504</v>
      </c>
      <c r="C233" s="10">
        <f>4.7504 * CHOOSE(CONTROL!$C$32, $C$9, 100%, $E$9)</f>
        <v>4.7504</v>
      </c>
      <c r="D233" s="10">
        <f>4.7514 * CHOOSE(CONTROL!$C$32, $C$9, 100%, $E$9)</f>
        <v>4.7514000000000003</v>
      </c>
      <c r="E233" s="9">
        <f>5.0484 * CHOOSE(CONTROL!$C$32, $C$9, 100%, $E$9)</f>
        <v>5.0484</v>
      </c>
      <c r="F233" s="9">
        <f>5.0484 * CHOOSE(CONTROL!$C$32, $C$9, 100%, $E$9)</f>
        <v>5.0484</v>
      </c>
      <c r="G233" s="9">
        <f>5.0517 * CHOOSE(CONTROL!$C$32, $C$9, 100%, $E$9)</f>
        <v>5.0517000000000003</v>
      </c>
      <c r="H233" s="9">
        <f>5.9333 * CHOOSE(CONTROL!$C$32, $C$9, 100%, $E$9)</f>
        <v>5.9333</v>
      </c>
      <c r="I233" s="9">
        <f>5.9365 * CHOOSE(CONTROL!$C$32, $C$9, 100%, $E$9)</f>
        <v>5.9364999999999997</v>
      </c>
      <c r="J233" s="9">
        <f>5.9333 * CHOOSE(CONTROL!$C$32, $C$9, 100%, $E$9)</f>
        <v>5.9333</v>
      </c>
      <c r="K233" s="9">
        <f>5.9365 * CHOOSE(CONTROL!$C$32, $C$9, 100%, $E$9)</f>
        <v>5.9364999999999997</v>
      </c>
      <c r="L233" s="9">
        <f>5.0484 * CHOOSE(CONTROL!$C$32, $C$9, 100%, $E$9)</f>
        <v>5.0484</v>
      </c>
      <c r="M233" s="9">
        <f>5.0517 * CHOOSE(CONTROL!$C$32, $C$9, 100%, $E$9)</f>
        <v>5.0517000000000003</v>
      </c>
      <c r="N233" s="9">
        <f>5.0484 * CHOOSE(CONTROL!$C$32, $C$9, 100%, $E$9)</f>
        <v>5.0484</v>
      </c>
      <c r="O233" s="9">
        <f>5.0517 * CHOOSE(CONTROL!$C$32, $C$9, 100%, $E$9)</f>
        <v>5.0517000000000003</v>
      </c>
    </row>
    <row r="234" spans="1:15" ht="15" x14ac:dyDescent="0.2">
      <c r="A234" s="16">
        <v>47969</v>
      </c>
      <c r="B234" s="10">
        <f>4.7504 * CHOOSE(CONTROL!$C$32, $C$9, 100%, $E$9)</f>
        <v>4.7504</v>
      </c>
      <c r="C234" s="10">
        <f>4.7504 * CHOOSE(CONTROL!$C$32, $C$9, 100%, $E$9)</f>
        <v>4.7504</v>
      </c>
      <c r="D234" s="10">
        <f>4.7517 * CHOOSE(CONTROL!$C$32, $C$9, 100%, $E$9)</f>
        <v>4.7516999999999996</v>
      </c>
      <c r="E234" s="9">
        <f>5.0746 * CHOOSE(CONTROL!$C$32, $C$9, 100%, $E$9)</f>
        <v>5.0746000000000002</v>
      </c>
      <c r="F234" s="9">
        <f>5.0746 * CHOOSE(CONTROL!$C$32, $C$9, 100%, $E$9)</f>
        <v>5.0746000000000002</v>
      </c>
      <c r="G234" s="9">
        <f>5.0788 * CHOOSE(CONTROL!$C$32, $C$9, 100%, $E$9)</f>
        <v>5.0788000000000002</v>
      </c>
      <c r="H234" s="9">
        <f>5.9333 * CHOOSE(CONTROL!$C$32, $C$9, 100%, $E$9)</f>
        <v>5.9333</v>
      </c>
      <c r="I234" s="9">
        <f>5.9375 * CHOOSE(CONTROL!$C$32, $C$9, 100%, $E$9)</f>
        <v>5.9375</v>
      </c>
      <c r="J234" s="9">
        <f>5.9333 * CHOOSE(CONTROL!$C$32, $C$9, 100%, $E$9)</f>
        <v>5.9333</v>
      </c>
      <c r="K234" s="9">
        <f>5.9375 * CHOOSE(CONTROL!$C$32, $C$9, 100%, $E$9)</f>
        <v>5.9375</v>
      </c>
      <c r="L234" s="9">
        <f>5.0746 * CHOOSE(CONTROL!$C$32, $C$9, 100%, $E$9)</f>
        <v>5.0746000000000002</v>
      </c>
      <c r="M234" s="9">
        <f>5.0788 * CHOOSE(CONTROL!$C$32, $C$9, 100%, $E$9)</f>
        <v>5.0788000000000002</v>
      </c>
      <c r="N234" s="9">
        <f>5.0746 * CHOOSE(CONTROL!$C$32, $C$9, 100%, $E$9)</f>
        <v>5.0746000000000002</v>
      </c>
      <c r="O234" s="9">
        <f>5.0788 * CHOOSE(CONTROL!$C$32, $C$9, 100%, $E$9)</f>
        <v>5.0788000000000002</v>
      </c>
    </row>
    <row r="235" spans="1:15" ht="15" x14ac:dyDescent="0.2">
      <c r="A235" s="16">
        <v>48000</v>
      </c>
      <c r="B235" s="10">
        <f>4.7565 * CHOOSE(CONTROL!$C$32, $C$9, 100%, $E$9)</f>
        <v>4.7565</v>
      </c>
      <c r="C235" s="10">
        <f>4.7565 * CHOOSE(CONTROL!$C$32, $C$9, 100%, $E$9)</f>
        <v>4.7565</v>
      </c>
      <c r="D235" s="10">
        <f>4.7578 * CHOOSE(CONTROL!$C$32, $C$9, 100%, $E$9)</f>
        <v>4.7577999999999996</v>
      </c>
      <c r="E235" s="9">
        <f>5.0527 * CHOOSE(CONTROL!$C$32, $C$9, 100%, $E$9)</f>
        <v>5.0526999999999997</v>
      </c>
      <c r="F235" s="9">
        <f>5.0527 * CHOOSE(CONTROL!$C$32, $C$9, 100%, $E$9)</f>
        <v>5.0526999999999997</v>
      </c>
      <c r="G235" s="9">
        <f>5.0569 * CHOOSE(CONTROL!$C$32, $C$9, 100%, $E$9)</f>
        <v>5.0568999999999997</v>
      </c>
      <c r="H235" s="9">
        <f>5.9373 * CHOOSE(CONTROL!$C$32, $C$9, 100%, $E$9)</f>
        <v>5.9372999999999996</v>
      </c>
      <c r="I235" s="9">
        <f>5.9415 * CHOOSE(CONTROL!$C$32, $C$9, 100%, $E$9)</f>
        <v>5.9414999999999996</v>
      </c>
      <c r="J235" s="9">
        <f>5.9373 * CHOOSE(CONTROL!$C$32, $C$9, 100%, $E$9)</f>
        <v>5.9372999999999996</v>
      </c>
      <c r="K235" s="9">
        <f>5.9415 * CHOOSE(CONTROL!$C$32, $C$9, 100%, $E$9)</f>
        <v>5.9414999999999996</v>
      </c>
      <c r="L235" s="9">
        <f>5.0527 * CHOOSE(CONTROL!$C$32, $C$9, 100%, $E$9)</f>
        <v>5.0526999999999997</v>
      </c>
      <c r="M235" s="9">
        <f>5.0569 * CHOOSE(CONTROL!$C$32, $C$9, 100%, $E$9)</f>
        <v>5.0568999999999997</v>
      </c>
      <c r="N235" s="9">
        <f>5.0527 * CHOOSE(CONTROL!$C$32, $C$9, 100%, $E$9)</f>
        <v>5.0526999999999997</v>
      </c>
      <c r="O235" s="9">
        <f>5.0569 * CHOOSE(CONTROL!$C$32, $C$9, 100%, $E$9)</f>
        <v>5.0568999999999997</v>
      </c>
    </row>
    <row r="236" spans="1:15" ht="15" x14ac:dyDescent="0.2">
      <c r="A236" s="16">
        <v>48030</v>
      </c>
      <c r="B236" s="10">
        <f>4.8391 * CHOOSE(CONTROL!$C$32, $C$9, 100%, $E$9)</f>
        <v>4.8391000000000002</v>
      </c>
      <c r="C236" s="10">
        <f>4.8391 * CHOOSE(CONTROL!$C$32, $C$9, 100%, $E$9)</f>
        <v>4.8391000000000002</v>
      </c>
      <c r="D236" s="10">
        <f>4.8403 * CHOOSE(CONTROL!$C$32, $C$9, 100%, $E$9)</f>
        <v>4.8403</v>
      </c>
      <c r="E236" s="9">
        <f>5.106 * CHOOSE(CONTROL!$C$32, $C$9, 100%, $E$9)</f>
        <v>5.1059999999999999</v>
      </c>
      <c r="F236" s="9">
        <f>5.106 * CHOOSE(CONTROL!$C$32, $C$9, 100%, $E$9)</f>
        <v>5.1059999999999999</v>
      </c>
      <c r="G236" s="9">
        <f>5.1102 * CHOOSE(CONTROL!$C$32, $C$9, 100%, $E$9)</f>
        <v>5.1101999999999999</v>
      </c>
      <c r="H236" s="9">
        <f>6.0371 * CHOOSE(CONTROL!$C$32, $C$9, 100%, $E$9)</f>
        <v>6.0370999999999997</v>
      </c>
      <c r="I236" s="9">
        <f>6.0413 * CHOOSE(CONTROL!$C$32, $C$9, 100%, $E$9)</f>
        <v>6.0412999999999997</v>
      </c>
      <c r="J236" s="9">
        <f>6.0371 * CHOOSE(CONTROL!$C$32, $C$9, 100%, $E$9)</f>
        <v>6.0370999999999997</v>
      </c>
      <c r="K236" s="9">
        <f>6.0413 * CHOOSE(CONTROL!$C$32, $C$9, 100%, $E$9)</f>
        <v>6.0412999999999997</v>
      </c>
      <c r="L236" s="9">
        <f>5.106 * CHOOSE(CONTROL!$C$32, $C$9, 100%, $E$9)</f>
        <v>5.1059999999999999</v>
      </c>
      <c r="M236" s="9">
        <f>5.1102 * CHOOSE(CONTROL!$C$32, $C$9, 100%, $E$9)</f>
        <v>5.1101999999999999</v>
      </c>
      <c r="N236" s="9">
        <f>5.106 * CHOOSE(CONTROL!$C$32, $C$9, 100%, $E$9)</f>
        <v>5.1059999999999999</v>
      </c>
      <c r="O236" s="9">
        <f>5.1102 * CHOOSE(CONTROL!$C$32, $C$9, 100%, $E$9)</f>
        <v>5.1101999999999999</v>
      </c>
    </row>
    <row r="237" spans="1:15" ht="15" x14ac:dyDescent="0.2">
      <c r="A237" s="16">
        <v>48061</v>
      </c>
      <c r="B237" s="10">
        <f>4.8457 * CHOOSE(CONTROL!$C$32, $C$9, 100%, $E$9)</f>
        <v>4.8456999999999999</v>
      </c>
      <c r="C237" s="10">
        <f>4.8457 * CHOOSE(CONTROL!$C$32, $C$9, 100%, $E$9)</f>
        <v>4.8456999999999999</v>
      </c>
      <c r="D237" s="10">
        <f>4.847 * CHOOSE(CONTROL!$C$32, $C$9, 100%, $E$9)</f>
        <v>4.8470000000000004</v>
      </c>
      <c r="E237" s="9">
        <f>5.0322 * CHOOSE(CONTROL!$C$32, $C$9, 100%, $E$9)</f>
        <v>5.0321999999999996</v>
      </c>
      <c r="F237" s="9">
        <f>5.0322 * CHOOSE(CONTROL!$C$32, $C$9, 100%, $E$9)</f>
        <v>5.0321999999999996</v>
      </c>
      <c r="G237" s="9">
        <f>5.0364 * CHOOSE(CONTROL!$C$32, $C$9, 100%, $E$9)</f>
        <v>5.0364000000000004</v>
      </c>
      <c r="H237" s="9">
        <f>6.0415 * CHOOSE(CONTROL!$C$32, $C$9, 100%, $E$9)</f>
        <v>6.0415000000000001</v>
      </c>
      <c r="I237" s="9">
        <f>6.0457 * CHOOSE(CONTROL!$C$32, $C$9, 100%, $E$9)</f>
        <v>6.0457000000000001</v>
      </c>
      <c r="J237" s="9">
        <f>6.0415 * CHOOSE(CONTROL!$C$32, $C$9, 100%, $E$9)</f>
        <v>6.0415000000000001</v>
      </c>
      <c r="K237" s="9">
        <f>6.0457 * CHOOSE(CONTROL!$C$32, $C$9, 100%, $E$9)</f>
        <v>6.0457000000000001</v>
      </c>
      <c r="L237" s="9">
        <f>5.0322 * CHOOSE(CONTROL!$C$32, $C$9, 100%, $E$9)</f>
        <v>5.0321999999999996</v>
      </c>
      <c r="M237" s="9">
        <f>5.0364 * CHOOSE(CONTROL!$C$32, $C$9, 100%, $E$9)</f>
        <v>5.0364000000000004</v>
      </c>
      <c r="N237" s="9">
        <f>5.0322 * CHOOSE(CONTROL!$C$32, $C$9, 100%, $E$9)</f>
        <v>5.0321999999999996</v>
      </c>
      <c r="O237" s="9">
        <f>5.0364 * CHOOSE(CONTROL!$C$32, $C$9, 100%, $E$9)</f>
        <v>5.0364000000000004</v>
      </c>
    </row>
    <row r="238" spans="1:15" ht="15" x14ac:dyDescent="0.2">
      <c r="A238" s="16">
        <v>48092</v>
      </c>
      <c r="B238" s="10">
        <f>4.8427 * CHOOSE(CONTROL!$C$32, $C$9, 100%, $E$9)</f>
        <v>4.8426999999999998</v>
      </c>
      <c r="C238" s="10">
        <f>4.8427 * CHOOSE(CONTROL!$C$32, $C$9, 100%, $E$9)</f>
        <v>4.8426999999999998</v>
      </c>
      <c r="D238" s="10">
        <f>4.8439 * CHOOSE(CONTROL!$C$32, $C$9, 100%, $E$9)</f>
        <v>4.8438999999999997</v>
      </c>
      <c r="E238" s="9">
        <f>5.0214 * CHOOSE(CONTROL!$C$32, $C$9, 100%, $E$9)</f>
        <v>5.0213999999999999</v>
      </c>
      <c r="F238" s="9">
        <f>5.0214 * CHOOSE(CONTROL!$C$32, $C$9, 100%, $E$9)</f>
        <v>5.0213999999999999</v>
      </c>
      <c r="G238" s="9">
        <f>5.0256 * CHOOSE(CONTROL!$C$32, $C$9, 100%, $E$9)</f>
        <v>5.0255999999999998</v>
      </c>
      <c r="H238" s="9">
        <f>6.0395 * CHOOSE(CONTROL!$C$32, $C$9, 100%, $E$9)</f>
        <v>6.0395000000000003</v>
      </c>
      <c r="I238" s="9">
        <f>6.0437 * CHOOSE(CONTROL!$C$32, $C$9, 100%, $E$9)</f>
        <v>6.0437000000000003</v>
      </c>
      <c r="J238" s="9">
        <f>6.0395 * CHOOSE(CONTROL!$C$32, $C$9, 100%, $E$9)</f>
        <v>6.0395000000000003</v>
      </c>
      <c r="K238" s="9">
        <f>6.0437 * CHOOSE(CONTROL!$C$32, $C$9, 100%, $E$9)</f>
        <v>6.0437000000000003</v>
      </c>
      <c r="L238" s="9">
        <f>5.0214 * CHOOSE(CONTROL!$C$32, $C$9, 100%, $E$9)</f>
        <v>5.0213999999999999</v>
      </c>
      <c r="M238" s="9">
        <f>5.0256 * CHOOSE(CONTROL!$C$32, $C$9, 100%, $E$9)</f>
        <v>5.0255999999999998</v>
      </c>
      <c r="N238" s="9">
        <f>5.0214 * CHOOSE(CONTROL!$C$32, $C$9, 100%, $E$9)</f>
        <v>5.0213999999999999</v>
      </c>
      <c r="O238" s="9">
        <f>5.0256 * CHOOSE(CONTROL!$C$32, $C$9, 100%, $E$9)</f>
        <v>5.0255999999999998</v>
      </c>
    </row>
    <row r="239" spans="1:15" ht="15" x14ac:dyDescent="0.2">
      <c r="A239" s="16">
        <v>48122</v>
      </c>
      <c r="B239" s="10">
        <f>4.8415 * CHOOSE(CONTROL!$C$32, $C$9, 100%, $E$9)</f>
        <v>4.8414999999999999</v>
      </c>
      <c r="C239" s="10">
        <f>4.8415 * CHOOSE(CONTROL!$C$32, $C$9, 100%, $E$9)</f>
        <v>4.8414999999999999</v>
      </c>
      <c r="D239" s="10">
        <f>4.8425 * CHOOSE(CONTROL!$C$32, $C$9, 100%, $E$9)</f>
        <v>4.8425000000000002</v>
      </c>
      <c r="E239" s="9">
        <f>5.0428 * CHOOSE(CONTROL!$C$32, $C$9, 100%, $E$9)</f>
        <v>5.0427999999999997</v>
      </c>
      <c r="F239" s="9">
        <f>5.0428 * CHOOSE(CONTROL!$C$32, $C$9, 100%, $E$9)</f>
        <v>5.0427999999999997</v>
      </c>
      <c r="G239" s="9">
        <f>5.0461 * CHOOSE(CONTROL!$C$32, $C$9, 100%, $E$9)</f>
        <v>5.0461</v>
      </c>
      <c r="H239" s="9">
        <f>6.038 * CHOOSE(CONTROL!$C$32, $C$9, 100%, $E$9)</f>
        <v>6.0380000000000003</v>
      </c>
      <c r="I239" s="9">
        <f>6.0412 * CHOOSE(CONTROL!$C$32, $C$9, 100%, $E$9)</f>
        <v>6.0411999999999999</v>
      </c>
      <c r="J239" s="9">
        <f>6.038 * CHOOSE(CONTROL!$C$32, $C$9, 100%, $E$9)</f>
        <v>6.0380000000000003</v>
      </c>
      <c r="K239" s="9">
        <f>6.0412 * CHOOSE(CONTROL!$C$32, $C$9, 100%, $E$9)</f>
        <v>6.0411999999999999</v>
      </c>
      <c r="L239" s="9">
        <f>5.0428 * CHOOSE(CONTROL!$C$32, $C$9, 100%, $E$9)</f>
        <v>5.0427999999999997</v>
      </c>
      <c r="M239" s="9">
        <f>5.0461 * CHOOSE(CONTROL!$C$32, $C$9, 100%, $E$9)</f>
        <v>5.0461</v>
      </c>
      <c r="N239" s="9">
        <f>5.0428 * CHOOSE(CONTROL!$C$32, $C$9, 100%, $E$9)</f>
        <v>5.0427999999999997</v>
      </c>
      <c r="O239" s="9">
        <f>5.0461 * CHOOSE(CONTROL!$C$32, $C$9, 100%, $E$9)</f>
        <v>5.0461</v>
      </c>
    </row>
    <row r="240" spans="1:15" ht="15" x14ac:dyDescent="0.2">
      <c r="A240" s="16">
        <v>48153</v>
      </c>
      <c r="B240" s="10">
        <f>4.8445 * CHOOSE(CONTROL!$C$32, $C$9, 100%, $E$9)</f>
        <v>4.8445</v>
      </c>
      <c r="C240" s="10">
        <f>4.8445 * CHOOSE(CONTROL!$C$32, $C$9, 100%, $E$9)</f>
        <v>4.8445</v>
      </c>
      <c r="D240" s="10">
        <f>4.8455 * CHOOSE(CONTROL!$C$32, $C$9, 100%, $E$9)</f>
        <v>4.8455000000000004</v>
      </c>
      <c r="E240" s="9">
        <f>5.0624 * CHOOSE(CONTROL!$C$32, $C$9, 100%, $E$9)</f>
        <v>5.0624000000000002</v>
      </c>
      <c r="F240" s="9">
        <f>5.0624 * CHOOSE(CONTROL!$C$32, $C$9, 100%, $E$9)</f>
        <v>5.0624000000000002</v>
      </c>
      <c r="G240" s="9">
        <f>5.0656 * CHOOSE(CONTROL!$C$32, $C$9, 100%, $E$9)</f>
        <v>5.0655999999999999</v>
      </c>
      <c r="H240" s="9">
        <f>6.04 * CHOOSE(CONTROL!$C$32, $C$9, 100%, $E$9)</f>
        <v>6.04</v>
      </c>
      <c r="I240" s="9">
        <f>6.0432 * CHOOSE(CONTROL!$C$32, $C$9, 100%, $E$9)</f>
        <v>6.0431999999999997</v>
      </c>
      <c r="J240" s="9">
        <f>6.04 * CHOOSE(CONTROL!$C$32, $C$9, 100%, $E$9)</f>
        <v>6.04</v>
      </c>
      <c r="K240" s="9">
        <f>6.0432 * CHOOSE(CONTROL!$C$32, $C$9, 100%, $E$9)</f>
        <v>6.0431999999999997</v>
      </c>
      <c r="L240" s="9">
        <f>5.0624 * CHOOSE(CONTROL!$C$32, $C$9, 100%, $E$9)</f>
        <v>5.0624000000000002</v>
      </c>
      <c r="M240" s="9">
        <f>5.0656 * CHOOSE(CONTROL!$C$32, $C$9, 100%, $E$9)</f>
        <v>5.0655999999999999</v>
      </c>
      <c r="N240" s="9">
        <f>5.0624 * CHOOSE(CONTROL!$C$32, $C$9, 100%, $E$9)</f>
        <v>5.0624000000000002</v>
      </c>
      <c r="O240" s="9">
        <f>5.0656 * CHOOSE(CONTROL!$C$32, $C$9, 100%, $E$9)</f>
        <v>5.0655999999999999</v>
      </c>
    </row>
    <row r="241" spans="1:15" ht="15" x14ac:dyDescent="0.2">
      <c r="A241" s="16">
        <v>48183</v>
      </c>
      <c r="B241" s="10">
        <f>4.8445 * CHOOSE(CONTROL!$C$32, $C$9, 100%, $E$9)</f>
        <v>4.8445</v>
      </c>
      <c r="C241" s="10">
        <f>4.8445 * CHOOSE(CONTROL!$C$32, $C$9, 100%, $E$9)</f>
        <v>4.8445</v>
      </c>
      <c r="D241" s="10">
        <f>4.8455 * CHOOSE(CONTROL!$C$32, $C$9, 100%, $E$9)</f>
        <v>4.8455000000000004</v>
      </c>
      <c r="E241" s="9">
        <f>5.0188 * CHOOSE(CONTROL!$C$32, $C$9, 100%, $E$9)</f>
        <v>5.0187999999999997</v>
      </c>
      <c r="F241" s="9">
        <f>5.0188 * CHOOSE(CONTROL!$C$32, $C$9, 100%, $E$9)</f>
        <v>5.0187999999999997</v>
      </c>
      <c r="G241" s="9">
        <f>5.022 * CHOOSE(CONTROL!$C$32, $C$9, 100%, $E$9)</f>
        <v>5.0220000000000002</v>
      </c>
      <c r="H241" s="9">
        <f>6.04 * CHOOSE(CONTROL!$C$32, $C$9, 100%, $E$9)</f>
        <v>6.04</v>
      </c>
      <c r="I241" s="9">
        <f>6.0432 * CHOOSE(CONTROL!$C$32, $C$9, 100%, $E$9)</f>
        <v>6.0431999999999997</v>
      </c>
      <c r="J241" s="9">
        <f>6.04 * CHOOSE(CONTROL!$C$32, $C$9, 100%, $E$9)</f>
        <v>6.04</v>
      </c>
      <c r="K241" s="9">
        <f>6.0432 * CHOOSE(CONTROL!$C$32, $C$9, 100%, $E$9)</f>
        <v>6.0431999999999997</v>
      </c>
      <c r="L241" s="9">
        <f>5.0188 * CHOOSE(CONTROL!$C$32, $C$9, 100%, $E$9)</f>
        <v>5.0187999999999997</v>
      </c>
      <c r="M241" s="9">
        <f>5.022 * CHOOSE(CONTROL!$C$32, $C$9, 100%, $E$9)</f>
        <v>5.0220000000000002</v>
      </c>
      <c r="N241" s="9">
        <f>5.0188 * CHOOSE(CONTROL!$C$32, $C$9, 100%, $E$9)</f>
        <v>5.0187999999999997</v>
      </c>
      <c r="O241" s="9">
        <f>5.022 * CHOOSE(CONTROL!$C$32, $C$9, 100%, $E$9)</f>
        <v>5.0220000000000002</v>
      </c>
    </row>
    <row r="242" spans="1:15" ht="15" x14ac:dyDescent="0.2">
      <c r="A242" s="16">
        <v>48214</v>
      </c>
      <c r="B242" s="10">
        <f>4.8835 * CHOOSE(CONTROL!$C$32, $C$9, 100%, $E$9)</f>
        <v>4.8834999999999997</v>
      </c>
      <c r="C242" s="10">
        <f>4.8835 * CHOOSE(CONTROL!$C$32, $C$9, 100%, $E$9)</f>
        <v>4.8834999999999997</v>
      </c>
      <c r="D242" s="10">
        <f>4.8844 * CHOOSE(CONTROL!$C$32, $C$9, 100%, $E$9)</f>
        <v>4.8844000000000003</v>
      </c>
      <c r="E242" s="9">
        <f>5.0761 * CHOOSE(CONTROL!$C$32, $C$9, 100%, $E$9)</f>
        <v>5.0761000000000003</v>
      </c>
      <c r="F242" s="9">
        <f>5.0761 * CHOOSE(CONTROL!$C$32, $C$9, 100%, $E$9)</f>
        <v>5.0761000000000003</v>
      </c>
      <c r="G242" s="9">
        <f>5.0793 * CHOOSE(CONTROL!$C$32, $C$9, 100%, $E$9)</f>
        <v>5.0792999999999999</v>
      </c>
      <c r="H242" s="9">
        <f>6.0835 * CHOOSE(CONTROL!$C$32, $C$9, 100%, $E$9)</f>
        <v>6.0834999999999999</v>
      </c>
      <c r="I242" s="9">
        <f>6.0867 * CHOOSE(CONTROL!$C$32, $C$9, 100%, $E$9)</f>
        <v>6.0867000000000004</v>
      </c>
      <c r="J242" s="9">
        <f>6.0835 * CHOOSE(CONTROL!$C$32, $C$9, 100%, $E$9)</f>
        <v>6.0834999999999999</v>
      </c>
      <c r="K242" s="9">
        <f>6.0867 * CHOOSE(CONTROL!$C$32, $C$9, 100%, $E$9)</f>
        <v>6.0867000000000004</v>
      </c>
      <c r="L242" s="9">
        <f>5.0761 * CHOOSE(CONTROL!$C$32, $C$9, 100%, $E$9)</f>
        <v>5.0761000000000003</v>
      </c>
      <c r="M242" s="9">
        <f>5.0793 * CHOOSE(CONTROL!$C$32, $C$9, 100%, $E$9)</f>
        <v>5.0792999999999999</v>
      </c>
      <c r="N242" s="9">
        <f>5.0761 * CHOOSE(CONTROL!$C$32, $C$9, 100%, $E$9)</f>
        <v>5.0761000000000003</v>
      </c>
      <c r="O242" s="9">
        <f>5.0793 * CHOOSE(CONTROL!$C$32, $C$9, 100%, $E$9)</f>
        <v>5.0792999999999999</v>
      </c>
    </row>
    <row r="243" spans="1:15" ht="15" x14ac:dyDescent="0.2">
      <c r="A243" s="16">
        <v>48245</v>
      </c>
      <c r="B243" s="10">
        <f>4.8804 * CHOOSE(CONTROL!$C$32, $C$9, 100%, $E$9)</f>
        <v>4.8803999999999998</v>
      </c>
      <c r="C243" s="10">
        <f>4.8804 * CHOOSE(CONTROL!$C$32, $C$9, 100%, $E$9)</f>
        <v>4.8803999999999998</v>
      </c>
      <c r="D243" s="10">
        <f>4.8814 * CHOOSE(CONTROL!$C$32, $C$9, 100%, $E$9)</f>
        <v>4.8814000000000002</v>
      </c>
      <c r="E243" s="9">
        <f>4.9891 * CHOOSE(CONTROL!$C$32, $C$9, 100%, $E$9)</f>
        <v>4.9890999999999996</v>
      </c>
      <c r="F243" s="9">
        <f>4.9891 * CHOOSE(CONTROL!$C$32, $C$9, 100%, $E$9)</f>
        <v>4.9890999999999996</v>
      </c>
      <c r="G243" s="9">
        <f>4.9923 * CHOOSE(CONTROL!$C$32, $C$9, 100%, $E$9)</f>
        <v>4.9923000000000002</v>
      </c>
      <c r="H243" s="9">
        <f>6.0815 * CHOOSE(CONTROL!$C$32, $C$9, 100%, $E$9)</f>
        <v>6.0815000000000001</v>
      </c>
      <c r="I243" s="9">
        <f>6.0847 * CHOOSE(CONTROL!$C$32, $C$9, 100%, $E$9)</f>
        <v>6.0846999999999998</v>
      </c>
      <c r="J243" s="9">
        <f>6.0815 * CHOOSE(CONTROL!$C$32, $C$9, 100%, $E$9)</f>
        <v>6.0815000000000001</v>
      </c>
      <c r="K243" s="9">
        <f>6.0847 * CHOOSE(CONTROL!$C$32, $C$9, 100%, $E$9)</f>
        <v>6.0846999999999998</v>
      </c>
      <c r="L243" s="9">
        <f>4.9891 * CHOOSE(CONTROL!$C$32, $C$9, 100%, $E$9)</f>
        <v>4.9890999999999996</v>
      </c>
      <c r="M243" s="9">
        <f>4.9923 * CHOOSE(CONTROL!$C$32, $C$9, 100%, $E$9)</f>
        <v>4.9923000000000002</v>
      </c>
      <c r="N243" s="9">
        <f>4.9891 * CHOOSE(CONTROL!$C$32, $C$9, 100%, $E$9)</f>
        <v>4.9890999999999996</v>
      </c>
      <c r="O243" s="9">
        <f>4.9923 * CHOOSE(CONTROL!$C$32, $C$9, 100%, $E$9)</f>
        <v>4.9923000000000002</v>
      </c>
    </row>
    <row r="244" spans="1:15" ht="15" x14ac:dyDescent="0.2">
      <c r="A244" s="16">
        <v>48274</v>
      </c>
      <c r="B244" s="10">
        <f>4.8774 * CHOOSE(CONTROL!$C$32, $C$9, 100%, $E$9)</f>
        <v>4.8773999999999997</v>
      </c>
      <c r="C244" s="10">
        <f>4.8774 * CHOOSE(CONTROL!$C$32, $C$9, 100%, $E$9)</f>
        <v>4.8773999999999997</v>
      </c>
      <c r="D244" s="10">
        <f>4.8784 * CHOOSE(CONTROL!$C$32, $C$9, 100%, $E$9)</f>
        <v>4.8784000000000001</v>
      </c>
      <c r="E244" s="9">
        <f>5.0539 * CHOOSE(CONTROL!$C$32, $C$9, 100%, $E$9)</f>
        <v>5.0538999999999996</v>
      </c>
      <c r="F244" s="9">
        <f>5.0539 * CHOOSE(CONTROL!$C$32, $C$9, 100%, $E$9)</f>
        <v>5.0538999999999996</v>
      </c>
      <c r="G244" s="9">
        <f>5.0571 * CHOOSE(CONTROL!$C$32, $C$9, 100%, $E$9)</f>
        <v>5.0571000000000002</v>
      </c>
      <c r="H244" s="9">
        <f>6.0795 * CHOOSE(CONTROL!$C$32, $C$9, 100%, $E$9)</f>
        <v>6.0795000000000003</v>
      </c>
      <c r="I244" s="9">
        <f>6.0827 * CHOOSE(CONTROL!$C$32, $C$9, 100%, $E$9)</f>
        <v>6.0827</v>
      </c>
      <c r="J244" s="9">
        <f>6.0795 * CHOOSE(CONTROL!$C$32, $C$9, 100%, $E$9)</f>
        <v>6.0795000000000003</v>
      </c>
      <c r="K244" s="9">
        <f>6.0827 * CHOOSE(CONTROL!$C$32, $C$9, 100%, $E$9)</f>
        <v>6.0827</v>
      </c>
      <c r="L244" s="9">
        <f>5.0539 * CHOOSE(CONTROL!$C$32, $C$9, 100%, $E$9)</f>
        <v>5.0538999999999996</v>
      </c>
      <c r="M244" s="9">
        <f>5.0571 * CHOOSE(CONTROL!$C$32, $C$9, 100%, $E$9)</f>
        <v>5.0571000000000002</v>
      </c>
      <c r="N244" s="9">
        <f>5.0539 * CHOOSE(CONTROL!$C$32, $C$9, 100%, $E$9)</f>
        <v>5.0538999999999996</v>
      </c>
      <c r="O244" s="9">
        <f>5.0571 * CHOOSE(CONTROL!$C$32, $C$9, 100%, $E$9)</f>
        <v>5.0571000000000002</v>
      </c>
    </row>
    <row r="245" spans="1:15" ht="15" x14ac:dyDescent="0.2">
      <c r="A245" s="16">
        <v>48305</v>
      </c>
      <c r="B245" s="10">
        <f>4.8761 * CHOOSE(CONTROL!$C$32, $C$9, 100%, $E$9)</f>
        <v>4.8761000000000001</v>
      </c>
      <c r="C245" s="10">
        <f>4.8761 * CHOOSE(CONTROL!$C$32, $C$9, 100%, $E$9)</f>
        <v>4.8761000000000001</v>
      </c>
      <c r="D245" s="10">
        <f>4.877 * CHOOSE(CONTROL!$C$32, $C$9, 100%, $E$9)</f>
        <v>4.8769999999999998</v>
      </c>
      <c r="E245" s="9">
        <f>5.1216 * CHOOSE(CONTROL!$C$32, $C$9, 100%, $E$9)</f>
        <v>5.1215999999999999</v>
      </c>
      <c r="F245" s="9">
        <f>5.1216 * CHOOSE(CONTROL!$C$32, $C$9, 100%, $E$9)</f>
        <v>5.1215999999999999</v>
      </c>
      <c r="G245" s="9">
        <f>5.1248 * CHOOSE(CONTROL!$C$32, $C$9, 100%, $E$9)</f>
        <v>5.1247999999999996</v>
      </c>
      <c r="H245" s="9">
        <f>6.0785 * CHOOSE(CONTROL!$C$32, $C$9, 100%, $E$9)</f>
        <v>6.0785</v>
      </c>
      <c r="I245" s="9">
        <f>6.0817 * CHOOSE(CONTROL!$C$32, $C$9, 100%, $E$9)</f>
        <v>6.0816999999999997</v>
      </c>
      <c r="J245" s="9">
        <f>6.0785 * CHOOSE(CONTROL!$C$32, $C$9, 100%, $E$9)</f>
        <v>6.0785</v>
      </c>
      <c r="K245" s="9">
        <f>6.0817 * CHOOSE(CONTROL!$C$32, $C$9, 100%, $E$9)</f>
        <v>6.0816999999999997</v>
      </c>
      <c r="L245" s="9">
        <f>5.1216 * CHOOSE(CONTROL!$C$32, $C$9, 100%, $E$9)</f>
        <v>5.1215999999999999</v>
      </c>
      <c r="M245" s="9">
        <f>5.1248 * CHOOSE(CONTROL!$C$32, $C$9, 100%, $E$9)</f>
        <v>5.1247999999999996</v>
      </c>
      <c r="N245" s="9">
        <f>5.1216 * CHOOSE(CONTROL!$C$32, $C$9, 100%, $E$9)</f>
        <v>5.1215999999999999</v>
      </c>
      <c r="O245" s="9">
        <f>5.1248 * CHOOSE(CONTROL!$C$32, $C$9, 100%, $E$9)</f>
        <v>5.1247999999999996</v>
      </c>
    </row>
    <row r="246" spans="1:15" ht="15" x14ac:dyDescent="0.2">
      <c r="A246" s="16">
        <v>48335</v>
      </c>
      <c r="B246" s="10">
        <f>4.8761 * CHOOSE(CONTROL!$C$32, $C$9, 100%, $E$9)</f>
        <v>4.8761000000000001</v>
      </c>
      <c r="C246" s="10">
        <f>4.8761 * CHOOSE(CONTROL!$C$32, $C$9, 100%, $E$9)</f>
        <v>4.8761000000000001</v>
      </c>
      <c r="D246" s="10">
        <f>4.8773 * CHOOSE(CONTROL!$C$32, $C$9, 100%, $E$9)</f>
        <v>4.8773</v>
      </c>
      <c r="E246" s="9">
        <f>5.1485 * CHOOSE(CONTROL!$C$32, $C$9, 100%, $E$9)</f>
        <v>5.1485000000000003</v>
      </c>
      <c r="F246" s="9">
        <f>5.1485 * CHOOSE(CONTROL!$C$32, $C$9, 100%, $E$9)</f>
        <v>5.1485000000000003</v>
      </c>
      <c r="G246" s="9">
        <f>5.1527 * CHOOSE(CONTROL!$C$32, $C$9, 100%, $E$9)</f>
        <v>5.1527000000000003</v>
      </c>
      <c r="H246" s="9">
        <f>6.0785 * CHOOSE(CONTROL!$C$32, $C$9, 100%, $E$9)</f>
        <v>6.0785</v>
      </c>
      <c r="I246" s="9">
        <f>6.0827 * CHOOSE(CONTROL!$C$32, $C$9, 100%, $E$9)</f>
        <v>6.0827</v>
      </c>
      <c r="J246" s="9">
        <f>6.0785 * CHOOSE(CONTROL!$C$32, $C$9, 100%, $E$9)</f>
        <v>6.0785</v>
      </c>
      <c r="K246" s="9">
        <f>6.0827 * CHOOSE(CONTROL!$C$32, $C$9, 100%, $E$9)</f>
        <v>6.0827</v>
      </c>
      <c r="L246" s="9">
        <f>5.1485 * CHOOSE(CONTROL!$C$32, $C$9, 100%, $E$9)</f>
        <v>5.1485000000000003</v>
      </c>
      <c r="M246" s="9">
        <f>5.1527 * CHOOSE(CONTROL!$C$32, $C$9, 100%, $E$9)</f>
        <v>5.1527000000000003</v>
      </c>
      <c r="N246" s="9">
        <f>5.1485 * CHOOSE(CONTROL!$C$32, $C$9, 100%, $E$9)</f>
        <v>5.1485000000000003</v>
      </c>
      <c r="O246" s="9">
        <f>5.1527 * CHOOSE(CONTROL!$C$32, $C$9, 100%, $E$9)</f>
        <v>5.1527000000000003</v>
      </c>
    </row>
    <row r="247" spans="1:15" ht="15" x14ac:dyDescent="0.2">
      <c r="A247" s="16">
        <v>48366</v>
      </c>
      <c r="B247" s="10">
        <f>4.8821 * CHOOSE(CONTROL!$C$32, $C$9, 100%, $E$9)</f>
        <v>4.8821000000000003</v>
      </c>
      <c r="C247" s="10">
        <f>4.8821 * CHOOSE(CONTROL!$C$32, $C$9, 100%, $E$9)</f>
        <v>4.8821000000000003</v>
      </c>
      <c r="D247" s="10">
        <f>4.8834 * CHOOSE(CONTROL!$C$32, $C$9, 100%, $E$9)</f>
        <v>4.8834</v>
      </c>
      <c r="E247" s="9">
        <f>5.1258 * CHOOSE(CONTROL!$C$32, $C$9, 100%, $E$9)</f>
        <v>5.1257999999999999</v>
      </c>
      <c r="F247" s="9">
        <f>5.1258 * CHOOSE(CONTROL!$C$32, $C$9, 100%, $E$9)</f>
        <v>5.1257999999999999</v>
      </c>
      <c r="G247" s="9">
        <f>5.13 * CHOOSE(CONTROL!$C$32, $C$9, 100%, $E$9)</f>
        <v>5.13</v>
      </c>
      <c r="H247" s="9">
        <f>6.0825 * CHOOSE(CONTROL!$C$32, $C$9, 100%, $E$9)</f>
        <v>6.0824999999999996</v>
      </c>
      <c r="I247" s="9">
        <f>6.0867 * CHOOSE(CONTROL!$C$32, $C$9, 100%, $E$9)</f>
        <v>6.0867000000000004</v>
      </c>
      <c r="J247" s="9">
        <f>6.0825 * CHOOSE(CONTROL!$C$32, $C$9, 100%, $E$9)</f>
        <v>6.0824999999999996</v>
      </c>
      <c r="K247" s="9">
        <f>6.0867 * CHOOSE(CONTROL!$C$32, $C$9, 100%, $E$9)</f>
        <v>6.0867000000000004</v>
      </c>
      <c r="L247" s="9">
        <f>5.1258 * CHOOSE(CONTROL!$C$32, $C$9, 100%, $E$9)</f>
        <v>5.1257999999999999</v>
      </c>
      <c r="M247" s="9">
        <f>5.13 * CHOOSE(CONTROL!$C$32, $C$9, 100%, $E$9)</f>
        <v>5.13</v>
      </c>
      <c r="N247" s="9">
        <f>5.1258 * CHOOSE(CONTROL!$C$32, $C$9, 100%, $E$9)</f>
        <v>5.1257999999999999</v>
      </c>
      <c r="O247" s="9">
        <f>5.13 * CHOOSE(CONTROL!$C$32, $C$9, 100%, $E$9)</f>
        <v>5.13</v>
      </c>
    </row>
    <row r="248" spans="1:15" ht="15" x14ac:dyDescent="0.2">
      <c r="A248" s="16">
        <v>48396</v>
      </c>
      <c r="B248" s="10">
        <f>4.9515 * CHOOSE(CONTROL!$C$32, $C$9, 100%, $E$9)</f>
        <v>4.9515000000000002</v>
      </c>
      <c r="C248" s="10">
        <f>4.9515 * CHOOSE(CONTROL!$C$32, $C$9, 100%, $E$9)</f>
        <v>4.9515000000000002</v>
      </c>
      <c r="D248" s="10">
        <f>4.9528 * CHOOSE(CONTROL!$C$32, $C$9, 100%, $E$9)</f>
        <v>4.9527999999999999</v>
      </c>
      <c r="E248" s="9">
        <f>5.1692 * CHOOSE(CONTROL!$C$32, $C$9, 100%, $E$9)</f>
        <v>5.1692</v>
      </c>
      <c r="F248" s="9">
        <f>5.1692 * CHOOSE(CONTROL!$C$32, $C$9, 100%, $E$9)</f>
        <v>5.1692</v>
      </c>
      <c r="G248" s="9">
        <f>5.1734 * CHOOSE(CONTROL!$C$32, $C$9, 100%, $E$9)</f>
        <v>5.1734</v>
      </c>
      <c r="H248" s="9">
        <f>6.1728 * CHOOSE(CONTROL!$C$32, $C$9, 100%, $E$9)</f>
        <v>6.1727999999999996</v>
      </c>
      <c r="I248" s="9">
        <f>6.177 * CHOOSE(CONTROL!$C$32, $C$9, 100%, $E$9)</f>
        <v>6.1769999999999996</v>
      </c>
      <c r="J248" s="9">
        <f>6.1728 * CHOOSE(CONTROL!$C$32, $C$9, 100%, $E$9)</f>
        <v>6.1727999999999996</v>
      </c>
      <c r="K248" s="9">
        <f>6.177 * CHOOSE(CONTROL!$C$32, $C$9, 100%, $E$9)</f>
        <v>6.1769999999999996</v>
      </c>
      <c r="L248" s="9">
        <f>5.1692 * CHOOSE(CONTROL!$C$32, $C$9, 100%, $E$9)</f>
        <v>5.1692</v>
      </c>
      <c r="M248" s="9">
        <f>5.1734 * CHOOSE(CONTROL!$C$32, $C$9, 100%, $E$9)</f>
        <v>5.1734</v>
      </c>
      <c r="N248" s="9">
        <f>5.1692 * CHOOSE(CONTROL!$C$32, $C$9, 100%, $E$9)</f>
        <v>5.1692</v>
      </c>
      <c r="O248" s="9">
        <f>5.1734 * CHOOSE(CONTROL!$C$32, $C$9, 100%, $E$9)</f>
        <v>5.1734</v>
      </c>
    </row>
    <row r="249" spans="1:15" ht="15" x14ac:dyDescent="0.2">
      <c r="A249" s="16">
        <v>48427</v>
      </c>
      <c r="B249" s="10">
        <f>4.9582 * CHOOSE(CONTROL!$C$32, $C$9, 100%, $E$9)</f>
        <v>4.9581999999999997</v>
      </c>
      <c r="C249" s="10">
        <f>4.9582 * CHOOSE(CONTROL!$C$32, $C$9, 100%, $E$9)</f>
        <v>4.9581999999999997</v>
      </c>
      <c r="D249" s="10">
        <f>4.9594 * CHOOSE(CONTROL!$C$32, $C$9, 100%, $E$9)</f>
        <v>4.9593999999999996</v>
      </c>
      <c r="E249" s="9">
        <f>5.093 * CHOOSE(CONTROL!$C$32, $C$9, 100%, $E$9)</f>
        <v>5.093</v>
      </c>
      <c r="F249" s="9">
        <f>5.093 * CHOOSE(CONTROL!$C$32, $C$9, 100%, $E$9)</f>
        <v>5.093</v>
      </c>
      <c r="G249" s="9">
        <f>5.0972 * CHOOSE(CONTROL!$C$32, $C$9, 100%, $E$9)</f>
        <v>5.0972</v>
      </c>
      <c r="H249" s="9">
        <f>6.1772 * CHOOSE(CONTROL!$C$32, $C$9, 100%, $E$9)</f>
        <v>6.1772</v>
      </c>
      <c r="I249" s="9">
        <f>6.1814 * CHOOSE(CONTROL!$C$32, $C$9, 100%, $E$9)</f>
        <v>6.1814</v>
      </c>
      <c r="J249" s="9">
        <f>6.1772 * CHOOSE(CONTROL!$C$32, $C$9, 100%, $E$9)</f>
        <v>6.1772</v>
      </c>
      <c r="K249" s="9">
        <f>6.1814 * CHOOSE(CONTROL!$C$32, $C$9, 100%, $E$9)</f>
        <v>6.1814</v>
      </c>
      <c r="L249" s="9">
        <f>5.093 * CHOOSE(CONTROL!$C$32, $C$9, 100%, $E$9)</f>
        <v>5.093</v>
      </c>
      <c r="M249" s="9">
        <f>5.0972 * CHOOSE(CONTROL!$C$32, $C$9, 100%, $E$9)</f>
        <v>5.0972</v>
      </c>
      <c r="N249" s="9">
        <f>5.093 * CHOOSE(CONTROL!$C$32, $C$9, 100%, $E$9)</f>
        <v>5.093</v>
      </c>
      <c r="O249" s="9">
        <f>5.0972 * CHOOSE(CONTROL!$C$32, $C$9, 100%, $E$9)</f>
        <v>5.0972</v>
      </c>
    </row>
    <row r="250" spans="1:15" ht="15" x14ac:dyDescent="0.2">
      <c r="A250" s="16">
        <v>48458</v>
      </c>
      <c r="B250" s="10">
        <f>4.9552 * CHOOSE(CONTROL!$C$32, $C$9, 100%, $E$9)</f>
        <v>4.9551999999999996</v>
      </c>
      <c r="C250" s="10">
        <f>4.9552 * CHOOSE(CONTROL!$C$32, $C$9, 100%, $E$9)</f>
        <v>4.9551999999999996</v>
      </c>
      <c r="D250" s="10">
        <f>4.9564 * CHOOSE(CONTROL!$C$32, $C$9, 100%, $E$9)</f>
        <v>4.9564000000000004</v>
      </c>
      <c r="E250" s="9">
        <f>5.0819 * CHOOSE(CONTROL!$C$32, $C$9, 100%, $E$9)</f>
        <v>5.0819000000000001</v>
      </c>
      <c r="F250" s="9">
        <f>5.0819 * CHOOSE(CONTROL!$C$32, $C$9, 100%, $E$9)</f>
        <v>5.0819000000000001</v>
      </c>
      <c r="G250" s="9">
        <f>5.0861 * CHOOSE(CONTROL!$C$32, $C$9, 100%, $E$9)</f>
        <v>5.0861000000000001</v>
      </c>
      <c r="H250" s="9">
        <f>6.1752 * CHOOSE(CONTROL!$C$32, $C$9, 100%, $E$9)</f>
        <v>6.1752000000000002</v>
      </c>
      <c r="I250" s="9">
        <f>6.1794 * CHOOSE(CONTROL!$C$32, $C$9, 100%, $E$9)</f>
        <v>6.1794000000000002</v>
      </c>
      <c r="J250" s="9">
        <f>6.1752 * CHOOSE(CONTROL!$C$32, $C$9, 100%, $E$9)</f>
        <v>6.1752000000000002</v>
      </c>
      <c r="K250" s="9">
        <f>6.1794 * CHOOSE(CONTROL!$C$32, $C$9, 100%, $E$9)</f>
        <v>6.1794000000000002</v>
      </c>
      <c r="L250" s="9">
        <f>5.0819 * CHOOSE(CONTROL!$C$32, $C$9, 100%, $E$9)</f>
        <v>5.0819000000000001</v>
      </c>
      <c r="M250" s="9">
        <f>5.0861 * CHOOSE(CONTROL!$C$32, $C$9, 100%, $E$9)</f>
        <v>5.0861000000000001</v>
      </c>
      <c r="N250" s="9">
        <f>5.0819 * CHOOSE(CONTROL!$C$32, $C$9, 100%, $E$9)</f>
        <v>5.0819000000000001</v>
      </c>
      <c r="O250" s="9">
        <f>5.0861 * CHOOSE(CONTROL!$C$32, $C$9, 100%, $E$9)</f>
        <v>5.0861000000000001</v>
      </c>
    </row>
    <row r="251" spans="1:15" ht="15" x14ac:dyDescent="0.2">
      <c r="A251" s="16">
        <v>48488</v>
      </c>
      <c r="B251" s="10">
        <f>4.9544 * CHOOSE(CONTROL!$C$32, $C$9, 100%, $E$9)</f>
        <v>4.9543999999999997</v>
      </c>
      <c r="C251" s="10">
        <f>4.9544 * CHOOSE(CONTROL!$C$32, $C$9, 100%, $E$9)</f>
        <v>4.9543999999999997</v>
      </c>
      <c r="D251" s="10">
        <f>4.9553 * CHOOSE(CONTROL!$C$32, $C$9, 100%, $E$9)</f>
        <v>4.9553000000000003</v>
      </c>
      <c r="E251" s="9">
        <f>5.1044 * CHOOSE(CONTROL!$C$32, $C$9, 100%, $E$9)</f>
        <v>5.1044</v>
      </c>
      <c r="F251" s="9">
        <f>5.1044 * CHOOSE(CONTROL!$C$32, $C$9, 100%, $E$9)</f>
        <v>5.1044</v>
      </c>
      <c r="G251" s="9">
        <f>5.1076 * CHOOSE(CONTROL!$C$32, $C$9, 100%, $E$9)</f>
        <v>5.1075999999999997</v>
      </c>
      <c r="H251" s="9">
        <f>6.174 * CHOOSE(CONTROL!$C$32, $C$9, 100%, $E$9)</f>
        <v>6.1740000000000004</v>
      </c>
      <c r="I251" s="9">
        <f>6.1773 * CHOOSE(CONTROL!$C$32, $C$9, 100%, $E$9)</f>
        <v>6.1772999999999998</v>
      </c>
      <c r="J251" s="9">
        <f>6.174 * CHOOSE(CONTROL!$C$32, $C$9, 100%, $E$9)</f>
        <v>6.1740000000000004</v>
      </c>
      <c r="K251" s="9">
        <f>6.1773 * CHOOSE(CONTROL!$C$32, $C$9, 100%, $E$9)</f>
        <v>6.1772999999999998</v>
      </c>
      <c r="L251" s="9">
        <f>5.1044 * CHOOSE(CONTROL!$C$32, $C$9, 100%, $E$9)</f>
        <v>5.1044</v>
      </c>
      <c r="M251" s="9">
        <f>5.1076 * CHOOSE(CONTROL!$C$32, $C$9, 100%, $E$9)</f>
        <v>5.1075999999999997</v>
      </c>
      <c r="N251" s="9">
        <f>5.1044 * CHOOSE(CONTROL!$C$32, $C$9, 100%, $E$9)</f>
        <v>5.1044</v>
      </c>
      <c r="O251" s="9">
        <f>5.1076 * CHOOSE(CONTROL!$C$32, $C$9, 100%, $E$9)</f>
        <v>5.1075999999999997</v>
      </c>
    </row>
    <row r="252" spans="1:15" ht="15" x14ac:dyDescent="0.2">
      <c r="A252" s="16">
        <v>48519</v>
      </c>
      <c r="B252" s="10">
        <f>4.9574 * CHOOSE(CONTROL!$C$32, $C$9, 100%, $E$9)</f>
        <v>4.9573999999999998</v>
      </c>
      <c r="C252" s="10">
        <f>4.9574 * CHOOSE(CONTROL!$C$32, $C$9, 100%, $E$9)</f>
        <v>4.9573999999999998</v>
      </c>
      <c r="D252" s="10">
        <f>4.9584 * CHOOSE(CONTROL!$C$32, $C$9, 100%, $E$9)</f>
        <v>4.9584000000000001</v>
      </c>
      <c r="E252" s="9">
        <f>5.1245 * CHOOSE(CONTROL!$C$32, $C$9, 100%, $E$9)</f>
        <v>5.1245000000000003</v>
      </c>
      <c r="F252" s="9">
        <f>5.1245 * CHOOSE(CONTROL!$C$32, $C$9, 100%, $E$9)</f>
        <v>5.1245000000000003</v>
      </c>
      <c r="G252" s="9">
        <f>5.1277 * CHOOSE(CONTROL!$C$32, $C$9, 100%, $E$9)</f>
        <v>5.1276999999999999</v>
      </c>
      <c r="H252" s="9">
        <f>6.176 * CHOOSE(CONTROL!$C$32, $C$9, 100%, $E$9)</f>
        <v>6.1760000000000002</v>
      </c>
      <c r="I252" s="9">
        <f>6.1793 * CHOOSE(CONTROL!$C$32, $C$9, 100%, $E$9)</f>
        <v>6.1792999999999996</v>
      </c>
      <c r="J252" s="9">
        <f>6.176 * CHOOSE(CONTROL!$C$32, $C$9, 100%, $E$9)</f>
        <v>6.1760000000000002</v>
      </c>
      <c r="K252" s="9">
        <f>6.1793 * CHOOSE(CONTROL!$C$32, $C$9, 100%, $E$9)</f>
        <v>6.1792999999999996</v>
      </c>
      <c r="L252" s="9">
        <f>5.1245 * CHOOSE(CONTROL!$C$32, $C$9, 100%, $E$9)</f>
        <v>5.1245000000000003</v>
      </c>
      <c r="M252" s="9">
        <f>5.1277 * CHOOSE(CONTROL!$C$32, $C$9, 100%, $E$9)</f>
        <v>5.1276999999999999</v>
      </c>
      <c r="N252" s="9">
        <f>5.1245 * CHOOSE(CONTROL!$C$32, $C$9, 100%, $E$9)</f>
        <v>5.1245000000000003</v>
      </c>
      <c r="O252" s="9">
        <f>5.1277 * CHOOSE(CONTROL!$C$32, $C$9, 100%, $E$9)</f>
        <v>5.1276999999999999</v>
      </c>
    </row>
    <row r="253" spans="1:15" ht="15" x14ac:dyDescent="0.2">
      <c r="A253" s="16">
        <v>48549</v>
      </c>
      <c r="B253" s="10">
        <f>4.9574 * CHOOSE(CONTROL!$C$32, $C$9, 100%, $E$9)</f>
        <v>4.9573999999999998</v>
      </c>
      <c r="C253" s="10">
        <f>4.9574 * CHOOSE(CONTROL!$C$32, $C$9, 100%, $E$9)</f>
        <v>4.9573999999999998</v>
      </c>
      <c r="D253" s="10">
        <f>4.9584 * CHOOSE(CONTROL!$C$32, $C$9, 100%, $E$9)</f>
        <v>4.9584000000000001</v>
      </c>
      <c r="E253" s="9">
        <f>5.0796 * CHOOSE(CONTROL!$C$32, $C$9, 100%, $E$9)</f>
        <v>5.0796000000000001</v>
      </c>
      <c r="F253" s="9">
        <f>5.0796 * CHOOSE(CONTROL!$C$32, $C$9, 100%, $E$9)</f>
        <v>5.0796000000000001</v>
      </c>
      <c r="G253" s="9">
        <f>5.0828 * CHOOSE(CONTROL!$C$32, $C$9, 100%, $E$9)</f>
        <v>5.0827999999999998</v>
      </c>
      <c r="H253" s="9">
        <f>6.176 * CHOOSE(CONTROL!$C$32, $C$9, 100%, $E$9)</f>
        <v>6.1760000000000002</v>
      </c>
      <c r="I253" s="9">
        <f>6.1793 * CHOOSE(CONTROL!$C$32, $C$9, 100%, $E$9)</f>
        <v>6.1792999999999996</v>
      </c>
      <c r="J253" s="9">
        <f>6.176 * CHOOSE(CONTROL!$C$32, $C$9, 100%, $E$9)</f>
        <v>6.1760000000000002</v>
      </c>
      <c r="K253" s="9">
        <f>6.1793 * CHOOSE(CONTROL!$C$32, $C$9, 100%, $E$9)</f>
        <v>6.1792999999999996</v>
      </c>
      <c r="L253" s="9">
        <f>5.0796 * CHOOSE(CONTROL!$C$32, $C$9, 100%, $E$9)</f>
        <v>5.0796000000000001</v>
      </c>
      <c r="M253" s="9">
        <f>5.0828 * CHOOSE(CONTROL!$C$32, $C$9, 100%, $E$9)</f>
        <v>5.0827999999999998</v>
      </c>
      <c r="N253" s="9">
        <f>5.0796 * CHOOSE(CONTROL!$C$32, $C$9, 100%, $E$9)</f>
        <v>5.0796000000000001</v>
      </c>
      <c r="O253" s="9">
        <f>5.0828 * CHOOSE(CONTROL!$C$32, $C$9, 100%, $E$9)</f>
        <v>5.0827999999999998</v>
      </c>
    </row>
    <row r="254" spans="1:15" ht="15" x14ac:dyDescent="0.2">
      <c r="A254" s="16">
        <v>48580</v>
      </c>
      <c r="B254" s="10">
        <f>5.001 * CHOOSE(CONTROL!$C$32, $C$9, 100%, $E$9)</f>
        <v>5.0010000000000003</v>
      </c>
      <c r="C254" s="10">
        <f>5.001 * CHOOSE(CONTROL!$C$32, $C$9, 100%, $E$9)</f>
        <v>5.0010000000000003</v>
      </c>
      <c r="D254" s="10">
        <f>5.0019 * CHOOSE(CONTROL!$C$32, $C$9, 100%, $E$9)</f>
        <v>5.0019</v>
      </c>
      <c r="E254" s="9">
        <f>5.1394 * CHOOSE(CONTROL!$C$32, $C$9, 100%, $E$9)</f>
        <v>5.1394000000000002</v>
      </c>
      <c r="F254" s="9">
        <f>5.1394 * CHOOSE(CONTROL!$C$32, $C$9, 100%, $E$9)</f>
        <v>5.1394000000000002</v>
      </c>
      <c r="G254" s="9">
        <f>5.1426 * CHOOSE(CONTROL!$C$32, $C$9, 100%, $E$9)</f>
        <v>5.1425999999999998</v>
      </c>
      <c r="H254" s="9">
        <f>6.2225 * CHOOSE(CONTROL!$C$32, $C$9, 100%, $E$9)</f>
        <v>6.2225000000000001</v>
      </c>
      <c r="I254" s="9">
        <f>6.2257 * CHOOSE(CONTROL!$C$32, $C$9, 100%, $E$9)</f>
        <v>6.2256999999999998</v>
      </c>
      <c r="J254" s="9">
        <f>6.2225 * CHOOSE(CONTROL!$C$32, $C$9, 100%, $E$9)</f>
        <v>6.2225000000000001</v>
      </c>
      <c r="K254" s="9">
        <f>6.2257 * CHOOSE(CONTROL!$C$32, $C$9, 100%, $E$9)</f>
        <v>6.2256999999999998</v>
      </c>
      <c r="L254" s="9">
        <f>5.1394 * CHOOSE(CONTROL!$C$32, $C$9, 100%, $E$9)</f>
        <v>5.1394000000000002</v>
      </c>
      <c r="M254" s="9">
        <f>5.1426 * CHOOSE(CONTROL!$C$32, $C$9, 100%, $E$9)</f>
        <v>5.1425999999999998</v>
      </c>
      <c r="N254" s="9">
        <f>5.1394 * CHOOSE(CONTROL!$C$32, $C$9, 100%, $E$9)</f>
        <v>5.1394000000000002</v>
      </c>
      <c r="O254" s="9">
        <f>5.1426 * CHOOSE(CONTROL!$C$32, $C$9, 100%, $E$9)</f>
        <v>5.1425999999999998</v>
      </c>
    </row>
    <row r="255" spans="1:15" ht="15" x14ac:dyDescent="0.2">
      <c r="A255" s="16">
        <v>48611</v>
      </c>
      <c r="B255" s="10">
        <f>4.9979 * CHOOSE(CONTROL!$C$32, $C$9, 100%, $E$9)</f>
        <v>4.9978999999999996</v>
      </c>
      <c r="C255" s="10">
        <f>4.9979 * CHOOSE(CONTROL!$C$32, $C$9, 100%, $E$9)</f>
        <v>4.9978999999999996</v>
      </c>
      <c r="D255" s="10">
        <f>4.9989 * CHOOSE(CONTROL!$C$32, $C$9, 100%, $E$9)</f>
        <v>4.9988999999999999</v>
      </c>
      <c r="E255" s="9">
        <f>5.0497 * CHOOSE(CONTROL!$C$32, $C$9, 100%, $E$9)</f>
        <v>5.0496999999999996</v>
      </c>
      <c r="F255" s="9">
        <f>5.0497 * CHOOSE(CONTROL!$C$32, $C$9, 100%, $E$9)</f>
        <v>5.0496999999999996</v>
      </c>
      <c r="G255" s="9">
        <f>5.0529 * CHOOSE(CONTROL!$C$32, $C$9, 100%, $E$9)</f>
        <v>5.0529000000000002</v>
      </c>
      <c r="H255" s="9">
        <f>6.2205 * CHOOSE(CONTROL!$C$32, $C$9, 100%, $E$9)</f>
        <v>6.2205000000000004</v>
      </c>
      <c r="I255" s="9">
        <f>6.2237 * CHOOSE(CONTROL!$C$32, $C$9, 100%, $E$9)</f>
        <v>6.2237</v>
      </c>
      <c r="J255" s="9">
        <f>6.2205 * CHOOSE(CONTROL!$C$32, $C$9, 100%, $E$9)</f>
        <v>6.2205000000000004</v>
      </c>
      <c r="K255" s="9">
        <f>6.2237 * CHOOSE(CONTROL!$C$32, $C$9, 100%, $E$9)</f>
        <v>6.2237</v>
      </c>
      <c r="L255" s="9">
        <f>5.0497 * CHOOSE(CONTROL!$C$32, $C$9, 100%, $E$9)</f>
        <v>5.0496999999999996</v>
      </c>
      <c r="M255" s="9">
        <f>5.0529 * CHOOSE(CONTROL!$C$32, $C$9, 100%, $E$9)</f>
        <v>5.0529000000000002</v>
      </c>
      <c r="N255" s="9">
        <f>5.0497 * CHOOSE(CONTROL!$C$32, $C$9, 100%, $E$9)</f>
        <v>5.0496999999999996</v>
      </c>
      <c r="O255" s="9">
        <f>5.0529 * CHOOSE(CONTROL!$C$32, $C$9, 100%, $E$9)</f>
        <v>5.0529000000000002</v>
      </c>
    </row>
    <row r="256" spans="1:15" ht="15" x14ac:dyDescent="0.2">
      <c r="A256" s="16">
        <v>48639</v>
      </c>
      <c r="B256" s="10">
        <f>4.9949 * CHOOSE(CONTROL!$C$32, $C$9, 100%, $E$9)</f>
        <v>4.9949000000000003</v>
      </c>
      <c r="C256" s="10">
        <f>4.9949 * CHOOSE(CONTROL!$C$32, $C$9, 100%, $E$9)</f>
        <v>4.9949000000000003</v>
      </c>
      <c r="D256" s="10">
        <f>4.9959 * CHOOSE(CONTROL!$C$32, $C$9, 100%, $E$9)</f>
        <v>4.9958999999999998</v>
      </c>
      <c r="E256" s="9">
        <f>5.1166 * CHOOSE(CONTROL!$C$32, $C$9, 100%, $E$9)</f>
        <v>5.1166</v>
      </c>
      <c r="F256" s="9">
        <f>5.1166 * CHOOSE(CONTROL!$C$32, $C$9, 100%, $E$9)</f>
        <v>5.1166</v>
      </c>
      <c r="G256" s="9">
        <f>5.1198 * CHOOSE(CONTROL!$C$32, $C$9, 100%, $E$9)</f>
        <v>5.1197999999999997</v>
      </c>
      <c r="H256" s="9">
        <f>6.2185 * CHOOSE(CONTROL!$C$32, $C$9, 100%, $E$9)</f>
        <v>6.2184999999999997</v>
      </c>
      <c r="I256" s="9">
        <f>6.2217 * CHOOSE(CONTROL!$C$32, $C$9, 100%, $E$9)</f>
        <v>6.2217000000000002</v>
      </c>
      <c r="J256" s="9">
        <f>6.2185 * CHOOSE(CONTROL!$C$32, $C$9, 100%, $E$9)</f>
        <v>6.2184999999999997</v>
      </c>
      <c r="K256" s="9">
        <f>6.2217 * CHOOSE(CONTROL!$C$32, $C$9, 100%, $E$9)</f>
        <v>6.2217000000000002</v>
      </c>
      <c r="L256" s="9">
        <f>5.1166 * CHOOSE(CONTROL!$C$32, $C$9, 100%, $E$9)</f>
        <v>5.1166</v>
      </c>
      <c r="M256" s="9">
        <f>5.1198 * CHOOSE(CONTROL!$C$32, $C$9, 100%, $E$9)</f>
        <v>5.1197999999999997</v>
      </c>
      <c r="N256" s="9">
        <f>5.1166 * CHOOSE(CONTROL!$C$32, $C$9, 100%, $E$9)</f>
        <v>5.1166</v>
      </c>
      <c r="O256" s="9">
        <f>5.1198 * CHOOSE(CONTROL!$C$32, $C$9, 100%, $E$9)</f>
        <v>5.1197999999999997</v>
      </c>
    </row>
    <row r="257" spans="1:15" ht="15" x14ac:dyDescent="0.2">
      <c r="A257" s="16">
        <v>48670</v>
      </c>
      <c r="B257" s="10">
        <f>4.9937 * CHOOSE(CONTROL!$C$32, $C$9, 100%, $E$9)</f>
        <v>4.9936999999999996</v>
      </c>
      <c r="C257" s="10">
        <f>4.9937 * CHOOSE(CONTROL!$C$32, $C$9, 100%, $E$9)</f>
        <v>4.9936999999999996</v>
      </c>
      <c r="D257" s="10">
        <f>4.9946 * CHOOSE(CONTROL!$C$32, $C$9, 100%, $E$9)</f>
        <v>4.9946000000000002</v>
      </c>
      <c r="E257" s="9">
        <f>5.1865 * CHOOSE(CONTROL!$C$32, $C$9, 100%, $E$9)</f>
        <v>5.1864999999999997</v>
      </c>
      <c r="F257" s="9">
        <f>5.1865 * CHOOSE(CONTROL!$C$32, $C$9, 100%, $E$9)</f>
        <v>5.1864999999999997</v>
      </c>
      <c r="G257" s="9">
        <f>5.1897 * CHOOSE(CONTROL!$C$32, $C$9, 100%, $E$9)</f>
        <v>5.1897000000000002</v>
      </c>
      <c r="H257" s="9">
        <f>6.2175 * CHOOSE(CONTROL!$C$32, $C$9, 100%, $E$9)</f>
        <v>6.2175000000000002</v>
      </c>
      <c r="I257" s="9">
        <f>6.2207 * CHOOSE(CONTROL!$C$32, $C$9, 100%, $E$9)</f>
        <v>6.2206999999999999</v>
      </c>
      <c r="J257" s="9">
        <f>6.2175 * CHOOSE(CONTROL!$C$32, $C$9, 100%, $E$9)</f>
        <v>6.2175000000000002</v>
      </c>
      <c r="K257" s="9">
        <f>6.2207 * CHOOSE(CONTROL!$C$32, $C$9, 100%, $E$9)</f>
        <v>6.2206999999999999</v>
      </c>
      <c r="L257" s="9">
        <f>5.1865 * CHOOSE(CONTROL!$C$32, $C$9, 100%, $E$9)</f>
        <v>5.1864999999999997</v>
      </c>
      <c r="M257" s="9">
        <f>5.1897 * CHOOSE(CONTROL!$C$32, $C$9, 100%, $E$9)</f>
        <v>5.1897000000000002</v>
      </c>
      <c r="N257" s="9">
        <f>5.1865 * CHOOSE(CONTROL!$C$32, $C$9, 100%, $E$9)</f>
        <v>5.1864999999999997</v>
      </c>
      <c r="O257" s="9">
        <f>5.1897 * CHOOSE(CONTROL!$C$32, $C$9, 100%, $E$9)</f>
        <v>5.1897000000000002</v>
      </c>
    </row>
    <row r="258" spans="1:15" ht="15" x14ac:dyDescent="0.2">
      <c r="A258" s="16">
        <v>48700</v>
      </c>
      <c r="B258" s="10">
        <f>4.9937 * CHOOSE(CONTROL!$C$32, $C$9, 100%, $E$9)</f>
        <v>4.9936999999999996</v>
      </c>
      <c r="C258" s="10">
        <f>4.9937 * CHOOSE(CONTROL!$C$32, $C$9, 100%, $E$9)</f>
        <v>4.9936999999999996</v>
      </c>
      <c r="D258" s="10">
        <f>4.9949 * CHOOSE(CONTROL!$C$32, $C$9, 100%, $E$9)</f>
        <v>4.9949000000000003</v>
      </c>
      <c r="E258" s="9">
        <f>5.2142 * CHOOSE(CONTROL!$C$32, $C$9, 100%, $E$9)</f>
        <v>5.2141999999999999</v>
      </c>
      <c r="F258" s="9">
        <f>5.2142 * CHOOSE(CONTROL!$C$32, $C$9, 100%, $E$9)</f>
        <v>5.2141999999999999</v>
      </c>
      <c r="G258" s="9">
        <f>5.2184 * CHOOSE(CONTROL!$C$32, $C$9, 100%, $E$9)</f>
        <v>5.2183999999999999</v>
      </c>
      <c r="H258" s="9">
        <f>6.2175 * CHOOSE(CONTROL!$C$32, $C$9, 100%, $E$9)</f>
        <v>6.2175000000000002</v>
      </c>
      <c r="I258" s="9">
        <f>6.2217 * CHOOSE(CONTROL!$C$32, $C$9, 100%, $E$9)</f>
        <v>6.2217000000000002</v>
      </c>
      <c r="J258" s="9">
        <f>6.2175 * CHOOSE(CONTROL!$C$32, $C$9, 100%, $E$9)</f>
        <v>6.2175000000000002</v>
      </c>
      <c r="K258" s="9">
        <f>6.2217 * CHOOSE(CONTROL!$C$32, $C$9, 100%, $E$9)</f>
        <v>6.2217000000000002</v>
      </c>
      <c r="L258" s="9">
        <f>5.2142 * CHOOSE(CONTROL!$C$32, $C$9, 100%, $E$9)</f>
        <v>5.2141999999999999</v>
      </c>
      <c r="M258" s="9">
        <f>5.2184 * CHOOSE(CONTROL!$C$32, $C$9, 100%, $E$9)</f>
        <v>5.2183999999999999</v>
      </c>
      <c r="N258" s="9">
        <f>5.2142 * CHOOSE(CONTROL!$C$32, $C$9, 100%, $E$9)</f>
        <v>5.2141999999999999</v>
      </c>
      <c r="O258" s="9">
        <f>5.2184 * CHOOSE(CONTROL!$C$32, $C$9, 100%, $E$9)</f>
        <v>5.2183999999999999</v>
      </c>
    </row>
    <row r="259" spans="1:15" ht="15" x14ac:dyDescent="0.2">
      <c r="A259" s="16">
        <v>48731</v>
      </c>
      <c r="B259" s="10">
        <f>4.9998 * CHOOSE(CONTROL!$C$32, $C$9, 100%, $E$9)</f>
        <v>4.9997999999999996</v>
      </c>
      <c r="C259" s="10">
        <f>4.9998 * CHOOSE(CONTROL!$C$32, $C$9, 100%, $E$9)</f>
        <v>4.9997999999999996</v>
      </c>
      <c r="D259" s="10">
        <f>5.001 * CHOOSE(CONTROL!$C$32, $C$9, 100%, $E$9)</f>
        <v>5.0010000000000003</v>
      </c>
      <c r="E259" s="9">
        <f>5.1907 * CHOOSE(CONTROL!$C$32, $C$9, 100%, $E$9)</f>
        <v>5.1906999999999996</v>
      </c>
      <c r="F259" s="9">
        <f>5.1907 * CHOOSE(CONTROL!$C$32, $C$9, 100%, $E$9)</f>
        <v>5.1906999999999996</v>
      </c>
      <c r="G259" s="9">
        <f>5.1949 * CHOOSE(CONTROL!$C$32, $C$9, 100%, $E$9)</f>
        <v>5.1948999999999996</v>
      </c>
      <c r="H259" s="9">
        <f>6.2215 * CHOOSE(CONTROL!$C$32, $C$9, 100%, $E$9)</f>
        <v>6.2214999999999998</v>
      </c>
      <c r="I259" s="9">
        <f>6.2257 * CHOOSE(CONTROL!$C$32, $C$9, 100%, $E$9)</f>
        <v>6.2256999999999998</v>
      </c>
      <c r="J259" s="9">
        <f>6.2215 * CHOOSE(CONTROL!$C$32, $C$9, 100%, $E$9)</f>
        <v>6.2214999999999998</v>
      </c>
      <c r="K259" s="9">
        <f>6.2257 * CHOOSE(CONTROL!$C$32, $C$9, 100%, $E$9)</f>
        <v>6.2256999999999998</v>
      </c>
      <c r="L259" s="9">
        <f>5.1907 * CHOOSE(CONTROL!$C$32, $C$9, 100%, $E$9)</f>
        <v>5.1906999999999996</v>
      </c>
      <c r="M259" s="9">
        <f>5.1949 * CHOOSE(CONTROL!$C$32, $C$9, 100%, $E$9)</f>
        <v>5.1948999999999996</v>
      </c>
      <c r="N259" s="9">
        <f>5.1907 * CHOOSE(CONTROL!$C$32, $C$9, 100%, $E$9)</f>
        <v>5.1906999999999996</v>
      </c>
      <c r="O259" s="9">
        <f>5.1949 * CHOOSE(CONTROL!$C$32, $C$9, 100%, $E$9)</f>
        <v>5.1948999999999996</v>
      </c>
    </row>
    <row r="260" spans="1:15" ht="15" x14ac:dyDescent="0.2">
      <c r="A260" s="16">
        <v>48761</v>
      </c>
      <c r="B260" s="10">
        <f>5.0784 * CHOOSE(CONTROL!$C$32, $C$9, 100%, $E$9)</f>
        <v>5.0784000000000002</v>
      </c>
      <c r="C260" s="10">
        <f>5.0784 * CHOOSE(CONTROL!$C$32, $C$9, 100%, $E$9)</f>
        <v>5.0784000000000002</v>
      </c>
      <c r="D260" s="10">
        <f>5.0796 * CHOOSE(CONTROL!$C$32, $C$9, 100%, $E$9)</f>
        <v>5.0796000000000001</v>
      </c>
      <c r="E260" s="9">
        <f>5.2373 * CHOOSE(CONTROL!$C$32, $C$9, 100%, $E$9)</f>
        <v>5.2373000000000003</v>
      </c>
      <c r="F260" s="9">
        <f>5.2373 * CHOOSE(CONTROL!$C$32, $C$9, 100%, $E$9)</f>
        <v>5.2373000000000003</v>
      </c>
      <c r="G260" s="9">
        <f>5.2415 * CHOOSE(CONTROL!$C$32, $C$9, 100%, $E$9)</f>
        <v>5.2415000000000003</v>
      </c>
      <c r="H260" s="9">
        <f>6.3179 * CHOOSE(CONTROL!$C$32, $C$9, 100%, $E$9)</f>
        <v>6.3178999999999998</v>
      </c>
      <c r="I260" s="9">
        <f>6.3221 * CHOOSE(CONTROL!$C$32, $C$9, 100%, $E$9)</f>
        <v>6.3220999999999998</v>
      </c>
      <c r="J260" s="9">
        <f>6.3179 * CHOOSE(CONTROL!$C$32, $C$9, 100%, $E$9)</f>
        <v>6.3178999999999998</v>
      </c>
      <c r="K260" s="9">
        <f>6.3221 * CHOOSE(CONTROL!$C$32, $C$9, 100%, $E$9)</f>
        <v>6.3220999999999998</v>
      </c>
      <c r="L260" s="9">
        <f>5.2373 * CHOOSE(CONTROL!$C$32, $C$9, 100%, $E$9)</f>
        <v>5.2373000000000003</v>
      </c>
      <c r="M260" s="9">
        <f>5.2415 * CHOOSE(CONTROL!$C$32, $C$9, 100%, $E$9)</f>
        <v>5.2415000000000003</v>
      </c>
      <c r="N260" s="9">
        <f>5.2373 * CHOOSE(CONTROL!$C$32, $C$9, 100%, $E$9)</f>
        <v>5.2373000000000003</v>
      </c>
      <c r="O260" s="9">
        <f>5.2415 * CHOOSE(CONTROL!$C$32, $C$9, 100%, $E$9)</f>
        <v>5.2415000000000003</v>
      </c>
    </row>
    <row r="261" spans="1:15" ht="15" x14ac:dyDescent="0.2">
      <c r="A261" s="16">
        <v>48792</v>
      </c>
      <c r="B261" s="10">
        <f>5.0851 * CHOOSE(CONTROL!$C$32, $C$9, 100%, $E$9)</f>
        <v>5.0850999999999997</v>
      </c>
      <c r="C261" s="10">
        <f>5.0851 * CHOOSE(CONTROL!$C$32, $C$9, 100%, $E$9)</f>
        <v>5.0850999999999997</v>
      </c>
      <c r="D261" s="10">
        <f>5.0863 * CHOOSE(CONTROL!$C$32, $C$9, 100%, $E$9)</f>
        <v>5.0862999999999996</v>
      </c>
      <c r="E261" s="9">
        <f>5.1586 * CHOOSE(CONTROL!$C$32, $C$9, 100%, $E$9)</f>
        <v>5.1585999999999999</v>
      </c>
      <c r="F261" s="9">
        <f>5.1586 * CHOOSE(CONTROL!$C$32, $C$9, 100%, $E$9)</f>
        <v>5.1585999999999999</v>
      </c>
      <c r="G261" s="9">
        <f>5.1628 * CHOOSE(CONTROL!$C$32, $C$9, 100%, $E$9)</f>
        <v>5.1627999999999998</v>
      </c>
      <c r="H261" s="9">
        <f>6.3223 * CHOOSE(CONTROL!$C$32, $C$9, 100%, $E$9)</f>
        <v>6.3223000000000003</v>
      </c>
      <c r="I261" s="9">
        <f>6.3265 * CHOOSE(CONTROL!$C$32, $C$9, 100%, $E$9)</f>
        <v>6.3265000000000002</v>
      </c>
      <c r="J261" s="9">
        <f>6.3223 * CHOOSE(CONTROL!$C$32, $C$9, 100%, $E$9)</f>
        <v>6.3223000000000003</v>
      </c>
      <c r="K261" s="9">
        <f>6.3265 * CHOOSE(CONTROL!$C$32, $C$9, 100%, $E$9)</f>
        <v>6.3265000000000002</v>
      </c>
      <c r="L261" s="9">
        <f>5.1586 * CHOOSE(CONTROL!$C$32, $C$9, 100%, $E$9)</f>
        <v>5.1585999999999999</v>
      </c>
      <c r="M261" s="9">
        <f>5.1628 * CHOOSE(CONTROL!$C$32, $C$9, 100%, $E$9)</f>
        <v>5.1627999999999998</v>
      </c>
      <c r="N261" s="9">
        <f>5.1586 * CHOOSE(CONTROL!$C$32, $C$9, 100%, $E$9)</f>
        <v>5.1585999999999999</v>
      </c>
      <c r="O261" s="9">
        <f>5.1628 * CHOOSE(CONTROL!$C$32, $C$9, 100%, $E$9)</f>
        <v>5.1627999999999998</v>
      </c>
    </row>
    <row r="262" spans="1:15" ht="15" x14ac:dyDescent="0.2">
      <c r="A262" s="16">
        <v>48823</v>
      </c>
      <c r="B262" s="10">
        <f>5.082 * CHOOSE(CONTROL!$C$32, $C$9, 100%, $E$9)</f>
        <v>5.0819999999999999</v>
      </c>
      <c r="C262" s="10">
        <f>5.082 * CHOOSE(CONTROL!$C$32, $C$9, 100%, $E$9)</f>
        <v>5.0819999999999999</v>
      </c>
      <c r="D262" s="10">
        <f>5.0833 * CHOOSE(CONTROL!$C$32, $C$9, 100%, $E$9)</f>
        <v>5.0833000000000004</v>
      </c>
      <c r="E262" s="9">
        <f>5.1472 * CHOOSE(CONTROL!$C$32, $C$9, 100%, $E$9)</f>
        <v>5.1471999999999998</v>
      </c>
      <c r="F262" s="9">
        <f>5.1472 * CHOOSE(CONTROL!$C$32, $C$9, 100%, $E$9)</f>
        <v>5.1471999999999998</v>
      </c>
      <c r="G262" s="9">
        <f>5.1514 * CHOOSE(CONTROL!$C$32, $C$9, 100%, $E$9)</f>
        <v>5.1513999999999998</v>
      </c>
      <c r="H262" s="9">
        <f>6.3203 * CHOOSE(CONTROL!$C$32, $C$9, 100%, $E$9)</f>
        <v>6.3202999999999996</v>
      </c>
      <c r="I262" s="9">
        <f>6.3245 * CHOOSE(CONTROL!$C$32, $C$9, 100%, $E$9)</f>
        <v>6.3244999999999996</v>
      </c>
      <c r="J262" s="9">
        <f>6.3203 * CHOOSE(CONTROL!$C$32, $C$9, 100%, $E$9)</f>
        <v>6.3202999999999996</v>
      </c>
      <c r="K262" s="9">
        <f>6.3245 * CHOOSE(CONTROL!$C$32, $C$9, 100%, $E$9)</f>
        <v>6.3244999999999996</v>
      </c>
      <c r="L262" s="9">
        <f>5.1472 * CHOOSE(CONTROL!$C$32, $C$9, 100%, $E$9)</f>
        <v>5.1471999999999998</v>
      </c>
      <c r="M262" s="9">
        <f>5.1514 * CHOOSE(CONTROL!$C$32, $C$9, 100%, $E$9)</f>
        <v>5.1513999999999998</v>
      </c>
      <c r="N262" s="9">
        <f>5.1472 * CHOOSE(CONTROL!$C$32, $C$9, 100%, $E$9)</f>
        <v>5.1471999999999998</v>
      </c>
      <c r="O262" s="9">
        <f>5.1514 * CHOOSE(CONTROL!$C$32, $C$9, 100%, $E$9)</f>
        <v>5.1513999999999998</v>
      </c>
    </row>
    <row r="263" spans="1:15" ht="15" x14ac:dyDescent="0.2">
      <c r="A263" s="16">
        <v>48853</v>
      </c>
      <c r="B263" s="10">
        <f>5.0817 * CHOOSE(CONTROL!$C$32, $C$9, 100%, $E$9)</f>
        <v>5.0816999999999997</v>
      </c>
      <c r="C263" s="10">
        <f>5.0817 * CHOOSE(CONTROL!$C$32, $C$9, 100%, $E$9)</f>
        <v>5.0816999999999997</v>
      </c>
      <c r="D263" s="10">
        <f>5.0827 * CHOOSE(CONTROL!$C$32, $C$9, 100%, $E$9)</f>
        <v>5.0827</v>
      </c>
      <c r="E263" s="9">
        <f>5.1709 * CHOOSE(CONTROL!$C$32, $C$9, 100%, $E$9)</f>
        <v>5.1708999999999996</v>
      </c>
      <c r="F263" s="9">
        <f>5.1709 * CHOOSE(CONTROL!$C$32, $C$9, 100%, $E$9)</f>
        <v>5.1708999999999996</v>
      </c>
      <c r="G263" s="9">
        <f>5.1741 * CHOOSE(CONTROL!$C$32, $C$9, 100%, $E$9)</f>
        <v>5.1741000000000001</v>
      </c>
      <c r="H263" s="9">
        <f>6.3194 * CHOOSE(CONTROL!$C$32, $C$9, 100%, $E$9)</f>
        <v>6.3193999999999999</v>
      </c>
      <c r="I263" s="9">
        <f>6.3227 * CHOOSE(CONTROL!$C$32, $C$9, 100%, $E$9)</f>
        <v>6.3227000000000002</v>
      </c>
      <c r="J263" s="9">
        <f>6.3194 * CHOOSE(CONTROL!$C$32, $C$9, 100%, $E$9)</f>
        <v>6.3193999999999999</v>
      </c>
      <c r="K263" s="9">
        <f>6.3227 * CHOOSE(CONTROL!$C$32, $C$9, 100%, $E$9)</f>
        <v>6.3227000000000002</v>
      </c>
      <c r="L263" s="9">
        <f>5.1709 * CHOOSE(CONTROL!$C$32, $C$9, 100%, $E$9)</f>
        <v>5.1708999999999996</v>
      </c>
      <c r="M263" s="9">
        <f>5.1741 * CHOOSE(CONTROL!$C$32, $C$9, 100%, $E$9)</f>
        <v>5.1741000000000001</v>
      </c>
      <c r="N263" s="9">
        <f>5.1709 * CHOOSE(CONTROL!$C$32, $C$9, 100%, $E$9)</f>
        <v>5.1708999999999996</v>
      </c>
      <c r="O263" s="9">
        <f>5.1741 * CHOOSE(CONTROL!$C$32, $C$9, 100%, $E$9)</f>
        <v>5.1741000000000001</v>
      </c>
    </row>
    <row r="264" spans="1:15" ht="15" x14ac:dyDescent="0.2">
      <c r="A264" s="16">
        <v>48884</v>
      </c>
      <c r="B264" s="10">
        <f>5.0848 * CHOOSE(CONTROL!$C$32, $C$9, 100%, $E$9)</f>
        <v>5.0848000000000004</v>
      </c>
      <c r="C264" s="10">
        <f>5.0848 * CHOOSE(CONTROL!$C$32, $C$9, 100%, $E$9)</f>
        <v>5.0848000000000004</v>
      </c>
      <c r="D264" s="10">
        <f>5.0857 * CHOOSE(CONTROL!$C$32, $C$9, 100%, $E$9)</f>
        <v>5.0857000000000001</v>
      </c>
      <c r="E264" s="9">
        <f>5.1915 * CHOOSE(CONTROL!$C$32, $C$9, 100%, $E$9)</f>
        <v>5.1914999999999996</v>
      </c>
      <c r="F264" s="9">
        <f>5.1915 * CHOOSE(CONTROL!$C$32, $C$9, 100%, $E$9)</f>
        <v>5.1914999999999996</v>
      </c>
      <c r="G264" s="9">
        <f>5.1947 * CHOOSE(CONTROL!$C$32, $C$9, 100%, $E$9)</f>
        <v>5.1947000000000001</v>
      </c>
      <c r="H264" s="9">
        <f>6.3214 * CHOOSE(CONTROL!$C$32, $C$9, 100%, $E$9)</f>
        <v>6.3213999999999997</v>
      </c>
      <c r="I264" s="9">
        <f>6.3247 * CHOOSE(CONTROL!$C$32, $C$9, 100%, $E$9)</f>
        <v>6.3247</v>
      </c>
      <c r="J264" s="9">
        <f>6.3214 * CHOOSE(CONTROL!$C$32, $C$9, 100%, $E$9)</f>
        <v>6.3213999999999997</v>
      </c>
      <c r="K264" s="9">
        <f>6.3247 * CHOOSE(CONTROL!$C$32, $C$9, 100%, $E$9)</f>
        <v>6.3247</v>
      </c>
      <c r="L264" s="9">
        <f>5.1915 * CHOOSE(CONTROL!$C$32, $C$9, 100%, $E$9)</f>
        <v>5.1914999999999996</v>
      </c>
      <c r="M264" s="9">
        <f>5.1947 * CHOOSE(CONTROL!$C$32, $C$9, 100%, $E$9)</f>
        <v>5.1947000000000001</v>
      </c>
      <c r="N264" s="9">
        <f>5.1915 * CHOOSE(CONTROL!$C$32, $C$9, 100%, $E$9)</f>
        <v>5.1914999999999996</v>
      </c>
      <c r="O264" s="9">
        <f>5.1947 * CHOOSE(CONTROL!$C$32, $C$9, 100%, $E$9)</f>
        <v>5.1947000000000001</v>
      </c>
    </row>
    <row r="265" spans="1:15" ht="15" x14ac:dyDescent="0.2">
      <c r="A265" s="16">
        <v>48914</v>
      </c>
      <c r="B265" s="10">
        <f>5.0848 * CHOOSE(CONTROL!$C$32, $C$9, 100%, $E$9)</f>
        <v>5.0848000000000004</v>
      </c>
      <c r="C265" s="10">
        <f>5.0848 * CHOOSE(CONTROL!$C$32, $C$9, 100%, $E$9)</f>
        <v>5.0848000000000004</v>
      </c>
      <c r="D265" s="10">
        <f>5.0857 * CHOOSE(CONTROL!$C$32, $C$9, 100%, $E$9)</f>
        <v>5.0857000000000001</v>
      </c>
      <c r="E265" s="9">
        <f>5.1452 * CHOOSE(CONTROL!$C$32, $C$9, 100%, $E$9)</f>
        <v>5.1452</v>
      </c>
      <c r="F265" s="9">
        <f>5.1452 * CHOOSE(CONTROL!$C$32, $C$9, 100%, $E$9)</f>
        <v>5.1452</v>
      </c>
      <c r="G265" s="9">
        <f>5.1484 * CHOOSE(CONTROL!$C$32, $C$9, 100%, $E$9)</f>
        <v>5.1483999999999996</v>
      </c>
      <c r="H265" s="9">
        <f>6.3214 * CHOOSE(CONTROL!$C$32, $C$9, 100%, $E$9)</f>
        <v>6.3213999999999997</v>
      </c>
      <c r="I265" s="9">
        <f>6.3247 * CHOOSE(CONTROL!$C$32, $C$9, 100%, $E$9)</f>
        <v>6.3247</v>
      </c>
      <c r="J265" s="9">
        <f>6.3214 * CHOOSE(CONTROL!$C$32, $C$9, 100%, $E$9)</f>
        <v>6.3213999999999997</v>
      </c>
      <c r="K265" s="9">
        <f>6.3247 * CHOOSE(CONTROL!$C$32, $C$9, 100%, $E$9)</f>
        <v>6.3247</v>
      </c>
      <c r="L265" s="9">
        <f>5.1452 * CHOOSE(CONTROL!$C$32, $C$9, 100%, $E$9)</f>
        <v>5.1452</v>
      </c>
      <c r="M265" s="9">
        <f>5.1484 * CHOOSE(CONTROL!$C$32, $C$9, 100%, $E$9)</f>
        <v>5.1483999999999996</v>
      </c>
      <c r="N265" s="9">
        <f>5.1452 * CHOOSE(CONTROL!$C$32, $C$9, 100%, $E$9)</f>
        <v>5.1452</v>
      </c>
      <c r="O265" s="9">
        <f>5.1484 * CHOOSE(CONTROL!$C$32, $C$9, 100%, $E$9)</f>
        <v>5.1483999999999996</v>
      </c>
    </row>
    <row r="266" spans="1:15" ht="15" x14ac:dyDescent="0.2">
      <c r="A266" s="16">
        <v>48945</v>
      </c>
      <c r="B266" s="10">
        <f>5.1288 * CHOOSE(CONTROL!$C$32, $C$9, 100%, $E$9)</f>
        <v>5.1288</v>
      </c>
      <c r="C266" s="10">
        <f>5.1288 * CHOOSE(CONTROL!$C$32, $C$9, 100%, $E$9)</f>
        <v>5.1288</v>
      </c>
      <c r="D266" s="10">
        <f>5.1297 * CHOOSE(CONTROL!$C$32, $C$9, 100%, $E$9)</f>
        <v>5.1296999999999997</v>
      </c>
      <c r="E266" s="9">
        <f>5.208 * CHOOSE(CONTROL!$C$32, $C$9, 100%, $E$9)</f>
        <v>5.2080000000000002</v>
      </c>
      <c r="F266" s="9">
        <f>5.208 * CHOOSE(CONTROL!$C$32, $C$9, 100%, $E$9)</f>
        <v>5.2080000000000002</v>
      </c>
      <c r="G266" s="9">
        <f>5.2112 * CHOOSE(CONTROL!$C$32, $C$9, 100%, $E$9)</f>
        <v>5.2111999999999998</v>
      </c>
      <c r="H266" s="9">
        <f>6.3693 * CHOOSE(CONTROL!$C$32, $C$9, 100%, $E$9)</f>
        <v>6.3693</v>
      </c>
      <c r="I266" s="9">
        <f>6.3725 * CHOOSE(CONTROL!$C$32, $C$9, 100%, $E$9)</f>
        <v>6.3724999999999996</v>
      </c>
      <c r="J266" s="9">
        <f>6.3693 * CHOOSE(CONTROL!$C$32, $C$9, 100%, $E$9)</f>
        <v>6.3693</v>
      </c>
      <c r="K266" s="9">
        <f>6.3725 * CHOOSE(CONTROL!$C$32, $C$9, 100%, $E$9)</f>
        <v>6.3724999999999996</v>
      </c>
      <c r="L266" s="9">
        <f>5.208 * CHOOSE(CONTROL!$C$32, $C$9, 100%, $E$9)</f>
        <v>5.2080000000000002</v>
      </c>
      <c r="M266" s="9">
        <f>5.2112 * CHOOSE(CONTROL!$C$32, $C$9, 100%, $E$9)</f>
        <v>5.2111999999999998</v>
      </c>
      <c r="N266" s="9">
        <f>5.208 * CHOOSE(CONTROL!$C$32, $C$9, 100%, $E$9)</f>
        <v>5.2080000000000002</v>
      </c>
      <c r="O266" s="9">
        <f>5.2112 * CHOOSE(CONTROL!$C$32, $C$9, 100%, $E$9)</f>
        <v>5.2111999999999998</v>
      </c>
    </row>
    <row r="267" spans="1:15" ht="15" x14ac:dyDescent="0.2">
      <c r="A267" s="16">
        <v>48976</v>
      </c>
      <c r="B267" s="10">
        <f>5.1257 * CHOOSE(CONTROL!$C$32, $C$9, 100%, $E$9)</f>
        <v>5.1257000000000001</v>
      </c>
      <c r="C267" s="10">
        <f>5.1257 * CHOOSE(CONTROL!$C$32, $C$9, 100%, $E$9)</f>
        <v>5.1257000000000001</v>
      </c>
      <c r="D267" s="10">
        <f>5.1267 * CHOOSE(CONTROL!$C$32, $C$9, 100%, $E$9)</f>
        <v>5.1266999999999996</v>
      </c>
      <c r="E267" s="9">
        <f>5.1156 * CHOOSE(CONTROL!$C$32, $C$9, 100%, $E$9)</f>
        <v>5.1155999999999997</v>
      </c>
      <c r="F267" s="9">
        <f>5.1156 * CHOOSE(CONTROL!$C$32, $C$9, 100%, $E$9)</f>
        <v>5.1155999999999997</v>
      </c>
      <c r="G267" s="9">
        <f>5.1189 * CHOOSE(CONTROL!$C$32, $C$9, 100%, $E$9)</f>
        <v>5.1189</v>
      </c>
      <c r="H267" s="9">
        <f>6.3673 * CHOOSE(CONTROL!$C$32, $C$9, 100%, $E$9)</f>
        <v>6.3673000000000002</v>
      </c>
      <c r="I267" s="9">
        <f>6.3705 * CHOOSE(CONTROL!$C$32, $C$9, 100%, $E$9)</f>
        <v>6.3704999999999998</v>
      </c>
      <c r="J267" s="9">
        <f>6.3673 * CHOOSE(CONTROL!$C$32, $C$9, 100%, $E$9)</f>
        <v>6.3673000000000002</v>
      </c>
      <c r="K267" s="9">
        <f>6.3705 * CHOOSE(CONTROL!$C$32, $C$9, 100%, $E$9)</f>
        <v>6.3704999999999998</v>
      </c>
      <c r="L267" s="9">
        <f>5.1156 * CHOOSE(CONTROL!$C$32, $C$9, 100%, $E$9)</f>
        <v>5.1155999999999997</v>
      </c>
      <c r="M267" s="9">
        <f>5.1189 * CHOOSE(CONTROL!$C$32, $C$9, 100%, $E$9)</f>
        <v>5.1189</v>
      </c>
      <c r="N267" s="9">
        <f>5.1156 * CHOOSE(CONTROL!$C$32, $C$9, 100%, $E$9)</f>
        <v>5.1155999999999997</v>
      </c>
      <c r="O267" s="9">
        <f>5.1189 * CHOOSE(CONTROL!$C$32, $C$9, 100%, $E$9)</f>
        <v>5.1189</v>
      </c>
    </row>
    <row r="268" spans="1:15" ht="15" x14ac:dyDescent="0.2">
      <c r="A268" s="16">
        <v>49004</v>
      </c>
      <c r="B268" s="10">
        <f>5.1227 * CHOOSE(CONTROL!$C$32, $C$9, 100%, $E$9)</f>
        <v>5.1227</v>
      </c>
      <c r="C268" s="10">
        <f>5.1227 * CHOOSE(CONTROL!$C$32, $C$9, 100%, $E$9)</f>
        <v>5.1227</v>
      </c>
      <c r="D268" s="10">
        <f>5.1236 * CHOOSE(CONTROL!$C$32, $C$9, 100%, $E$9)</f>
        <v>5.1235999999999997</v>
      </c>
      <c r="E268" s="9">
        <f>5.1847 * CHOOSE(CONTROL!$C$32, $C$9, 100%, $E$9)</f>
        <v>5.1847000000000003</v>
      </c>
      <c r="F268" s="9">
        <f>5.1847 * CHOOSE(CONTROL!$C$32, $C$9, 100%, $E$9)</f>
        <v>5.1847000000000003</v>
      </c>
      <c r="G268" s="9">
        <f>5.1879 * CHOOSE(CONTROL!$C$32, $C$9, 100%, $E$9)</f>
        <v>5.1879</v>
      </c>
      <c r="H268" s="9">
        <f>6.3653 * CHOOSE(CONTROL!$C$32, $C$9, 100%, $E$9)</f>
        <v>6.3653000000000004</v>
      </c>
      <c r="I268" s="9">
        <f>6.3685 * CHOOSE(CONTROL!$C$32, $C$9, 100%, $E$9)</f>
        <v>6.3685</v>
      </c>
      <c r="J268" s="9">
        <f>6.3653 * CHOOSE(CONTROL!$C$32, $C$9, 100%, $E$9)</f>
        <v>6.3653000000000004</v>
      </c>
      <c r="K268" s="9">
        <f>6.3685 * CHOOSE(CONTROL!$C$32, $C$9, 100%, $E$9)</f>
        <v>6.3685</v>
      </c>
      <c r="L268" s="9">
        <f>5.1847 * CHOOSE(CONTROL!$C$32, $C$9, 100%, $E$9)</f>
        <v>5.1847000000000003</v>
      </c>
      <c r="M268" s="9">
        <f>5.1879 * CHOOSE(CONTROL!$C$32, $C$9, 100%, $E$9)</f>
        <v>5.1879</v>
      </c>
      <c r="N268" s="9">
        <f>5.1847 * CHOOSE(CONTROL!$C$32, $C$9, 100%, $E$9)</f>
        <v>5.1847000000000003</v>
      </c>
      <c r="O268" s="9">
        <f>5.1879 * CHOOSE(CONTROL!$C$32, $C$9, 100%, $E$9)</f>
        <v>5.1879</v>
      </c>
    </row>
    <row r="269" spans="1:15" ht="15" x14ac:dyDescent="0.2">
      <c r="A269" s="16">
        <v>49035</v>
      </c>
      <c r="B269" s="10">
        <f>5.1216 * CHOOSE(CONTROL!$C$32, $C$9, 100%, $E$9)</f>
        <v>5.1215999999999999</v>
      </c>
      <c r="C269" s="10">
        <f>5.1216 * CHOOSE(CONTROL!$C$32, $C$9, 100%, $E$9)</f>
        <v>5.1215999999999999</v>
      </c>
      <c r="D269" s="10">
        <f>5.1225 * CHOOSE(CONTROL!$C$32, $C$9, 100%, $E$9)</f>
        <v>5.1224999999999996</v>
      </c>
      <c r="E269" s="9">
        <f>5.2569 * CHOOSE(CONTROL!$C$32, $C$9, 100%, $E$9)</f>
        <v>5.2568999999999999</v>
      </c>
      <c r="F269" s="9">
        <f>5.2569 * CHOOSE(CONTROL!$C$32, $C$9, 100%, $E$9)</f>
        <v>5.2568999999999999</v>
      </c>
      <c r="G269" s="9">
        <f>5.2601 * CHOOSE(CONTROL!$C$32, $C$9, 100%, $E$9)</f>
        <v>5.2601000000000004</v>
      </c>
      <c r="H269" s="9">
        <f>6.3644 * CHOOSE(CONTROL!$C$32, $C$9, 100%, $E$9)</f>
        <v>6.3643999999999998</v>
      </c>
      <c r="I269" s="9">
        <f>6.3676 * CHOOSE(CONTROL!$C$32, $C$9, 100%, $E$9)</f>
        <v>6.3676000000000004</v>
      </c>
      <c r="J269" s="9">
        <f>6.3644 * CHOOSE(CONTROL!$C$32, $C$9, 100%, $E$9)</f>
        <v>6.3643999999999998</v>
      </c>
      <c r="K269" s="9">
        <f>6.3676 * CHOOSE(CONTROL!$C$32, $C$9, 100%, $E$9)</f>
        <v>6.3676000000000004</v>
      </c>
      <c r="L269" s="9">
        <f>5.2569 * CHOOSE(CONTROL!$C$32, $C$9, 100%, $E$9)</f>
        <v>5.2568999999999999</v>
      </c>
      <c r="M269" s="9">
        <f>5.2601 * CHOOSE(CONTROL!$C$32, $C$9, 100%, $E$9)</f>
        <v>5.2601000000000004</v>
      </c>
      <c r="N269" s="9">
        <f>5.2569 * CHOOSE(CONTROL!$C$32, $C$9, 100%, $E$9)</f>
        <v>5.2568999999999999</v>
      </c>
      <c r="O269" s="9">
        <f>5.2601 * CHOOSE(CONTROL!$C$32, $C$9, 100%, $E$9)</f>
        <v>5.2601000000000004</v>
      </c>
    </row>
    <row r="270" spans="1:15" ht="15" x14ac:dyDescent="0.2">
      <c r="A270" s="16">
        <v>49065</v>
      </c>
      <c r="B270" s="10">
        <f>5.1216 * CHOOSE(CONTROL!$C$32, $C$9, 100%, $E$9)</f>
        <v>5.1215999999999999</v>
      </c>
      <c r="C270" s="10">
        <f>5.1216 * CHOOSE(CONTROL!$C$32, $C$9, 100%, $E$9)</f>
        <v>5.1215999999999999</v>
      </c>
      <c r="D270" s="10">
        <f>5.1228 * CHOOSE(CONTROL!$C$32, $C$9, 100%, $E$9)</f>
        <v>5.1227999999999998</v>
      </c>
      <c r="E270" s="9">
        <f>5.2855 * CHOOSE(CONTROL!$C$32, $C$9, 100%, $E$9)</f>
        <v>5.2854999999999999</v>
      </c>
      <c r="F270" s="9">
        <f>5.2855 * CHOOSE(CONTROL!$C$32, $C$9, 100%, $E$9)</f>
        <v>5.2854999999999999</v>
      </c>
      <c r="G270" s="9">
        <f>5.2897 * CHOOSE(CONTROL!$C$32, $C$9, 100%, $E$9)</f>
        <v>5.2896999999999998</v>
      </c>
      <c r="H270" s="9">
        <f>6.3644 * CHOOSE(CONTROL!$C$32, $C$9, 100%, $E$9)</f>
        <v>6.3643999999999998</v>
      </c>
      <c r="I270" s="9">
        <f>6.3686 * CHOOSE(CONTROL!$C$32, $C$9, 100%, $E$9)</f>
        <v>6.3685999999999998</v>
      </c>
      <c r="J270" s="9">
        <f>6.3644 * CHOOSE(CONTROL!$C$32, $C$9, 100%, $E$9)</f>
        <v>6.3643999999999998</v>
      </c>
      <c r="K270" s="9">
        <f>6.3686 * CHOOSE(CONTROL!$C$32, $C$9, 100%, $E$9)</f>
        <v>6.3685999999999998</v>
      </c>
      <c r="L270" s="9">
        <f>5.2855 * CHOOSE(CONTROL!$C$32, $C$9, 100%, $E$9)</f>
        <v>5.2854999999999999</v>
      </c>
      <c r="M270" s="9">
        <f>5.2897 * CHOOSE(CONTROL!$C$32, $C$9, 100%, $E$9)</f>
        <v>5.2896999999999998</v>
      </c>
      <c r="N270" s="9">
        <f>5.2855 * CHOOSE(CONTROL!$C$32, $C$9, 100%, $E$9)</f>
        <v>5.2854999999999999</v>
      </c>
      <c r="O270" s="9">
        <f>5.2897 * CHOOSE(CONTROL!$C$32, $C$9, 100%, $E$9)</f>
        <v>5.2896999999999998</v>
      </c>
    </row>
    <row r="271" spans="1:15" ht="15" x14ac:dyDescent="0.2">
      <c r="A271" s="16">
        <v>49096</v>
      </c>
      <c r="B271" s="10">
        <f>5.1277 * CHOOSE(CONTROL!$C$32, $C$9, 100%, $E$9)</f>
        <v>5.1276999999999999</v>
      </c>
      <c r="C271" s="10">
        <f>5.1277 * CHOOSE(CONTROL!$C$32, $C$9, 100%, $E$9)</f>
        <v>5.1276999999999999</v>
      </c>
      <c r="D271" s="10">
        <f>5.1289 * CHOOSE(CONTROL!$C$32, $C$9, 100%, $E$9)</f>
        <v>5.1288999999999998</v>
      </c>
      <c r="E271" s="9">
        <f>5.2611 * CHOOSE(CONTROL!$C$32, $C$9, 100%, $E$9)</f>
        <v>5.2610999999999999</v>
      </c>
      <c r="F271" s="9">
        <f>5.2611 * CHOOSE(CONTROL!$C$32, $C$9, 100%, $E$9)</f>
        <v>5.2610999999999999</v>
      </c>
      <c r="G271" s="9">
        <f>5.2653 * CHOOSE(CONTROL!$C$32, $C$9, 100%, $E$9)</f>
        <v>5.2652999999999999</v>
      </c>
      <c r="H271" s="9">
        <f>6.3684 * CHOOSE(CONTROL!$C$32, $C$9, 100%, $E$9)</f>
        <v>6.3684000000000003</v>
      </c>
      <c r="I271" s="9">
        <f>6.3726 * CHOOSE(CONTROL!$C$32, $C$9, 100%, $E$9)</f>
        <v>6.3726000000000003</v>
      </c>
      <c r="J271" s="9">
        <f>6.3684 * CHOOSE(CONTROL!$C$32, $C$9, 100%, $E$9)</f>
        <v>6.3684000000000003</v>
      </c>
      <c r="K271" s="9">
        <f>6.3726 * CHOOSE(CONTROL!$C$32, $C$9, 100%, $E$9)</f>
        <v>6.3726000000000003</v>
      </c>
      <c r="L271" s="9">
        <f>5.2611 * CHOOSE(CONTROL!$C$32, $C$9, 100%, $E$9)</f>
        <v>5.2610999999999999</v>
      </c>
      <c r="M271" s="9">
        <f>5.2653 * CHOOSE(CONTROL!$C$32, $C$9, 100%, $E$9)</f>
        <v>5.2652999999999999</v>
      </c>
      <c r="N271" s="9">
        <f>5.2611 * CHOOSE(CONTROL!$C$32, $C$9, 100%, $E$9)</f>
        <v>5.2610999999999999</v>
      </c>
      <c r="O271" s="9">
        <f>5.2653 * CHOOSE(CONTROL!$C$32, $C$9, 100%, $E$9)</f>
        <v>5.2652999999999999</v>
      </c>
    </row>
    <row r="272" spans="1:15" ht="15" x14ac:dyDescent="0.2">
      <c r="A272" s="16">
        <v>49126</v>
      </c>
      <c r="B272" s="10">
        <f>5.2067 * CHOOSE(CONTROL!$C$32, $C$9, 100%, $E$9)</f>
        <v>5.2066999999999997</v>
      </c>
      <c r="C272" s="10">
        <f>5.2067 * CHOOSE(CONTROL!$C$32, $C$9, 100%, $E$9)</f>
        <v>5.2066999999999997</v>
      </c>
      <c r="D272" s="10">
        <f>5.208 * CHOOSE(CONTROL!$C$32, $C$9, 100%, $E$9)</f>
        <v>5.2080000000000002</v>
      </c>
      <c r="E272" s="9">
        <f>5.3101 * CHOOSE(CONTROL!$C$32, $C$9, 100%, $E$9)</f>
        <v>5.3101000000000003</v>
      </c>
      <c r="F272" s="9">
        <f>5.3101 * CHOOSE(CONTROL!$C$32, $C$9, 100%, $E$9)</f>
        <v>5.3101000000000003</v>
      </c>
      <c r="G272" s="9">
        <f>5.3143 * CHOOSE(CONTROL!$C$32, $C$9, 100%, $E$9)</f>
        <v>5.3143000000000002</v>
      </c>
      <c r="H272" s="9">
        <f>6.4678 * CHOOSE(CONTROL!$C$32, $C$9, 100%, $E$9)</f>
        <v>6.4678000000000004</v>
      </c>
      <c r="I272" s="9">
        <f>6.472 * CHOOSE(CONTROL!$C$32, $C$9, 100%, $E$9)</f>
        <v>6.4720000000000004</v>
      </c>
      <c r="J272" s="9">
        <f>6.4678 * CHOOSE(CONTROL!$C$32, $C$9, 100%, $E$9)</f>
        <v>6.4678000000000004</v>
      </c>
      <c r="K272" s="9">
        <f>6.472 * CHOOSE(CONTROL!$C$32, $C$9, 100%, $E$9)</f>
        <v>6.4720000000000004</v>
      </c>
      <c r="L272" s="9">
        <f>5.3101 * CHOOSE(CONTROL!$C$32, $C$9, 100%, $E$9)</f>
        <v>5.3101000000000003</v>
      </c>
      <c r="M272" s="9">
        <f>5.3143 * CHOOSE(CONTROL!$C$32, $C$9, 100%, $E$9)</f>
        <v>5.3143000000000002</v>
      </c>
      <c r="N272" s="9">
        <f>5.3101 * CHOOSE(CONTROL!$C$32, $C$9, 100%, $E$9)</f>
        <v>5.3101000000000003</v>
      </c>
      <c r="O272" s="9">
        <f>5.3143 * CHOOSE(CONTROL!$C$32, $C$9, 100%, $E$9)</f>
        <v>5.3143000000000002</v>
      </c>
    </row>
    <row r="273" spans="1:15" ht="15" x14ac:dyDescent="0.2">
      <c r="A273" s="16">
        <v>49157</v>
      </c>
      <c r="B273" s="10">
        <f>5.2134 * CHOOSE(CONTROL!$C$32, $C$9, 100%, $E$9)</f>
        <v>5.2134</v>
      </c>
      <c r="C273" s="10">
        <f>5.2134 * CHOOSE(CONTROL!$C$32, $C$9, 100%, $E$9)</f>
        <v>5.2134</v>
      </c>
      <c r="D273" s="10">
        <f>5.2146 * CHOOSE(CONTROL!$C$32, $C$9, 100%, $E$9)</f>
        <v>5.2145999999999999</v>
      </c>
      <c r="E273" s="9">
        <f>5.2288 * CHOOSE(CONTROL!$C$32, $C$9, 100%, $E$9)</f>
        <v>5.2287999999999997</v>
      </c>
      <c r="F273" s="9">
        <f>5.2288 * CHOOSE(CONTROL!$C$32, $C$9, 100%, $E$9)</f>
        <v>5.2287999999999997</v>
      </c>
      <c r="G273" s="9">
        <f>5.233 * CHOOSE(CONTROL!$C$32, $C$9, 100%, $E$9)</f>
        <v>5.2329999999999997</v>
      </c>
      <c r="H273" s="9">
        <f>6.4722 * CHOOSE(CONTROL!$C$32, $C$9, 100%, $E$9)</f>
        <v>6.4722</v>
      </c>
      <c r="I273" s="9">
        <f>6.4764 * CHOOSE(CONTROL!$C$32, $C$9, 100%, $E$9)</f>
        <v>6.4763999999999999</v>
      </c>
      <c r="J273" s="9">
        <f>6.4722 * CHOOSE(CONTROL!$C$32, $C$9, 100%, $E$9)</f>
        <v>6.4722</v>
      </c>
      <c r="K273" s="9">
        <f>6.4764 * CHOOSE(CONTROL!$C$32, $C$9, 100%, $E$9)</f>
        <v>6.4763999999999999</v>
      </c>
      <c r="L273" s="9">
        <f>5.2288 * CHOOSE(CONTROL!$C$32, $C$9, 100%, $E$9)</f>
        <v>5.2287999999999997</v>
      </c>
      <c r="M273" s="9">
        <f>5.233 * CHOOSE(CONTROL!$C$32, $C$9, 100%, $E$9)</f>
        <v>5.2329999999999997</v>
      </c>
      <c r="N273" s="9">
        <f>5.2288 * CHOOSE(CONTROL!$C$32, $C$9, 100%, $E$9)</f>
        <v>5.2287999999999997</v>
      </c>
      <c r="O273" s="9">
        <f>5.233 * CHOOSE(CONTROL!$C$32, $C$9, 100%, $E$9)</f>
        <v>5.2329999999999997</v>
      </c>
    </row>
    <row r="274" spans="1:15" ht="15" x14ac:dyDescent="0.2">
      <c r="A274" s="16">
        <v>49188</v>
      </c>
      <c r="B274" s="10">
        <f>5.2104 * CHOOSE(CONTROL!$C$32, $C$9, 100%, $E$9)</f>
        <v>5.2103999999999999</v>
      </c>
      <c r="C274" s="10">
        <f>5.2104 * CHOOSE(CONTROL!$C$32, $C$9, 100%, $E$9)</f>
        <v>5.2103999999999999</v>
      </c>
      <c r="D274" s="10">
        <f>5.2116 * CHOOSE(CONTROL!$C$32, $C$9, 100%, $E$9)</f>
        <v>5.2115999999999998</v>
      </c>
      <c r="E274" s="9">
        <f>5.2171 * CHOOSE(CONTROL!$C$32, $C$9, 100%, $E$9)</f>
        <v>5.2171000000000003</v>
      </c>
      <c r="F274" s="9">
        <f>5.2171 * CHOOSE(CONTROL!$C$32, $C$9, 100%, $E$9)</f>
        <v>5.2171000000000003</v>
      </c>
      <c r="G274" s="9">
        <f>5.2213 * CHOOSE(CONTROL!$C$32, $C$9, 100%, $E$9)</f>
        <v>5.2213000000000003</v>
      </c>
      <c r="H274" s="9">
        <f>6.4702 * CHOOSE(CONTROL!$C$32, $C$9, 100%, $E$9)</f>
        <v>6.4702000000000002</v>
      </c>
      <c r="I274" s="9">
        <f>6.4744 * CHOOSE(CONTROL!$C$32, $C$9, 100%, $E$9)</f>
        <v>6.4744000000000002</v>
      </c>
      <c r="J274" s="9">
        <f>6.4702 * CHOOSE(CONTROL!$C$32, $C$9, 100%, $E$9)</f>
        <v>6.4702000000000002</v>
      </c>
      <c r="K274" s="9">
        <f>6.4744 * CHOOSE(CONTROL!$C$32, $C$9, 100%, $E$9)</f>
        <v>6.4744000000000002</v>
      </c>
      <c r="L274" s="9">
        <f>5.2171 * CHOOSE(CONTROL!$C$32, $C$9, 100%, $E$9)</f>
        <v>5.2171000000000003</v>
      </c>
      <c r="M274" s="9">
        <f>5.2213 * CHOOSE(CONTROL!$C$32, $C$9, 100%, $E$9)</f>
        <v>5.2213000000000003</v>
      </c>
      <c r="N274" s="9">
        <f>5.2171 * CHOOSE(CONTROL!$C$32, $C$9, 100%, $E$9)</f>
        <v>5.2171000000000003</v>
      </c>
      <c r="O274" s="9">
        <f>5.2213 * CHOOSE(CONTROL!$C$32, $C$9, 100%, $E$9)</f>
        <v>5.2213000000000003</v>
      </c>
    </row>
    <row r="275" spans="1:15" ht="15" x14ac:dyDescent="0.2">
      <c r="A275" s="16">
        <v>49218</v>
      </c>
      <c r="B275" s="10">
        <f>5.2106 * CHOOSE(CONTROL!$C$32, $C$9, 100%, $E$9)</f>
        <v>5.2106000000000003</v>
      </c>
      <c r="C275" s="10">
        <f>5.2106 * CHOOSE(CONTROL!$C$32, $C$9, 100%, $E$9)</f>
        <v>5.2106000000000003</v>
      </c>
      <c r="D275" s="10">
        <f>5.2115 * CHOOSE(CONTROL!$C$32, $C$9, 100%, $E$9)</f>
        <v>5.2115</v>
      </c>
      <c r="E275" s="9">
        <f>5.2419 * CHOOSE(CONTROL!$C$32, $C$9, 100%, $E$9)</f>
        <v>5.2419000000000002</v>
      </c>
      <c r="F275" s="9">
        <f>5.2419 * CHOOSE(CONTROL!$C$32, $C$9, 100%, $E$9)</f>
        <v>5.2419000000000002</v>
      </c>
      <c r="G275" s="9">
        <f>5.2451 * CHOOSE(CONTROL!$C$32, $C$9, 100%, $E$9)</f>
        <v>5.2450999999999999</v>
      </c>
      <c r="H275" s="9">
        <f>6.4696 * CHOOSE(CONTROL!$C$32, $C$9, 100%, $E$9)</f>
        <v>6.4695999999999998</v>
      </c>
      <c r="I275" s="9">
        <f>6.4728 * CHOOSE(CONTROL!$C$32, $C$9, 100%, $E$9)</f>
        <v>6.4728000000000003</v>
      </c>
      <c r="J275" s="9">
        <f>6.4696 * CHOOSE(CONTROL!$C$32, $C$9, 100%, $E$9)</f>
        <v>6.4695999999999998</v>
      </c>
      <c r="K275" s="9">
        <f>6.4728 * CHOOSE(CONTROL!$C$32, $C$9, 100%, $E$9)</f>
        <v>6.4728000000000003</v>
      </c>
      <c r="L275" s="9">
        <f>5.2419 * CHOOSE(CONTROL!$C$32, $C$9, 100%, $E$9)</f>
        <v>5.2419000000000002</v>
      </c>
      <c r="M275" s="9">
        <f>5.2451 * CHOOSE(CONTROL!$C$32, $C$9, 100%, $E$9)</f>
        <v>5.2450999999999999</v>
      </c>
      <c r="N275" s="9">
        <f>5.2419 * CHOOSE(CONTROL!$C$32, $C$9, 100%, $E$9)</f>
        <v>5.2419000000000002</v>
      </c>
      <c r="O275" s="9">
        <f>5.2451 * CHOOSE(CONTROL!$C$32, $C$9, 100%, $E$9)</f>
        <v>5.2450999999999999</v>
      </c>
    </row>
    <row r="276" spans="1:15" ht="15" x14ac:dyDescent="0.2">
      <c r="A276" s="16">
        <v>49249</v>
      </c>
      <c r="B276" s="10">
        <f>5.2136 * CHOOSE(CONTROL!$C$32, $C$9, 100%, $E$9)</f>
        <v>5.2135999999999996</v>
      </c>
      <c r="C276" s="10">
        <f>5.2136 * CHOOSE(CONTROL!$C$32, $C$9, 100%, $E$9)</f>
        <v>5.2135999999999996</v>
      </c>
      <c r="D276" s="10">
        <f>5.2146 * CHOOSE(CONTROL!$C$32, $C$9, 100%, $E$9)</f>
        <v>5.2145999999999999</v>
      </c>
      <c r="E276" s="9">
        <f>5.2631 * CHOOSE(CONTROL!$C$32, $C$9, 100%, $E$9)</f>
        <v>5.2630999999999997</v>
      </c>
      <c r="F276" s="9">
        <f>5.2631 * CHOOSE(CONTROL!$C$32, $C$9, 100%, $E$9)</f>
        <v>5.2630999999999997</v>
      </c>
      <c r="G276" s="9">
        <f>5.2663 * CHOOSE(CONTROL!$C$32, $C$9, 100%, $E$9)</f>
        <v>5.2663000000000002</v>
      </c>
      <c r="H276" s="9">
        <f>6.4716 * CHOOSE(CONTROL!$C$32, $C$9, 100%, $E$9)</f>
        <v>6.4715999999999996</v>
      </c>
      <c r="I276" s="9">
        <f>6.4748 * CHOOSE(CONTROL!$C$32, $C$9, 100%, $E$9)</f>
        <v>6.4748000000000001</v>
      </c>
      <c r="J276" s="9">
        <f>6.4716 * CHOOSE(CONTROL!$C$32, $C$9, 100%, $E$9)</f>
        <v>6.4715999999999996</v>
      </c>
      <c r="K276" s="9">
        <f>6.4748 * CHOOSE(CONTROL!$C$32, $C$9, 100%, $E$9)</f>
        <v>6.4748000000000001</v>
      </c>
      <c r="L276" s="9">
        <f>5.2631 * CHOOSE(CONTROL!$C$32, $C$9, 100%, $E$9)</f>
        <v>5.2630999999999997</v>
      </c>
      <c r="M276" s="9">
        <f>5.2663 * CHOOSE(CONTROL!$C$32, $C$9, 100%, $E$9)</f>
        <v>5.2663000000000002</v>
      </c>
      <c r="N276" s="9">
        <f>5.2631 * CHOOSE(CONTROL!$C$32, $C$9, 100%, $E$9)</f>
        <v>5.2630999999999997</v>
      </c>
      <c r="O276" s="9">
        <f>5.2663 * CHOOSE(CONTROL!$C$32, $C$9, 100%, $E$9)</f>
        <v>5.2663000000000002</v>
      </c>
    </row>
    <row r="277" spans="1:15" ht="15" x14ac:dyDescent="0.2">
      <c r="A277" s="16">
        <v>49279</v>
      </c>
      <c r="B277" s="10">
        <f>5.2136 * CHOOSE(CONTROL!$C$32, $C$9, 100%, $E$9)</f>
        <v>5.2135999999999996</v>
      </c>
      <c r="C277" s="10">
        <f>5.2136 * CHOOSE(CONTROL!$C$32, $C$9, 100%, $E$9)</f>
        <v>5.2135999999999996</v>
      </c>
      <c r="D277" s="10">
        <f>5.2146 * CHOOSE(CONTROL!$C$32, $C$9, 100%, $E$9)</f>
        <v>5.2145999999999999</v>
      </c>
      <c r="E277" s="9">
        <f>5.2153 * CHOOSE(CONTROL!$C$32, $C$9, 100%, $E$9)</f>
        <v>5.2153</v>
      </c>
      <c r="F277" s="9">
        <f>5.2153 * CHOOSE(CONTROL!$C$32, $C$9, 100%, $E$9)</f>
        <v>5.2153</v>
      </c>
      <c r="G277" s="9">
        <f>5.2186 * CHOOSE(CONTROL!$C$32, $C$9, 100%, $E$9)</f>
        <v>5.2186000000000003</v>
      </c>
      <c r="H277" s="9">
        <f>6.4716 * CHOOSE(CONTROL!$C$32, $C$9, 100%, $E$9)</f>
        <v>6.4715999999999996</v>
      </c>
      <c r="I277" s="9">
        <f>6.4748 * CHOOSE(CONTROL!$C$32, $C$9, 100%, $E$9)</f>
        <v>6.4748000000000001</v>
      </c>
      <c r="J277" s="9">
        <f>6.4716 * CHOOSE(CONTROL!$C$32, $C$9, 100%, $E$9)</f>
        <v>6.4715999999999996</v>
      </c>
      <c r="K277" s="9">
        <f>6.4748 * CHOOSE(CONTROL!$C$32, $C$9, 100%, $E$9)</f>
        <v>6.4748000000000001</v>
      </c>
      <c r="L277" s="9">
        <f>5.2153 * CHOOSE(CONTROL!$C$32, $C$9, 100%, $E$9)</f>
        <v>5.2153</v>
      </c>
      <c r="M277" s="9">
        <f>5.2186 * CHOOSE(CONTROL!$C$32, $C$9, 100%, $E$9)</f>
        <v>5.2186000000000003</v>
      </c>
      <c r="N277" s="9">
        <f>5.2153 * CHOOSE(CONTROL!$C$32, $C$9, 100%, $E$9)</f>
        <v>5.2153</v>
      </c>
      <c r="O277" s="9">
        <f>5.2186 * CHOOSE(CONTROL!$C$32, $C$9, 100%, $E$9)</f>
        <v>5.2186000000000003</v>
      </c>
    </row>
    <row r="278" spans="1:15" ht="15" x14ac:dyDescent="0.2">
      <c r="A278" s="16">
        <v>49310</v>
      </c>
      <c r="B278" s="10">
        <f>5.2626 * CHOOSE(CONTROL!$C$32, $C$9, 100%, $E$9)</f>
        <v>5.2625999999999999</v>
      </c>
      <c r="C278" s="10">
        <f>5.2626 * CHOOSE(CONTROL!$C$32, $C$9, 100%, $E$9)</f>
        <v>5.2625999999999999</v>
      </c>
      <c r="D278" s="10">
        <f>5.2635 * CHOOSE(CONTROL!$C$32, $C$9, 100%, $E$9)</f>
        <v>5.2634999999999996</v>
      </c>
      <c r="E278" s="9">
        <f>5.2803 * CHOOSE(CONTROL!$C$32, $C$9, 100%, $E$9)</f>
        <v>5.2803000000000004</v>
      </c>
      <c r="F278" s="9">
        <f>5.2803 * CHOOSE(CONTROL!$C$32, $C$9, 100%, $E$9)</f>
        <v>5.2803000000000004</v>
      </c>
      <c r="G278" s="9">
        <f>5.2835 * CHOOSE(CONTROL!$C$32, $C$9, 100%, $E$9)</f>
        <v>5.2835000000000001</v>
      </c>
      <c r="H278" s="9">
        <f>6.5223 * CHOOSE(CONTROL!$C$32, $C$9, 100%, $E$9)</f>
        <v>6.5223000000000004</v>
      </c>
      <c r="I278" s="9">
        <f>6.5255 * CHOOSE(CONTROL!$C$32, $C$9, 100%, $E$9)</f>
        <v>6.5255000000000001</v>
      </c>
      <c r="J278" s="9">
        <f>6.5223 * CHOOSE(CONTROL!$C$32, $C$9, 100%, $E$9)</f>
        <v>6.5223000000000004</v>
      </c>
      <c r="K278" s="9">
        <f>6.5255 * CHOOSE(CONTROL!$C$32, $C$9, 100%, $E$9)</f>
        <v>6.5255000000000001</v>
      </c>
      <c r="L278" s="9">
        <f>5.2803 * CHOOSE(CONTROL!$C$32, $C$9, 100%, $E$9)</f>
        <v>5.2803000000000004</v>
      </c>
      <c r="M278" s="9">
        <f>5.2835 * CHOOSE(CONTROL!$C$32, $C$9, 100%, $E$9)</f>
        <v>5.2835000000000001</v>
      </c>
      <c r="N278" s="9">
        <f>5.2803 * CHOOSE(CONTROL!$C$32, $C$9, 100%, $E$9)</f>
        <v>5.2803000000000004</v>
      </c>
      <c r="O278" s="9">
        <f>5.2835 * CHOOSE(CONTROL!$C$32, $C$9, 100%, $E$9)</f>
        <v>5.2835000000000001</v>
      </c>
    </row>
    <row r="279" spans="1:15" ht="15" x14ac:dyDescent="0.2">
      <c r="A279" s="16">
        <v>49341</v>
      </c>
      <c r="B279" s="10">
        <f>5.2595 * CHOOSE(CONTROL!$C$32, $C$9, 100%, $E$9)</f>
        <v>5.2595000000000001</v>
      </c>
      <c r="C279" s="10">
        <f>5.2595 * CHOOSE(CONTROL!$C$32, $C$9, 100%, $E$9)</f>
        <v>5.2595000000000001</v>
      </c>
      <c r="D279" s="10">
        <f>5.2605 * CHOOSE(CONTROL!$C$32, $C$9, 100%, $E$9)</f>
        <v>5.2605000000000004</v>
      </c>
      <c r="E279" s="9">
        <f>5.185 * CHOOSE(CONTROL!$C$32, $C$9, 100%, $E$9)</f>
        <v>5.1849999999999996</v>
      </c>
      <c r="F279" s="9">
        <f>5.185 * CHOOSE(CONTROL!$C$32, $C$9, 100%, $E$9)</f>
        <v>5.1849999999999996</v>
      </c>
      <c r="G279" s="9">
        <f>5.1882 * CHOOSE(CONTROL!$C$32, $C$9, 100%, $E$9)</f>
        <v>5.1882000000000001</v>
      </c>
      <c r="H279" s="9">
        <f>6.5203 * CHOOSE(CONTROL!$C$32, $C$9, 100%, $E$9)</f>
        <v>6.5202999999999998</v>
      </c>
      <c r="I279" s="9">
        <f>6.5235 * CHOOSE(CONTROL!$C$32, $C$9, 100%, $E$9)</f>
        <v>6.5235000000000003</v>
      </c>
      <c r="J279" s="9">
        <f>6.5203 * CHOOSE(CONTROL!$C$32, $C$9, 100%, $E$9)</f>
        <v>6.5202999999999998</v>
      </c>
      <c r="K279" s="9">
        <f>6.5235 * CHOOSE(CONTROL!$C$32, $C$9, 100%, $E$9)</f>
        <v>6.5235000000000003</v>
      </c>
      <c r="L279" s="9">
        <f>5.185 * CHOOSE(CONTROL!$C$32, $C$9, 100%, $E$9)</f>
        <v>5.1849999999999996</v>
      </c>
      <c r="M279" s="9">
        <f>5.1882 * CHOOSE(CONTROL!$C$32, $C$9, 100%, $E$9)</f>
        <v>5.1882000000000001</v>
      </c>
      <c r="N279" s="9">
        <f>5.185 * CHOOSE(CONTROL!$C$32, $C$9, 100%, $E$9)</f>
        <v>5.1849999999999996</v>
      </c>
      <c r="O279" s="9">
        <f>5.1882 * CHOOSE(CONTROL!$C$32, $C$9, 100%, $E$9)</f>
        <v>5.1882000000000001</v>
      </c>
    </row>
    <row r="280" spans="1:15" ht="15" x14ac:dyDescent="0.2">
      <c r="A280" s="16">
        <v>49369</v>
      </c>
      <c r="B280" s="10">
        <f>5.2565 * CHOOSE(CONTROL!$C$32, $C$9, 100%, $E$9)</f>
        <v>5.2565</v>
      </c>
      <c r="C280" s="10">
        <f>5.2565 * CHOOSE(CONTROL!$C$32, $C$9, 100%, $E$9)</f>
        <v>5.2565</v>
      </c>
      <c r="D280" s="10">
        <f>5.2575 * CHOOSE(CONTROL!$C$32, $C$9, 100%, $E$9)</f>
        <v>5.2575000000000003</v>
      </c>
      <c r="E280" s="9">
        <f>5.2563 * CHOOSE(CONTROL!$C$32, $C$9, 100%, $E$9)</f>
        <v>5.2563000000000004</v>
      </c>
      <c r="F280" s="9">
        <f>5.2563 * CHOOSE(CONTROL!$C$32, $C$9, 100%, $E$9)</f>
        <v>5.2563000000000004</v>
      </c>
      <c r="G280" s="9">
        <f>5.2595 * CHOOSE(CONTROL!$C$32, $C$9, 100%, $E$9)</f>
        <v>5.2595000000000001</v>
      </c>
      <c r="H280" s="9">
        <f>6.5183 * CHOOSE(CONTROL!$C$32, $C$9, 100%, $E$9)</f>
        <v>6.5183</v>
      </c>
      <c r="I280" s="9">
        <f>6.5215 * CHOOSE(CONTROL!$C$32, $C$9, 100%, $E$9)</f>
        <v>6.5214999999999996</v>
      </c>
      <c r="J280" s="9">
        <f>6.5183 * CHOOSE(CONTROL!$C$32, $C$9, 100%, $E$9)</f>
        <v>6.5183</v>
      </c>
      <c r="K280" s="9">
        <f>6.5215 * CHOOSE(CONTROL!$C$32, $C$9, 100%, $E$9)</f>
        <v>6.5214999999999996</v>
      </c>
      <c r="L280" s="9">
        <f>5.2563 * CHOOSE(CONTROL!$C$32, $C$9, 100%, $E$9)</f>
        <v>5.2563000000000004</v>
      </c>
      <c r="M280" s="9">
        <f>5.2595 * CHOOSE(CONTROL!$C$32, $C$9, 100%, $E$9)</f>
        <v>5.2595000000000001</v>
      </c>
      <c r="N280" s="9">
        <f>5.2563 * CHOOSE(CONTROL!$C$32, $C$9, 100%, $E$9)</f>
        <v>5.2563000000000004</v>
      </c>
      <c r="O280" s="9">
        <f>5.2595 * CHOOSE(CONTROL!$C$32, $C$9, 100%, $E$9)</f>
        <v>5.2595000000000001</v>
      </c>
    </row>
    <row r="281" spans="1:15" ht="15" x14ac:dyDescent="0.2">
      <c r="A281" s="16">
        <v>49400</v>
      </c>
      <c r="B281" s="10">
        <f>5.2555 * CHOOSE(CONTROL!$C$32, $C$9, 100%, $E$9)</f>
        <v>5.2554999999999996</v>
      </c>
      <c r="C281" s="10">
        <f>5.2555 * CHOOSE(CONTROL!$C$32, $C$9, 100%, $E$9)</f>
        <v>5.2554999999999996</v>
      </c>
      <c r="D281" s="10">
        <f>5.2565 * CHOOSE(CONTROL!$C$32, $C$9, 100%, $E$9)</f>
        <v>5.2565</v>
      </c>
      <c r="E281" s="9">
        <f>5.331 * CHOOSE(CONTROL!$C$32, $C$9, 100%, $E$9)</f>
        <v>5.3310000000000004</v>
      </c>
      <c r="F281" s="9">
        <f>5.331 * CHOOSE(CONTROL!$C$32, $C$9, 100%, $E$9)</f>
        <v>5.3310000000000004</v>
      </c>
      <c r="G281" s="9">
        <f>5.3342 * CHOOSE(CONTROL!$C$32, $C$9, 100%, $E$9)</f>
        <v>5.3342000000000001</v>
      </c>
      <c r="H281" s="9">
        <f>6.5175 * CHOOSE(CONTROL!$C$32, $C$9, 100%, $E$9)</f>
        <v>6.5175000000000001</v>
      </c>
      <c r="I281" s="9">
        <f>6.5207 * CHOOSE(CONTROL!$C$32, $C$9, 100%, $E$9)</f>
        <v>6.5206999999999997</v>
      </c>
      <c r="J281" s="9">
        <f>6.5175 * CHOOSE(CONTROL!$C$32, $C$9, 100%, $E$9)</f>
        <v>6.5175000000000001</v>
      </c>
      <c r="K281" s="9">
        <f>6.5207 * CHOOSE(CONTROL!$C$32, $C$9, 100%, $E$9)</f>
        <v>6.5206999999999997</v>
      </c>
      <c r="L281" s="9">
        <f>5.331 * CHOOSE(CONTROL!$C$32, $C$9, 100%, $E$9)</f>
        <v>5.3310000000000004</v>
      </c>
      <c r="M281" s="9">
        <f>5.3342 * CHOOSE(CONTROL!$C$32, $C$9, 100%, $E$9)</f>
        <v>5.3342000000000001</v>
      </c>
      <c r="N281" s="9">
        <f>5.331 * CHOOSE(CONTROL!$C$32, $C$9, 100%, $E$9)</f>
        <v>5.3310000000000004</v>
      </c>
      <c r="O281" s="9">
        <f>5.3342 * CHOOSE(CONTROL!$C$32, $C$9, 100%, $E$9)</f>
        <v>5.3342000000000001</v>
      </c>
    </row>
    <row r="282" spans="1:15" ht="15" x14ac:dyDescent="0.2">
      <c r="A282" s="16">
        <v>49430</v>
      </c>
      <c r="B282" s="10">
        <f>5.2555 * CHOOSE(CONTROL!$C$32, $C$9, 100%, $E$9)</f>
        <v>5.2554999999999996</v>
      </c>
      <c r="C282" s="10">
        <f>5.2555 * CHOOSE(CONTROL!$C$32, $C$9, 100%, $E$9)</f>
        <v>5.2554999999999996</v>
      </c>
      <c r="D282" s="10">
        <f>5.2568 * CHOOSE(CONTROL!$C$32, $C$9, 100%, $E$9)</f>
        <v>5.2568000000000001</v>
      </c>
      <c r="E282" s="9">
        <f>5.3606 * CHOOSE(CONTROL!$C$32, $C$9, 100%, $E$9)</f>
        <v>5.3605999999999998</v>
      </c>
      <c r="F282" s="9">
        <f>5.3606 * CHOOSE(CONTROL!$C$32, $C$9, 100%, $E$9)</f>
        <v>5.3605999999999998</v>
      </c>
      <c r="G282" s="9">
        <f>5.3648 * CHOOSE(CONTROL!$C$32, $C$9, 100%, $E$9)</f>
        <v>5.3647999999999998</v>
      </c>
      <c r="H282" s="9">
        <f>6.5175 * CHOOSE(CONTROL!$C$32, $C$9, 100%, $E$9)</f>
        <v>6.5175000000000001</v>
      </c>
      <c r="I282" s="9">
        <f>6.5217 * CHOOSE(CONTROL!$C$32, $C$9, 100%, $E$9)</f>
        <v>6.5217000000000001</v>
      </c>
      <c r="J282" s="9">
        <f>6.5175 * CHOOSE(CONTROL!$C$32, $C$9, 100%, $E$9)</f>
        <v>6.5175000000000001</v>
      </c>
      <c r="K282" s="9">
        <f>6.5217 * CHOOSE(CONTROL!$C$32, $C$9, 100%, $E$9)</f>
        <v>6.5217000000000001</v>
      </c>
      <c r="L282" s="9">
        <f>5.3606 * CHOOSE(CONTROL!$C$32, $C$9, 100%, $E$9)</f>
        <v>5.3605999999999998</v>
      </c>
      <c r="M282" s="9">
        <f>5.3648 * CHOOSE(CONTROL!$C$32, $C$9, 100%, $E$9)</f>
        <v>5.3647999999999998</v>
      </c>
      <c r="N282" s="9">
        <f>5.3606 * CHOOSE(CONTROL!$C$32, $C$9, 100%, $E$9)</f>
        <v>5.3605999999999998</v>
      </c>
      <c r="O282" s="9">
        <f>5.3648 * CHOOSE(CONTROL!$C$32, $C$9, 100%, $E$9)</f>
        <v>5.3647999999999998</v>
      </c>
    </row>
    <row r="283" spans="1:15" ht="15" x14ac:dyDescent="0.2">
      <c r="A283" s="15">
        <v>49461</v>
      </c>
      <c r="B283" s="10">
        <f>5.2616 * CHOOSE(CONTROL!$C$32, $C$9, 100%, $E$9)</f>
        <v>5.2615999999999996</v>
      </c>
      <c r="C283" s="10">
        <f>5.2616 * CHOOSE(CONTROL!$C$32, $C$9, 100%, $E$9)</f>
        <v>5.2615999999999996</v>
      </c>
      <c r="D283" s="10">
        <f>5.2629 * CHOOSE(CONTROL!$C$32, $C$9, 100%, $E$9)</f>
        <v>5.2629000000000001</v>
      </c>
      <c r="E283" s="9">
        <f>5.3352 * CHOOSE(CONTROL!$C$32, $C$9, 100%, $E$9)</f>
        <v>5.3352000000000004</v>
      </c>
      <c r="F283" s="9">
        <f>5.3352 * CHOOSE(CONTROL!$C$32, $C$9, 100%, $E$9)</f>
        <v>5.3352000000000004</v>
      </c>
      <c r="G283" s="9">
        <f>5.3394 * CHOOSE(CONTROL!$C$32, $C$9, 100%, $E$9)</f>
        <v>5.3394000000000004</v>
      </c>
      <c r="H283" s="9">
        <f>6.5215 * CHOOSE(CONTROL!$C$32, $C$9, 100%, $E$9)</f>
        <v>6.5214999999999996</v>
      </c>
      <c r="I283" s="9">
        <f>6.5257 * CHOOSE(CONTROL!$C$32, $C$9, 100%, $E$9)</f>
        <v>6.5256999999999996</v>
      </c>
      <c r="J283" s="9">
        <f>6.5215 * CHOOSE(CONTROL!$C$32, $C$9, 100%, $E$9)</f>
        <v>6.5214999999999996</v>
      </c>
      <c r="K283" s="9">
        <f>6.5257 * CHOOSE(CONTROL!$C$32, $C$9, 100%, $E$9)</f>
        <v>6.5256999999999996</v>
      </c>
      <c r="L283" s="9">
        <f>5.3352 * CHOOSE(CONTROL!$C$32, $C$9, 100%, $E$9)</f>
        <v>5.3352000000000004</v>
      </c>
      <c r="M283" s="9">
        <f>5.3394 * CHOOSE(CONTROL!$C$32, $C$9, 100%, $E$9)</f>
        <v>5.3394000000000004</v>
      </c>
      <c r="N283" s="9">
        <f>5.3352 * CHOOSE(CONTROL!$C$32, $C$9, 100%, $E$9)</f>
        <v>5.3352000000000004</v>
      </c>
      <c r="O283" s="9">
        <f>5.3394 * CHOOSE(CONTROL!$C$32, $C$9, 100%, $E$9)</f>
        <v>5.3394000000000004</v>
      </c>
    </row>
    <row r="284" spans="1:15" ht="15" x14ac:dyDescent="0.2">
      <c r="A284" s="15">
        <v>49491</v>
      </c>
      <c r="B284" s="10">
        <f>5.3505 * CHOOSE(CONTROL!$C$32, $C$9, 100%, $E$9)</f>
        <v>5.3505000000000003</v>
      </c>
      <c r="C284" s="10">
        <f>5.3505 * CHOOSE(CONTROL!$C$32, $C$9, 100%, $E$9)</f>
        <v>5.3505000000000003</v>
      </c>
      <c r="D284" s="10">
        <f>5.3518 * CHOOSE(CONTROL!$C$32, $C$9, 100%, $E$9)</f>
        <v>5.3517999999999999</v>
      </c>
      <c r="E284" s="9">
        <f>5.3835 * CHOOSE(CONTROL!$C$32, $C$9, 100%, $E$9)</f>
        <v>5.3834999999999997</v>
      </c>
      <c r="F284" s="9">
        <f>5.3835 * CHOOSE(CONTROL!$C$32, $C$9, 100%, $E$9)</f>
        <v>5.3834999999999997</v>
      </c>
      <c r="G284" s="9">
        <f>5.3877 * CHOOSE(CONTROL!$C$32, $C$9, 100%, $E$9)</f>
        <v>5.3876999999999997</v>
      </c>
      <c r="H284" s="9">
        <f>6.6264 * CHOOSE(CONTROL!$C$32, $C$9, 100%, $E$9)</f>
        <v>6.6264000000000003</v>
      </c>
      <c r="I284" s="9">
        <f>6.6306 * CHOOSE(CONTROL!$C$32, $C$9, 100%, $E$9)</f>
        <v>6.6306000000000003</v>
      </c>
      <c r="J284" s="9">
        <f>6.6264 * CHOOSE(CONTROL!$C$32, $C$9, 100%, $E$9)</f>
        <v>6.6264000000000003</v>
      </c>
      <c r="K284" s="9">
        <f>6.6306 * CHOOSE(CONTROL!$C$32, $C$9, 100%, $E$9)</f>
        <v>6.6306000000000003</v>
      </c>
      <c r="L284" s="9">
        <f>5.3835 * CHOOSE(CONTROL!$C$32, $C$9, 100%, $E$9)</f>
        <v>5.3834999999999997</v>
      </c>
      <c r="M284" s="9">
        <f>5.3877 * CHOOSE(CONTROL!$C$32, $C$9, 100%, $E$9)</f>
        <v>5.3876999999999997</v>
      </c>
      <c r="N284" s="9">
        <f>5.3835 * CHOOSE(CONTROL!$C$32, $C$9, 100%, $E$9)</f>
        <v>5.3834999999999997</v>
      </c>
      <c r="O284" s="9">
        <f>5.3877 * CHOOSE(CONTROL!$C$32, $C$9, 100%, $E$9)</f>
        <v>5.3876999999999997</v>
      </c>
    </row>
    <row r="285" spans="1:15" ht="15" x14ac:dyDescent="0.2">
      <c r="A285" s="15">
        <v>49522</v>
      </c>
      <c r="B285" s="10">
        <f>5.3572 * CHOOSE(CONTROL!$C$32, $C$9, 100%, $E$9)</f>
        <v>5.3571999999999997</v>
      </c>
      <c r="C285" s="10">
        <f>5.3572 * CHOOSE(CONTROL!$C$32, $C$9, 100%, $E$9)</f>
        <v>5.3571999999999997</v>
      </c>
      <c r="D285" s="10">
        <f>5.3585 * CHOOSE(CONTROL!$C$32, $C$9, 100%, $E$9)</f>
        <v>5.3585000000000003</v>
      </c>
      <c r="E285" s="9">
        <f>5.2994 * CHOOSE(CONTROL!$C$32, $C$9, 100%, $E$9)</f>
        <v>5.2994000000000003</v>
      </c>
      <c r="F285" s="9">
        <f>5.2994 * CHOOSE(CONTROL!$C$32, $C$9, 100%, $E$9)</f>
        <v>5.2994000000000003</v>
      </c>
      <c r="G285" s="9">
        <f>5.3036 * CHOOSE(CONTROL!$C$32, $C$9, 100%, $E$9)</f>
        <v>5.3036000000000003</v>
      </c>
      <c r="H285" s="9">
        <f>6.6308 * CHOOSE(CONTROL!$C$32, $C$9, 100%, $E$9)</f>
        <v>6.6307999999999998</v>
      </c>
      <c r="I285" s="9">
        <f>6.635 * CHOOSE(CONTROL!$C$32, $C$9, 100%, $E$9)</f>
        <v>6.6349999999999998</v>
      </c>
      <c r="J285" s="9">
        <f>6.6308 * CHOOSE(CONTROL!$C$32, $C$9, 100%, $E$9)</f>
        <v>6.6307999999999998</v>
      </c>
      <c r="K285" s="9">
        <f>6.635 * CHOOSE(CONTROL!$C$32, $C$9, 100%, $E$9)</f>
        <v>6.6349999999999998</v>
      </c>
      <c r="L285" s="9">
        <f>5.2994 * CHOOSE(CONTROL!$C$32, $C$9, 100%, $E$9)</f>
        <v>5.2994000000000003</v>
      </c>
      <c r="M285" s="9">
        <f>5.3036 * CHOOSE(CONTROL!$C$32, $C$9, 100%, $E$9)</f>
        <v>5.3036000000000003</v>
      </c>
      <c r="N285" s="9">
        <f>5.2994 * CHOOSE(CONTROL!$C$32, $C$9, 100%, $E$9)</f>
        <v>5.2994000000000003</v>
      </c>
      <c r="O285" s="9">
        <f>5.3036 * CHOOSE(CONTROL!$C$32, $C$9, 100%, $E$9)</f>
        <v>5.3036000000000003</v>
      </c>
    </row>
    <row r="286" spans="1:15" ht="15" x14ac:dyDescent="0.2">
      <c r="A286" s="15">
        <v>49553</v>
      </c>
      <c r="B286" s="10">
        <f>5.3542 * CHOOSE(CONTROL!$C$32, $C$9, 100%, $E$9)</f>
        <v>5.3541999999999996</v>
      </c>
      <c r="C286" s="10">
        <f>5.3542 * CHOOSE(CONTROL!$C$32, $C$9, 100%, $E$9)</f>
        <v>5.3541999999999996</v>
      </c>
      <c r="D286" s="10">
        <f>5.3554 * CHOOSE(CONTROL!$C$32, $C$9, 100%, $E$9)</f>
        <v>5.3554000000000004</v>
      </c>
      <c r="E286" s="9">
        <f>5.2874 * CHOOSE(CONTROL!$C$32, $C$9, 100%, $E$9)</f>
        <v>5.2873999999999999</v>
      </c>
      <c r="F286" s="9">
        <f>5.2874 * CHOOSE(CONTROL!$C$32, $C$9, 100%, $E$9)</f>
        <v>5.2873999999999999</v>
      </c>
      <c r="G286" s="9">
        <f>5.2916 * CHOOSE(CONTROL!$C$32, $C$9, 100%, $E$9)</f>
        <v>5.2915999999999999</v>
      </c>
      <c r="H286" s="9">
        <f>6.6288 * CHOOSE(CONTROL!$C$32, $C$9, 100%, $E$9)</f>
        <v>6.6288</v>
      </c>
      <c r="I286" s="9">
        <f>6.633 * CHOOSE(CONTROL!$C$32, $C$9, 100%, $E$9)</f>
        <v>6.633</v>
      </c>
      <c r="J286" s="9">
        <f>6.6288 * CHOOSE(CONTROL!$C$32, $C$9, 100%, $E$9)</f>
        <v>6.6288</v>
      </c>
      <c r="K286" s="9">
        <f>6.633 * CHOOSE(CONTROL!$C$32, $C$9, 100%, $E$9)</f>
        <v>6.633</v>
      </c>
      <c r="L286" s="9">
        <f>5.2874 * CHOOSE(CONTROL!$C$32, $C$9, 100%, $E$9)</f>
        <v>5.2873999999999999</v>
      </c>
      <c r="M286" s="9">
        <f>5.2916 * CHOOSE(CONTROL!$C$32, $C$9, 100%, $E$9)</f>
        <v>5.2915999999999999</v>
      </c>
      <c r="N286" s="9">
        <f>5.2874 * CHOOSE(CONTROL!$C$32, $C$9, 100%, $E$9)</f>
        <v>5.2873999999999999</v>
      </c>
      <c r="O286" s="9">
        <f>5.2916 * CHOOSE(CONTROL!$C$32, $C$9, 100%, $E$9)</f>
        <v>5.2915999999999999</v>
      </c>
    </row>
    <row r="287" spans="1:15" ht="15" x14ac:dyDescent="0.2">
      <c r="A287" s="15">
        <v>49583</v>
      </c>
      <c r="B287" s="10">
        <f>5.3549 * CHOOSE(CONTROL!$C$32, $C$9, 100%, $E$9)</f>
        <v>5.3548999999999998</v>
      </c>
      <c r="C287" s="10">
        <f>5.3549 * CHOOSE(CONTROL!$C$32, $C$9, 100%, $E$9)</f>
        <v>5.3548999999999998</v>
      </c>
      <c r="D287" s="10">
        <f>5.3559 * CHOOSE(CONTROL!$C$32, $C$9, 100%, $E$9)</f>
        <v>5.3559000000000001</v>
      </c>
      <c r="E287" s="9">
        <f>5.3134 * CHOOSE(CONTROL!$C$32, $C$9, 100%, $E$9)</f>
        <v>5.3133999999999997</v>
      </c>
      <c r="F287" s="9">
        <f>5.3134 * CHOOSE(CONTROL!$C$32, $C$9, 100%, $E$9)</f>
        <v>5.3133999999999997</v>
      </c>
      <c r="G287" s="9">
        <f>5.3167 * CHOOSE(CONTROL!$C$32, $C$9, 100%, $E$9)</f>
        <v>5.3167</v>
      </c>
      <c r="H287" s="9">
        <f>6.6285 * CHOOSE(CONTROL!$C$32, $C$9, 100%, $E$9)</f>
        <v>6.6284999999999998</v>
      </c>
      <c r="I287" s="9">
        <f>6.6317 * CHOOSE(CONTROL!$C$32, $C$9, 100%, $E$9)</f>
        <v>6.6317000000000004</v>
      </c>
      <c r="J287" s="9">
        <f>6.6285 * CHOOSE(CONTROL!$C$32, $C$9, 100%, $E$9)</f>
        <v>6.6284999999999998</v>
      </c>
      <c r="K287" s="9">
        <f>6.6317 * CHOOSE(CONTROL!$C$32, $C$9, 100%, $E$9)</f>
        <v>6.6317000000000004</v>
      </c>
      <c r="L287" s="9">
        <f>5.3134 * CHOOSE(CONTROL!$C$32, $C$9, 100%, $E$9)</f>
        <v>5.3133999999999997</v>
      </c>
      <c r="M287" s="9">
        <f>5.3167 * CHOOSE(CONTROL!$C$32, $C$9, 100%, $E$9)</f>
        <v>5.3167</v>
      </c>
      <c r="N287" s="9">
        <f>5.3134 * CHOOSE(CONTROL!$C$32, $C$9, 100%, $E$9)</f>
        <v>5.3133999999999997</v>
      </c>
      <c r="O287" s="9">
        <f>5.3167 * CHOOSE(CONTROL!$C$32, $C$9, 100%, $E$9)</f>
        <v>5.3167</v>
      </c>
    </row>
    <row r="288" spans="1:15" ht="15" x14ac:dyDescent="0.2">
      <c r="A288" s="15">
        <v>49614</v>
      </c>
      <c r="B288" s="10">
        <f>5.358 * CHOOSE(CONTROL!$C$32, $C$9, 100%, $E$9)</f>
        <v>5.3579999999999997</v>
      </c>
      <c r="C288" s="10">
        <f>5.358 * CHOOSE(CONTROL!$C$32, $C$9, 100%, $E$9)</f>
        <v>5.3579999999999997</v>
      </c>
      <c r="D288" s="10">
        <f>5.3589 * CHOOSE(CONTROL!$C$32, $C$9, 100%, $E$9)</f>
        <v>5.3589000000000002</v>
      </c>
      <c r="E288" s="9">
        <f>5.3353 * CHOOSE(CONTROL!$C$32, $C$9, 100%, $E$9)</f>
        <v>5.3353000000000002</v>
      </c>
      <c r="F288" s="9">
        <f>5.3353 * CHOOSE(CONTROL!$C$32, $C$9, 100%, $E$9)</f>
        <v>5.3353000000000002</v>
      </c>
      <c r="G288" s="9">
        <f>5.3385 * CHOOSE(CONTROL!$C$32, $C$9, 100%, $E$9)</f>
        <v>5.3384999999999998</v>
      </c>
      <c r="H288" s="9">
        <f>6.6305 * CHOOSE(CONTROL!$C$32, $C$9, 100%, $E$9)</f>
        <v>6.6304999999999996</v>
      </c>
      <c r="I288" s="9">
        <f>6.6337 * CHOOSE(CONTROL!$C$32, $C$9, 100%, $E$9)</f>
        <v>6.6337000000000002</v>
      </c>
      <c r="J288" s="9">
        <f>6.6305 * CHOOSE(CONTROL!$C$32, $C$9, 100%, $E$9)</f>
        <v>6.6304999999999996</v>
      </c>
      <c r="K288" s="9">
        <f>6.6337 * CHOOSE(CONTROL!$C$32, $C$9, 100%, $E$9)</f>
        <v>6.6337000000000002</v>
      </c>
      <c r="L288" s="9">
        <f>5.3353 * CHOOSE(CONTROL!$C$32, $C$9, 100%, $E$9)</f>
        <v>5.3353000000000002</v>
      </c>
      <c r="M288" s="9">
        <f>5.3385 * CHOOSE(CONTROL!$C$32, $C$9, 100%, $E$9)</f>
        <v>5.3384999999999998</v>
      </c>
      <c r="N288" s="9">
        <f>5.3353 * CHOOSE(CONTROL!$C$32, $C$9, 100%, $E$9)</f>
        <v>5.3353000000000002</v>
      </c>
      <c r="O288" s="9">
        <f>5.3385 * CHOOSE(CONTROL!$C$32, $C$9, 100%, $E$9)</f>
        <v>5.3384999999999998</v>
      </c>
    </row>
    <row r="289" spans="1:15" ht="15" x14ac:dyDescent="0.2">
      <c r="A289" s="15">
        <v>49644</v>
      </c>
      <c r="B289" s="10">
        <f>5.358 * CHOOSE(CONTROL!$C$32, $C$9, 100%, $E$9)</f>
        <v>5.3579999999999997</v>
      </c>
      <c r="C289" s="10">
        <f>5.358 * CHOOSE(CONTROL!$C$32, $C$9, 100%, $E$9)</f>
        <v>5.3579999999999997</v>
      </c>
      <c r="D289" s="10">
        <f>5.3589 * CHOOSE(CONTROL!$C$32, $C$9, 100%, $E$9)</f>
        <v>5.3589000000000002</v>
      </c>
      <c r="E289" s="9">
        <f>5.286 * CHOOSE(CONTROL!$C$32, $C$9, 100%, $E$9)</f>
        <v>5.2859999999999996</v>
      </c>
      <c r="F289" s="9">
        <f>5.286 * CHOOSE(CONTROL!$C$32, $C$9, 100%, $E$9)</f>
        <v>5.2859999999999996</v>
      </c>
      <c r="G289" s="9">
        <f>5.2892 * CHOOSE(CONTROL!$C$32, $C$9, 100%, $E$9)</f>
        <v>5.2892000000000001</v>
      </c>
      <c r="H289" s="9">
        <f>6.6305 * CHOOSE(CONTROL!$C$32, $C$9, 100%, $E$9)</f>
        <v>6.6304999999999996</v>
      </c>
      <c r="I289" s="9">
        <f>6.6337 * CHOOSE(CONTROL!$C$32, $C$9, 100%, $E$9)</f>
        <v>6.6337000000000002</v>
      </c>
      <c r="J289" s="9">
        <f>6.6305 * CHOOSE(CONTROL!$C$32, $C$9, 100%, $E$9)</f>
        <v>6.6304999999999996</v>
      </c>
      <c r="K289" s="9">
        <f>6.6337 * CHOOSE(CONTROL!$C$32, $C$9, 100%, $E$9)</f>
        <v>6.6337000000000002</v>
      </c>
      <c r="L289" s="9">
        <f>5.286 * CHOOSE(CONTROL!$C$32, $C$9, 100%, $E$9)</f>
        <v>5.2859999999999996</v>
      </c>
      <c r="M289" s="9">
        <f>5.2892 * CHOOSE(CONTROL!$C$32, $C$9, 100%, $E$9)</f>
        <v>5.2892000000000001</v>
      </c>
      <c r="N289" s="9">
        <f>5.286 * CHOOSE(CONTROL!$C$32, $C$9, 100%, $E$9)</f>
        <v>5.2859999999999996</v>
      </c>
      <c r="O289" s="9">
        <f>5.2892 * CHOOSE(CONTROL!$C$32, $C$9, 100%, $E$9)</f>
        <v>5.2892000000000001</v>
      </c>
    </row>
    <row r="290" spans="1:15" ht="15" x14ac:dyDescent="0.2">
      <c r="A290" s="15">
        <v>49675</v>
      </c>
      <c r="B290" s="10">
        <f>5.403 * CHOOSE(CONTROL!$C$32, $C$9, 100%, $E$9)</f>
        <v>5.4029999999999996</v>
      </c>
      <c r="C290" s="10">
        <f>5.403 * CHOOSE(CONTROL!$C$32, $C$9, 100%, $E$9)</f>
        <v>5.4029999999999996</v>
      </c>
      <c r="D290" s="10">
        <f>5.4039 * CHOOSE(CONTROL!$C$32, $C$9, 100%, $E$9)</f>
        <v>5.4039000000000001</v>
      </c>
      <c r="E290" s="9">
        <f>5.3612 * CHOOSE(CONTROL!$C$32, $C$9, 100%, $E$9)</f>
        <v>5.3612000000000002</v>
      </c>
      <c r="F290" s="9">
        <f>5.3612 * CHOOSE(CONTROL!$C$32, $C$9, 100%, $E$9)</f>
        <v>5.3612000000000002</v>
      </c>
      <c r="G290" s="9">
        <f>5.3644 * CHOOSE(CONTROL!$C$32, $C$9, 100%, $E$9)</f>
        <v>5.3643999999999998</v>
      </c>
      <c r="H290" s="9">
        <f>6.6799 * CHOOSE(CONTROL!$C$32, $C$9, 100%, $E$9)</f>
        <v>6.6798999999999999</v>
      </c>
      <c r="I290" s="9">
        <f>6.6831 * CHOOSE(CONTROL!$C$32, $C$9, 100%, $E$9)</f>
        <v>6.6830999999999996</v>
      </c>
      <c r="J290" s="9">
        <f>6.6799 * CHOOSE(CONTROL!$C$32, $C$9, 100%, $E$9)</f>
        <v>6.6798999999999999</v>
      </c>
      <c r="K290" s="9">
        <f>6.6831 * CHOOSE(CONTROL!$C$32, $C$9, 100%, $E$9)</f>
        <v>6.6830999999999996</v>
      </c>
      <c r="L290" s="9">
        <f>5.3612 * CHOOSE(CONTROL!$C$32, $C$9, 100%, $E$9)</f>
        <v>5.3612000000000002</v>
      </c>
      <c r="M290" s="9">
        <f>5.3644 * CHOOSE(CONTROL!$C$32, $C$9, 100%, $E$9)</f>
        <v>5.3643999999999998</v>
      </c>
      <c r="N290" s="9">
        <f>5.3612 * CHOOSE(CONTROL!$C$32, $C$9, 100%, $E$9)</f>
        <v>5.3612000000000002</v>
      </c>
      <c r="O290" s="9">
        <f>5.3644 * CHOOSE(CONTROL!$C$32, $C$9, 100%, $E$9)</f>
        <v>5.3643999999999998</v>
      </c>
    </row>
    <row r="291" spans="1:15" ht="15" x14ac:dyDescent="0.2">
      <c r="A291" s="15">
        <v>49706</v>
      </c>
      <c r="B291" s="10">
        <f>5.4 * CHOOSE(CONTROL!$C$32, $C$9, 100%, $E$9)</f>
        <v>5.4</v>
      </c>
      <c r="C291" s="10">
        <f>5.4 * CHOOSE(CONTROL!$C$32, $C$9, 100%, $E$9)</f>
        <v>5.4</v>
      </c>
      <c r="D291" s="10">
        <f>5.4009 * CHOOSE(CONTROL!$C$32, $C$9, 100%, $E$9)</f>
        <v>5.4009</v>
      </c>
      <c r="E291" s="9">
        <f>5.2631 * CHOOSE(CONTROL!$C$32, $C$9, 100%, $E$9)</f>
        <v>5.2630999999999997</v>
      </c>
      <c r="F291" s="9">
        <f>5.2631 * CHOOSE(CONTROL!$C$32, $C$9, 100%, $E$9)</f>
        <v>5.2630999999999997</v>
      </c>
      <c r="G291" s="9">
        <f>5.2663 * CHOOSE(CONTROL!$C$32, $C$9, 100%, $E$9)</f>
        <v>5.2663000000000002</v>
      </c>
      <c r="H291" s="9">
        <f>6.6779 * CHOOSE(CONTROL!$C$32, $C$9, 100%, $E$9)</f>
        <v>6.6779000000000002</v>
      </c>
      <c r="I291" s="9">
        <f>6.6811 * CHOOSE(CONTROL!$C$32, $C$9, 100%, $E$9)</f>
        <v>6.6810999999999998</v>
      </c>
      <c r="J291" s="9">
        <f>6.6779 * CHOOSE(CONTROL!$C$32, $C$9, 100%, $E$9)</f>
        <v>6.6779000000000002</v>
      </c>
      <c r="K291" s="9">
        <f>6.6811 * CHOOSE(CONTROL!$C$32, $C$9, 100%, $E$9)</f>
        <v>6.6810999999999998</v>
      </c>
      <c r="L291" s="9">
        <f>5.2631 * CHOOSE(CONTROL!$C$32, $C$9, 100%, $E$9)</f>
        <v>5.2630999999999997</v>
      </c>
      <c r="M291" s="9">
        <f>5.2663 * CHOOSE(CONTROL!$C$32, $C$9, 100%, $E$9)</f>
        <v>5.2663000000000002</v>
      </c>
      <c r="N291" s="9">
        <f>5.2631 * CHOOSE(CONTROL!$C$32, $C$9, 100%, $E$9)</f>
        <v>5.2630999999999997</v>
      </c>
      <c r="O291" s="9">
        <f>5.2663 * CHOOSE(CONTROL!$C$32, $C$9, 100%, $E$9)</f>
        <v>5.2663000000000002</v>
      </c>
    </row>
    <row r="292" spans="1:15" ht="15" x14ac:dyDescent="0.2">
      <c r="A292" s="15">
        <v>49735</v>
      </c>
      <c r="B292" s="10">
        <f>5.3969 * CHOOSE(CONTROL!$C$32, $C$9, 100%, $E$9)</f>
        <v>5.3968999999999996</v>
      </c>
      <c r="C292" s="10">
        <f>5.3969 * CHOOSE(CONTROL!$C$32, $C$9, 100%, $E$9)</f>
        <v>5.3968999999999996</v>
      </c>
      <c r="D292" s="10">
        <f>5.3979 * CHOOSE(CONTROL!$C$32, $C$9, 100%, $E$9)</f>
        <v>5.3978999999999999</v>
      </c>
      <c r="E292" s="9">
        <f>5.3366 * CHOOSE(CONTROL!$C$32, $C$9, 100%, $E$9)</f>
        <v>5.3365999999999998</v>
      </c>
      <c r="F292" s="9">
        <f>5.3366 * CHOOSE(CONTROL!$C$32, $C$9, 100%, $E$9)</f>
        <v>5.3365999999999998</v>
      </c>
      <c r="G292" s="9">
        <f>5.3398 * CHOOSE(CONTROL!$C$32, $C$9, 100%, $E$9)</f>
        <v>5.3398000000000003</v>
      </c>
      <c r="H292" s="9">
        <f>6.9244 * CHOOSE(CONTROL!$C$32, $C$9, 100%, $E$9)</f>
        <v>6.9244000000000003</v>
      </c>
      <c r="I292" s="9">
        <f>6.9276 * CHOOSE(CONTROL!$C$32, $C$9, 100%, $E$9)</f>
        <v>6.9276</v>
      </c>
      <c r="J292" s="9">
        <f>6.9244 * CHOOSE(CONTROL!$C$32, $C$9, 100%, $E$9)</f>
        <v>6.9244000000000003</v>
      </c>
      <c r="K292" s="9">
        <f>6.9276 * CHOOSE(CONTROL!$C$32, $C$9, 100%, $E$9)</f>
        <v>6.9276</v>
      </c>
      <c r="L292" s="9">
        <f>5.3366 * CHOOSE(CONTROL!$C$32, $C$9, 100%, $E$9)</f>
        <v>5.3365999999999998</v>
      </c>
      <c r="M292" s="9">
        <f>5.3398 * CHOOSE(CONTROL!$C$32, $C$9, 100%, $E$9)</f>
        <v>5.3398000000000003</v>
      </c>
      <c r="N292" s="9">
        <f>5.3366 * CHOOSE(CONTROL!$C$32, $C$9, 100%, $E$9)</f>
        <v>5.3365999999999998</v>
      </c>
      <c r="O292" s="9">
        <f>5.3398 * CHOOSE(CONTROL!$C$32, $C$9, 100%, $E$9)</f>
        <v>5.3398000000000003</v>
      </c>
    </row>
    <row r="293" spans="1:15" ht="15" x14ac:dyDescent="0.2">
      <c r="A293" s="15">
        <v>49766</v>
      </c>
      <c r="B293" s="10">
        <f>5.3961 * CHOOSE(CONTROL!$C$32, $C$9, 100%, $E$9)</f>
        <v>5.3960999999999997</v>
      </c>
      <c r="C293" s="10">
        <f>5.3961 * CHOOSE(CONTROL!$C$32, $C$9, 100%, $E$9)</f>
        <v>5.3960999999999997</v>
      </c>
      <c r="D293" s="10">
        <f>5.397 * CHOOSE(CONTROL!$C$32, $C$9, 100%, $E$9)</f>
        <v>5.3970000000000002</v>
      </c>
      <c r="E293" s="9">
        <f>5.4137 * CHOOSE(CONTROL!$C$32, $C$9, 100%, $E$9)</f>
        <v>5.4137000000000004</v>
      </c>
      <c r="F293" s="9">
        <f>5.4137 * CHOOSE(CONTROL!$C$32, $C$9, 100%, $E$9)</f>
        <v>5.4137000000000004</v>
      </c>
      <c r="G293" s="9">
        <f>5.4169 * CHOOSE(CONTROL!$C$32, $C$9, 100%, $E$9)</f>
        <v>5.4169</v>
      </c>
      <c r="H293" s="9">
        <f>6.6751 * CHOOSE(CONTROL!$C$32, $C$9, 100%, $E$9)</f>
        <v>6.6750999999999996</v>
      </c>
      <c r="I293" s="9">
        <f>6.6784 * CHOOSE(CONTROL!$C$32, $C$9, 100%, $E$9)</f>
        <v>6.6783999999999999</v>
      </c>
      <c r="J293" s="9">
        <f>6.6751 * CHOOSE(CONTROL!$C$32, $C$9, 100%, $E$9)</f>
        <v>6.6750999999999996</v>
      </c>
      <c r="K293" s="9">
        <f>6.6784 * CHOOSE(CONTROL!$C$32, $C$9, 100%, $E$9)</f>
        <v>6.6783999999999999</v>
      </c>
      <c r="L293" s="9">
        <f>5.4137 * CHOOSE(CONTROL!$C$32, $C$9, 100%, $E$9)</f>
        <v>5.4137000000000004</v>
      </c>
      <c r="M293" s="9">
        <f>5.4169 * CHOOSE(CONTROL!$C$32, $C$9, 100%, $E$9)</f>
        <v>5.4169</v>
      </c>
      <c r="N293" s="9">
        <f>5.4137 * CHOOSE(CONTROL!$C$32, $C$9, 100%, $E$9)</f>
        <v>5.4137000000000004</v>
      </c>
      <c r="O293" s="9">
        <f>5.4169 * CHOOSE(CONTROL!$C$32, $C$9, 100%, $E$9)</f>
        <v>5.4169</v>
      </c>
    </row>
    <row r="294" spans="1:15" ht="15" x14ac:dyDescent="0.2">
      <c r="A294" s="15">
        <v>49796</v>
      </c>
      <c r="B294" s="10">
        <f>5.3961 * CHOOSE(CONTROL!$C$32, $C$9, 100%, $E$9)</f>
        <v>5.3960999999999997</v>
      </c>
      <c r="C294" s="10">
        <f>5.3961 * CHOOSE(CONTROL!$C$32, $C$9, 100%, $E$9)</f>
        <v>5.3960999999999997</v>
      </c>
      <c r="D294" s="10">
        <f>5.3973 * CHOOSE(CONTROL!$C$32, $C$9, 100%, $E$9)</f>
        <v>5.3973000000000004</v>
      </c>
      <c r="E294" s="9">
        <f>5.4441 * CHOOSE(CONTROL!$C$32, $C$9, 100%, $E$9)</f>
        <v>5.4440999999999997</v>
      </c>
      <c r="F294" s="9">
        <f>5.4441 * CHOOSE(CONTROL!$C$32, $C$9, 100%, $E$9)</f>
        <v>5.4440999999999997</v>
      </c>
      <c r="G294" s="9">
        <f>5.4483 * CHOOSE(CONTROL!$C$32, $C$9, 100%, $E$9)</f>
        <v>5.4482999999999997</v>
      </c>
      <c r="H294" s="9">
        <f>6.6751 * CHOOSE(CONTROL!$C$32, $C$9, 100%, $E$9)</f>
        <v>6.6750999999999996</v>
      </c>
      <c r="I294" s="9">
        <f>6.6793 * CHOOSE(CONTROL!$C$32, $C$9, 100%, $E$9)</f>
        <v>6.6792999999999996</v>
      </c>
      <c r="J294" s="9">
        <f>6.6751 * CHOOSE(CONTROL!$C$32, $C$9, 100%, $E$9)</f>
        <v>6.6750999999999996</v>
      </c>
      <c r="K294" s="9">
        <f>6.6793 * CHOOSE(CONTROL!$C$32, $C$9, 100%, $E$9)</f>
        <v>6.6792999999999996</v>
      </c>
      <c r="L294" s="9">
        <f>5.4441 * CHOOSE(CONTROL!$C$32, $C$9, 100%, $E$9)</f>
        <v>5.4440999999999997</v>
      </c>
      <c r="M294" s="9">
        <f>5.4483 * CHOOSE(CONTROL!$C$32, $C$9, 100%, $E$9)</f>
        <v>5.4482999999999997</v>
      </c>
      <c r="N294" s="9">
        <f>5.4441 * CHOOSE(CONTROL!$C$32, $C$9, 100%, $E$9)</f>
        <v>5.4440999999999997</v>
      </c>
      <c r="O294" s="9">
        <f>5.4483 * CHOOSE(CONTROL!$C$32, $C$9, 100%, $E$9)</f>
        <v>5.4482999999999997</v>
      </c>
    </row>
    <row r="295" spans="1:15" ht="15" x14ac:dyDescent="0.2">
      <c r="A295" s="15">
        <v>49827</v>
      </c>
      <c r="B295" s="10">
        <f>5.4022 * CHOOSE(CONTROL!$C$32, $C$9, 100%, $E$9)</f>
        <v>5.4021999999999997</v>
      </c>
      <c r="C295" s="10">
        <f>5.4022 * CHOOSE(CONTROL!$C$32, $C$9, 100%, $E$9)</f>
        <v>5.4021999999999997</v>
      </c>
      <c r="D295" s="10">
        <f>5.4034 * CHOOSE(CONTROL!$C$32, $C$9, 100%, $E$9)</f>
        <v>5.4034000000000004</v>
      </c>
      <c r="E295" s="9">
        <f>5.4179 * CHOOSE(CONTROL!$C$32, $C$9, 100%, $E$9)</f>
        <v>5.4179000000000004</v>
      </c>
      <c r="F295" s="9">
        <f>5.4179 * CHOOSE(CONTROL!$C$32, $C$9, 100%, $E$9)</f>
        <v>5.4179000000000004</v>
      </c>
      <c r="G295" s="9">
        <f>5.4221 * CHOOSE(CONTROL!$C$32, $C$9, 100%, $E$9)</f>
        <v>5.4221000000000004</v>
      </c>
      <c r="H295" s="9">
        <f>6.6791 * CHOOSE(CONTROL!$C$32, $C$9, 100%, $E$9)</f>
        <v>6.6791</v>
      </c>
      <c r="I295" s="9">
        <f>6.6833 * CHOOSE(CONTROL!$C$32, $C$9, 100%, $E$9)</f>
        <v>6.6833</v>
      </c>
      <c r="J295" s="9">
        <f>6.6791 * CHOOSE(CONTROL!$C$32, $C$9, 100%, $E$9)</f>
        <v>6.6791</v>
      </c>
      <c r="K295" s="9">
        <f>6.6833 * CHOOSE(CONTROL!$C$32, $C$9, 100%, $E$9)</f>
        <v>6.6833</v>
      </c>
      <c r="L295" s="9">
        <f>5.4179 * CHOOSE(CONTROL!$C$32, $C$9, 100%, $E$9)</f>
        <v>5.4179000000000004</v>
      </c>
      <c r="M295" s="9">
        <f>5.4221 * CHOOSE(CONTROL!$C$32, $C$9, 100%, $E$9)</f>
        <v>5.4221000000000004</v>
      </c>
      <c r="N295" s="9">
        <f>5.4179 * CHOOSE(CONTROL!$C$32, $C$9, 100%, $E$9)</f>
        <v>5.4179000000000004</v>
      </c>
      <c r="O295" s="9">
        <f>5.4221 * CHOOSE(CONTROL!$C$32, $C$9, 100%, $E$9)</f>
        <v>5.4221000000000004</v>
      </c>
    </row>
    <row r="296" spans="1:15" ht="15" x14ac:dyDescent="0.2">
      <c r="A296" s="15">
        <v>49857</v>
      </c>
      <c r="B296" s="10">
        <f>5.4827 * CHOOSE(CONTROL!$C$32, $C$9, 100%, $E$9)</f>
        <v>5.4827000000000004</v>
      </c>
      <c r="C296" s="10">
        <f>5.4827 * CHOOSE(CONTROL!$C$32, $C$9, 100%, $E$9)</f>
        <v>5.4827000000000004</v>
      </c>
      <c r="D296" s="10">
        <f>5.4839 * CHOOSE(CONTROL!$C$32, $C$9, 100%, $E$9)</f>
        <v>5.4839000000000002</v>
      </c>
      <c r="E296" s="9">
        <f>5.4936 * CHOOSE(CONTROL!$C$32, $C$9, 100%, $E$9)</f>
        <v>5.4935999999999998</v>
      </c>
      <c r="F296" s="9">
        <f>5.4936 * CHOOSE(CONTROL!$C$32, $C$9, 100%, $E$9)</f>
        <v>5.4935999999999998</v>
      </c>
      <c r="G296" s="9">
        <f>5.4978 * CHOOSE(CONTROL!$C$32, $C$9, 100%, $E$9)</f>
        <v>5.4977999999999998</v>
      </c>
      <c r="H296" s="9">
        <f>6.7816 * CHOOSE(CONTROL!$C$32, $C$9, 100%, $E$9)</f>
        <v>6.7816000000000001</v>
      </c>
      <c r="I296" s="9">
        <f>6.7858 * CHOOSE(CONTROL!$C$32, $C$9, 100%, $E$9)</f>
        <v>6.7858000000000001</v>
      </c>
      <c r="J296" s="9">
        <f>6.7816 * CHOOSE(CONTROL!$C$32, $C$9, 100%, $E$9)</f>
        <v>6.7816000000000001</v>
      </c>
      <c r="K296" s="9">
        <f>6.7858 * CHOOSE(CONTROL!$C$32, $C$9, 100%, $E$9)</f>
        <v>6.7858000000000001</v>
      </c>
      <c r="L296" s="9">
        <f>5.4936 * CHOOSE(CONTROL!$C$32, $C$9, 100%, $E$9)</f>
        <v>5.4935999999999998</v>
      </c>
      <c r="M296" s="9">
        <f>5.4978 * CHOOSE(CONTROL!$C$32, $C$9, 100%, $E$9)</f>
        <v>5.4977999999999998</v>
      </c>
      <c r="N296" s="9">
        <f>5.4936 * CHOOSE(CONTROL!$C$32, $C$9, 100%, $E$9)</f>
        <v>5.4935999999999998</v>
      </c>
      <c r="O296" s="9">
        <f>5.4978 * CHOOSE(CONTROL!$C$32, $C$9, 100%, $E$9)</f>
        <v>5.4977999999999998</v>
      </c>
    </row>
    <row r="297" spans="1:15" ht="15" x14ac:dyDescent="0.2">
      <c r="A297" s="15">
        <v>49888</v>
      </c>
      <c r="B297" s="10">
        <f>5.4894 * CHOOSE(CONTROL!$C$32, $C$9, 100%, $E$9)</f>
        <v>5.4893999999999998</v>
      </c>
      <c r="C297" s="10">
        <f>5.4894 * CHOOSE(CONTROL!$C$32, $C$9, 100%, $E$9)</f>
        <v>5.4893999999999998</v>
      </c>
      <c r="D297" s="10">
        <f>5.4906 * CHOOSE(CONTROL!$C$32, $C$9, 100%, $E$9)</f>
        <v>5.4905999999999997</v>
      </c>
      <c r="E297" s="9">
        <f>5.4069 * CHOOSE(CONTROL!$C$32, $C$9, 100%, $E$9)</f>
        <v>5.4069000000000003</v>
      </c>
      <c r="F297" s="9">
        <f>5.4069 * CHOOSE(CONTROL!$C$32, $C$9, 100%, $E$9)</f>
        <v>5.4069000000000003</v>
      </c>
      <c r="G297" s="9">
        <f>5.4111 * CHOOSE(CONTROL!$C$32, $C$9, 100%, $E$9)</f>
        <v>5.4111000000000002</v>
      </c>
      <c r="H297" s="9">
        <f>6.786 * CHOOSE(CONTROL!$C$32, $C$9, 100%, $E$9)</f>
        <v>6.7859999999999996</v>
      </c>
      <c r="I297" s="9">
        <f>6.7902 * CHOOSE(CONTROL!$C$32, $C$9, 100%, $E$9)</f>
        <v>6.7901999999999996</v>
      </c>
      <c r="J297" s="9">
        <f>6.786 * CHOOSE(CONTROL!$C$32, $C$9, 100%, $E$9)</f>
        <v>6.7859999999999996</v>
      </c>
      <c r="K297" s="9">
        <f>6.7902 * CHOOSE(CONTROL!$C$32, $C$9, 100%, $E$9)</f>
        <v>6.7901999999999996</v>
      </c>
      <c r="L297" s="9">
        <f>5.4069 * CHOOSE(CONTROL!$C$32, $C$9, 100%, $E$9)</f>
        <v>5.4069000000000003</v>
      </c>
      <c r="M297" s="9">
        <f>5.4111 * CHOOSE(CONTROL!$C$32, $C$9, 100%, $E$9)</f>
        <v>5.4111000000000002</v>
      </c>
      <c r="N297" s="9">
        <f>5.4069 * CHOOSE(CONTROL!$C$32, $C$9, 100%, $E$9)</f>
        <v>5.4069000000000003</v>
      </c>
      <c r="O297" s="9">
        <f>5.4111 * CHOOSE(CONTROL!$C$32, $C$9, 100%, $E$9)</f>
        <v>5.4111000000000002</v>
      </c>
    </row>
    <row r="298" spans="1:15" ht="15" x14ac:dyDescent="0.2">
      <c r="A298" s="15">
        <v>49919</v>
      </c>
      <c r="B298" s="10">
        <f>5.4863 * CHOOSE(CONTROL!$C$32, $C$9, 100%, $E$9)</f>
        <v>5.4863</v>
      </c>
      <c r="C298" s="10">
        <f>5.4863 * CHOOSE(CONTROL!$C$32, $C$9, 100%, $E$9)</f>
        <v>5.4863</v>
      </c>
      <c r="D298" s="10">
        <f>5.4876 * CHOOSE(CONTROL!$C$32, $C$9, 100%, $E$9)</f>
        <v>5.4875999999999996</v>
      </c>
      <c r="E298" s="9">
        <f>5.3946 * CHOOSE(CONTROL!$C$32, $C$9, 100%, $E$9)</f>
        <v>5.3945999999999996</v>
      </c>
      <c r="F298" s="9">
        <f>5.3946 * CHOOSE(CONTROL!$C$32, $C$9, 100%, $E$9)</f>
        <v>5.3945999999999996</v>
      </c>
      <c r="G298" s="9">
        <f>5.3988 * CHOOSE(CONTROL!$C$32, $C$9, 100%, $E$9)</f>
        <v>5.3987999999999996</v>
      </c>
      <c r="H298" s="9">
        <f>6.784 * CHOOSE(CONTROL!$C$32, $C$9, 100%, $E$9)</f>
        <v>6.7839999999999998</v>
      </c>
      <c r="I298" s="9">
        <f>6.7882 * CHOOSE(CONTROL!$C$32, $C$9, 100%, $E$9)</f>
        <v>6.7881999999999998</v>
      </c>
      <c r="J298" s="9">
        <f>6.784 * CHOOSE(CONTROL!$C$32, $C$9, 100%, $E$9)</f>
        <v>6.7839999999999998</v>
      </c>
      <c r="K298" s="9">
        <f>6.7882 * CHOOSE(CONTROL!$C$32, $C$9, 100%, $E$9)</f>
        <v>6.7881999999999998</v>
      </c>
      <c r="L298" s="9">
        <f>5.3946 * CHOOSE(CONTROL!$C$32, $C$9, 100%, $E$9)</f>
        <v>5.3945999999999996</v>
      </c>
      <c r="M298" s="9">
        <f>5.3988 * CHOOSE(CONTROL!$C$32, $C$9, 100%, $E$9)</f>
        <v>5.3987999999999996</v>
      </c>
      <c r="N298" s="9">
        <f>5.3946 * CHOOSE(CONTROL!$C$32, $C$9, 100%, $E$9)</f>
        <v>5.3945999999999996</v>
      </c>
      <c r="O298" s="9">
        <f>5.3988 * CHOOSE(CONTROL!$C$32, $C$9, 100%, $E$9)</f>
        <v>5.3987999999999996</v>
      </c>
    </row>
    <row r="299" spans="1:15" ht="15" x14ac:dyDescent="0.2">
      <c r="A299" s="15">
        <v>49949</v>
      </c>
      <c r="B299" s="10">
        <f>5.4876 * CHOOSE(CONTROL!$C$32, $C$9, 100%, $E$9)</f>
        <v>5.4875999999999996</v>
      </c>
      <c r="C299" s="10">
        <f>5.4876 * CHOOSE(CONTROL!$C$32, $C$9, 100%, $E$9)</f>
        <v>5.4875999999999996</v>
      </c>
      <c r="D299" s="10">
        <f>5.4886 * CHOOSE(CONTROL!$C$32, $C$9, 100%, $E$9)</f>
        <v>5.4885999999999999</v>
      </c>
      <c r="E299" s="9">
        <f>5.4218 * CHOOSE(CONTROL!$C$32, $C$9, 100%, $E$9)</f>
        <v>5.4218000000000002</v>
      </c>
      <c r="F299" s="9">
        <f>5.4218 * CHOOSE(CONTROL!$C$32, $C$9, 100%, $E$9)</f>
        <v>5.4218000000000002</v>
      </c>
      <c r="G299" s="9">
        <f>5.425 * CHOOSE(CONTROL!$C$32, $C$9, 100%, $E$9)</f>
        <v>5.4249999999999998</v>
      </c>
      <c r="H299" s="9">
        <f>6.784 * CHOOSE(CONTROL!$C$32, $C$9, 100%, $E$9)</f>
        <v>6.7839999999999998</v>
      </c>
      <c r="I299" s="9">
        <f>6.7873 * CHOOSE(CONTROL!$C$32, $C$9, 100%, $E$9)</f>
        <v>6.7873000000000001</v>
      </c>
      <c r="J299" s="9">
        <f>6.784 * CHOOSE(CONTROL!$C$32, $C$9, 100%, $E$9)</f>
        <v>6.7839999999999998</v>
      </c>
      <c r="K299" s="9">
        <f>6.7873 * CHOOSE(CONTROL!$C$32, $C$9, 100%, $E$9)</f>
        <v>6.7873000000000001</v>
      </c>
      <c r="L299" s="9">
        <f>5.4218 * CHOOSE(CONTROL!$C$32, $C$9, 100%, $E$9)</f>
        <v>5.4218000000000002</v>
      </c>
      <c r="M299" s="9">
        <f>5.425 * CHOOSE(CONTROL!$C$32, $C$9, 100%, $E$9)</f>
        <v>5.4249999999999998</v>
      </c>
      <c r="N299" s="9">
        <f>5.4218 * CHOOSE(CONTROL!$C$32, $C$9, 100%, $E$9)</f>
        <v>5.4218000000000002</v>
      </c>
      <c r="O299" s="9">
        <f>5.425 * CHOOSE(CONTROL!$C$32, $C$9, 100%, $E$9)</f>
        <v>5.4249999999999998</v>
      </c>
    </row>
    <row r="300" spans="1:15" ht="15" x14ac:dyDescent="0.2">
      <c r="A300" s="15">
        <v>49980</v>
      </c>
      <c r="B300" s="10">
        <f>5.4906 * CHOOSE(CONTROL!$C$32, $C$9, 100%, $E$9)</f>
        <v>5.4905999999999997</v>
      </c>
      <c r="C300" s="10">
        <f>5.4906 * CHOOSE(CONTROL!$C$32, $C$9, 100%, $E$9)</f>
        <v>5.4905999999999997</v>
      </c>
      <c r="D300" s="10">
        <f>5.4916 * CHOOSE(CONTROL!$C$32, $C$9, 100%, $E$9)</f>
        <v>5.4916</v>
      </c>
      <c r="E300" s="9">
        <f>5.4442 * CHOOSE(CONTROL!$C$32, $C$9, 100%, $E$9)</f>
        <v>5.4442000000000004</v>
      </c>
      <c r="F300" s="9">
        <f>5.4442 * CHOOSE(CONTROL!$C$32, $C$9, 100%, $E$9)</f>
        <v>5.4442000000000004</v>
      </c>
      <c r="G300" s="9">
        <f>5.4475 * CHOOSE(CONTROL!$C$32, $C$9, 100%, $E$9)</f>
        <v>5.4474999999999998</v>
      </c>
      <c r="H300" s="9">
        <f>6.786 * CHOOSE(CONTROL!$C$32, $C$9, 100%, $E$9)</f>
        <v>6.7859999999999996</v>
      </c>
      <c r="I300" s="9">
        <f>6.7893 * CHOOSE(CONTROL!$C$32, $C$9, 100%, $E$9)</f>
        <v>6.7892999999999999</v>
      </c>
      <c r="J300" s="9">
        <f>6.786 * CHOOSE(CONTROL!$C$32, $C$9, 100%, $E$9)</f>
        <v>6.7859999999999996</v>
      </c>
      <c r="K300" s="9">
        <f>6.7893 * CHOOSE(CONTROL!$C$32, $C$9, 100%, $E$9)</f>
        <v>6.7892999999999999</v>
      </c>
      <c r="L300" s="9">
        <f>5.4442 * CHOOSE(CONTROL!$C$32, $C$9, 100%, $E$9)</f>
        <v>5.4442000000000004</v>
      </c>
      <c r="M300" s="9">
        <f>5.4475 * CHOOSE(CONTROL!$C$32, $C$9, 100%, $E$9)</f>
        <v>5.4474999999999998</v>
      </c>
      <c r="N300" s="9">
        <f>5.4442 * CHOOSE(CONTROL!$C$32, $C$9, 100%, $E$9)</f>
        <v>5.4442000000000004</v>
      </c>
      <c r="O300" s="9">
        <f>5.4475 * CHOOSE(CONTROL!$C$32, $C$9, 100%, $E$9)</f>
        <v>5.4474999999999998</v>
      </c>
    </row>
    <row r="301" spans="1:15" ht="15" x14ac:dyDescent="0.2">
      <c r="A301" s="15">
        <v>50010</v>
      </c>
      <c r="B301" s="10">
        <f>5.4906 * CHOOSE(CONTROL!$C$32, $C$9, 100%, $E$9)</f>
        <v>5.4905999999999997</v>
      </c>
      <c r="C301" s="10">
        <f>5.4906 * CHOOSE(CONTROL!$C$32, $C$9, 100%, $E$9)</f>
        <v>5.4905999999999997</v>
      </c>
      <c r="D301" s="10">
        <f>5.4916 * CHOOSE(CONTROL!$C$32, $C$9, 100%, $E$9)</f>
        <v>5.4916</v>
      </c>
      <c r="E301" s="9">
        <f>5.3934 * CHOOSE(CONTROL!$C$32, $C$9, 100%, $E$9)</f>
        <v>5.3933999999999997</v>
      </c>
      <c r="F301" s="9">
        <f>5.3934 * CHOOSE(CONTROL!$C$32, $C$9, 100%, $E$9)</f>
        <v>5.3933999999999997</v>
      </c>
      <c r="G301" s="9">
        <f>5.3967 * CHOOSE(CONTROL!$C$32, $C$9, 100%, $E$9)</f>
        <v>5.3967000000000001</v>
      </c>
      <c r="H301" s="9">
        <f>6.786 * CHOOSE(CONTROL!$C$32, $C$9, 100%, $E$9)</f>
        <v>6.7859999999999996</v>
      </c>
      <c r="I301" s="9">
        <f>6.7893 * CHOOSE(CONTROL!$C$32, $C$9, 100%, $E$9)</f>
        <v>6.7892999999999999</v>
      </c>
      <c r="J301" s="9">
        <f>6.786 * CHOOSE(CONTROL!$C$32, $C$9, 100%, $E$9)</f>
        <v>6.7859999999999996</v>
      </c>
      <c r="K301" s="9">
        <f>6.7893 * CHOOSE(CONTROL!$C$32, $C$9, 100%, $E$9)</f>
        <v>6.7892999999999999</v>
      </c>
      <c r="L301" s="9">
        <f>5.3934 * CHOOSE(CONTROL!$C$32, $C$9, 100%, $E$9)</f>
        <v>5.3933999999999997</v>
      </c>
      <c r="M301" s="9">
        <f>5.3967 * CHOOSE(CONTROL!$C$32, $C$9, 100%, $E$9)</f>
        <v>5.3967000000000001</v>
      </c>
      <c r="N301" s="9">
        <f>5.3934 * CHOOSE(CONTROL!$C$32, $C$9, 100%, $E$9)</f>
        <v>5.3933999999999997</v>
      </c>
      <c r="O301" s="9">
        <f>5.3967 * CHOOSE(CONTROL!$C$32, $C$9, 100%, $E$9)</f>
        <v>5.3967000000000001</v>
      </c>
    </row>
    <row r="302" spans="1:15" ht="15" x14ac:dyDescent="0.2">
      <c r="A302" s="15">
        <v>50041</v>
      </c>
      <c r="B302" s="10">
        <f>5.5382 * CHOOSE(CONTROL!$C$32, $C$9, 100%, $E$9)</f>
        <v>5.5381999999999998</v>
      </c>
      <c r="C302" s="10">
        <f>5.5382 * CHOOSE(CONTROL!$C$32, $C$9, 100%, $E$9)</f>
        <v>5.5381999999999998</v>
      </c>
      <c r="D302" s="10">
        <f>5.5392 * CHOOSE(CONTROL!$C$32, $C$9, 100%, $E$9)</f>
        <v>5.5392000000000001</v>
      </c>
      <c r="E302" s="9">
        <f>5.4645 * CHOOSE(CONTROL!$C$32, $C$9, 100%, $E$9)</f>
        <v>5.4645000000000001</v>
      </c>
      <c r="F302" s="9">
        <f>5.4645 * CHOOSE(CONTROL!$C$32, $C$9, 100%, $E$9)</f>
        <v>5.4645000000000001</v>
      </c>
      <c r="G302" s="9">
        <f>5.4677 * CHOOSE(CONTROL!$C$32, $C$9, 100%, $E$9)</f>
        <v>5.4676999999999998</v>
      </c>
      <c r="H302" s="9">
        <f>6.8377 * CHOOSE(CONTROL!$C$32, $C$9, 100%, $E$9)</f>
        <v>6.8376999999999999</v>
      </c>
      <c r="I302" s="9">
        <f>6.8409 * CHOOSE(CONTROL!$C$32, $C$9, 100%, $E$9)</f>
        <v>6.8409000000000004</v>
      </c>
      <c r="J302" s="9">
        <f>6.8377 * CHOOSE(CONTROL!$C$32, $C$9, 100%, $E$9)</f>
        <v>6.8376999999999999</v>
      </c>
      <c r="K302" s="9">
        <f>6.8409 * CHOOSE(CONTROL!$C$32, $C$9, 100%, $E$9)</f>
        <v>6.8409000000000004</v>
      </c>
      <c r="L302" s="9">
        <f>5.4645 * CHOOSE(CONTROL!$C$32, $C$9, 100%, $E$9)</f>
        <v>5.4645000000000001</v>
      </c>
      <c r="M302" s="9">
        <f>5.4677 * CHOOSE(CONTROL!$C$32, $C$9, 100%, $E$9)</f>
        <v>5.4676999999999998</v>
      </c>
      <c r="N302" s="9">
        <f>5.4645 * CHOOSE(CONTROL!$C$32, $C$9, 100%, $E$9)</f>
        <v>5.4645000000000001</v>
      </c>
      <c r="O302" s="9">
        <f>5.4677 * CHOOSE(CONTROL!$C$32, $C$9, 100%, $E$9)</f>
        <v>5.4676999999999998</v>
      </c>
    </row>
    <row r="303" spans="1:15" ht="15" x14ac:dyDescent="0.2">
      <c r="A303" s="15">
        <v>50072</v>
      </c>
      <c r="B303" s="10">
        <f>5.5352 * CHOOSE(CONTROL!$C$32, $C$9, 100%, $E$9)</f>
        <v>5.5351999999999997</v>
      </c>
      <c r="C303" s="10">
        <f>5.5352 * CHOOSE(CONTROL!$C$32, $C$9, 100%, $E$9)</f>
        <v>5.5351999999999997</v>
      </c>
      <c r="D303" s="10">
        <f>5.5361 * CHOOSE(CONTROL!$C$32, $C$9, 100%, $E$9)</f>
        <v>5.5361000000000002</v>
      </c>
      <c r="E303" s="9">
        <f>5.3635 * CHOOSE(CONTROL!$C$32, $C$9, 100%, $E$9)</f>
        <v>5.3635000000000002</v>
      </c>
      <c r="F303" s="9">
        <f>5.3635 * CHOOSE(CONTROL!$C$32, $C$9, 100%, $E$9)</f>
        <v>5.3635000000000002</v>
      </c>
      <c r="G303" s="9">
        <f>5.3667 * CHOOSE(CONTROL!$C$32, $C$9, 100%, $E$9)</f>
        <v>5.3666999999999998</v>
      </c>
      <c r="H303" s="9">
        <f>6.8357 * CHOOSE(CONTROL!$C$32, $C$9, 100%, $E$9)</f>
        <v>6.8357000000000001</v>
      </c>
      <c r="I303" s="9">
        <f>6.8389 * CHOOSE(CONTROL!$C$32, $C$9, 100%, $E$9)</f>
        <v>6.8388999999999998</v>
      </c>
      <c r="J303" s="9">
        <f>6.8357 * CHOOSE(CONTROL!$C$32, $C$9, 100%, $E$9)</f>
        <v>6.8357000000000001</v>
      </c>
      <c r="K303" s="9">
        <f>6.8389 * CHOOSE(CONTROL!$C$32, $C$9, 100%, $E$9)</f>
        <v>6.8388999999999998</v>
      </c>
      <c r="L303" s="9">
        <f>5.3635 * CHOOSE(CONTROL!$C$32, $C$9, 100%, $E$9)</f>
        <v>5.3635000000000002</v>
      </c>
      <c r="M303" s="9">
        <f>5.3667 * CHOOSE(CONTROL!$C$32, $C$9, 100%, $E$9)</f>
        <v>5.3666999999999998</v>
      </c>
      <c r="N303" s="9">
        <f>5.3635 * CHOOSE(CONTROL!$C$32, $C$9, 100%, $E$9)</f>
        <v>5.3635000000000002</v>
      </c>
      <c r="O303" s="9">
        <f>5.3667 * CHOOSE(CONTROL!$C$32, $C$9, 100%, $E$9)</f>
        <v>5.3666999999999998</v>
      </c>
    </row>
    <row r="304" spans="1:15" ht="15" x14ac:dyDescent="0.2">
      <c r="A304" s="15">
        <v>50100</v>
      </c>
      <c r="B304" s="10">
        <f>5.5321 * CHOOSE(CONTROL!$C$32, $C$9, 100%, $E$9)</f>
        <v>5.5320999999999998</v>
      </c>
      <c r="C304" s="10">
        <f>5.5321 * CHOOSE(CONTROL!$C$32, $C$9, 100%, $E$9)</f>
        <v>5.5320999999999998</v>
      </c>
      <c r="D304" s="10">
        <f>5.5331 * CHOOSE(CONTROL!$C$32, $C$9, 100%, $E$9)</f>
        <v>5.5331000000000001</v>
      </c>
      <c r="E304" s="9">
        <f>5.4393 * CHOOSE(CONTROL!$C$32, $C$9, 100%, $E$9)</f>
        <v>5.4393000000000002</v>
      </c>
      <c r="F304" s="9">
        <f>5.4393 * CHOOSE(CONTROL!$C$32, $C$9, 100%, $E$9)</f>
        <v>5.4393000000000002</v>
      </c>
      <c r="G304" s="9">
        <f>5.4425 * CHOOSE(CONTROL!$C$32, $C$9, 100%, $E$9)</f>
        <v>5.4424999999999999</v>
      </c>
      <c r="H304" s="9">
        <f>6.8337 * CHOOSE(CONTROL!$C$32, $C$9, 100%, $E$9)</f>
        <v>6.8337000000000003</v>
      </c>
      <c r="I304" s="9">
        <f>6.8369 * CHOOSE(CONTROL!$C$32, $C$9, 100%, $E$9)</f>
        <v>6.8369</v>
      </c>
      <c r="J304" s="9">
        <f>6.8337 * CHOOSE(CONTROL!$C$32, $C$9, 100%, $E$9)</f>
        <v>6.8337000000000003</v>
      </c>
      <c r="K304" s="9">
        <f>6.8369 * CHOOSE(CONTROL!$C$32, $C$9, 100%, $E$9)</f>
        <v>6.8369</v>
      </c>
      <c r="L304" s="9">
        <f>5.4393 * CHOOSE(CONTROL!$C$32, $C$9, 100%, $E$9)</f>
        <v>5.4393000000000002</v>
      </c>
      <c r="M304" s="9">
        <f>5.4425 * CHOOSE(CONTROL!$C$32, $C$9, 100%, $E$9)</f>
        <v>5.4424999999999999</v>
      </c>
      <c r="N304" s="9">
        <f>5.4393 * CHOOSE(CONTROL!$C$32, $C$9, 100%, $E$9)</f>
        <v>5.4393000000000002</v>
      </c>
      <c r="O304" s="9">
        <f>5.4425 * CHOOSE(CONTROL!$C$32, $C$9, 100%, $E$9)</f>
        <v>5.4424999999999999</v>
      </c>
    </row>
    <row r="305" spans="1:15" ht="15" x14ac:dyDescent="0.2">
      <c r="A305" s="15">
        <v>50131</v>
      </c>
      <c r="B305" s="10">
        <f>5.5314 * CHOOSE(CONTROL!$C$32, $C$9, 100%, $E$9)</f>
        <v>5.5313999999999997</v>
      </c>
      <c r="C305" s="10">
        <f>5.5314 * CHOOSE(CONTROL!$C$32, $C$9, 100%, $E$9)</f>
        <v>5.5313999999999997</v>
      </c>
      <c r="D305" s="10">
        <f>5.5324 * CHOOSE(CONTROL!$C$32, $C$9, 100%, $E$9)</f>
        <v>5.5324</v>
      </c>
      <c r="E305" s="9">
        <f>5.5188 * CHOOSE(CONTROL!$C$32, $C$9, 100%, $E$9)</f>
        <v>5.5187999999999997</v>
      </c>
      <c r="F305" s="9">
        <f>5.5188 * CHOOSE(CONTROL!$C$32, $C$9, 100%, $E$9)</f>
        <v>5.5187999999999997</v>
      </c>
      <c r="G305" s="9">
        <f>5.522 * CHOOSE(CONTROL!$C$32, $C$9, 100%, $E$9)</f>
        <v>5.5220000000000002</v>
      </c>
      <c r="H305" s="9">
        <f>6.8331 * CHOOSE(CONTROL!$C$32, $C$9, 100%, $E$9)</f>
        <v>6.8331</v>
      </c>
      <c r="I305" s="9">
        <f>6.8363 * CHOOSE(CONTROL!$C$32, $C$9, 100%, $E$9)</f>
        <v>6.8362999999999996</v>
      </c>
      <c r="J305" s="9">
        <f>6.8331 * CHOOSE(CONTROL!$C$32, $C$9, 100%, $E$9)</f>
        <v>6.8331</v>
      </c>
      <c r="K305" s="9">
        <f>6.8363 * CHOOSE(CONTROL!$C$32, $C$9, 100%, $E$9)</f>
        <v>6.8362999999999996</v>
      </c>
      <c r="L305" s="9">
        <f>5.5188 * CHOOSE(CONTROL!$C$32, $C$9, 100%, $E$9)</f>
        <v>5.5187999999999997</v>
      </c>
      <c r="M305" s="9">
        <f>5.522 * CHOOSE(CONTROL!$C$32, $C$9, 100%, $E$9)</f>
        <v>5.5220000000000002</v>
      </c>
      <c r="N305" s="9">
        <f>5.5188 * CHOOSE(CONTROL!$C$32, $C$9, 100%, $E$9)</f>
        <v>5.5187999999999997</v>
      </c>
      <c r="O305" s="9">
        <f>5.522 * CHOOSE(CONTROL!$C$32, $C$9, 100%, $E$9)</f>
        <v>5.5220000000000002</v>
      </c>
    </row>
    <row r="306" spans="1:15" ht="15" x14ac:dyDescent="0.2">
      <c r="A306" s="15">
        <v>50161</v>
      </c>
      <c r="B306" s="10">
        <f>5.5314 * CHOOSE(CONTROL!$C$32, $C$9, 100%, $E$9)</f>
        <v>5.5313999999999997</v>
      </c>
      <c r="C306" s="10">
        <f>5.5314 * CHOOSE(CONTROL!$C$32, $C$9, 100%, $E$9)</f>
        <v>5.5313999999999997</v>
      </c>
      <c r="D306" s="10">
        <f>5.5327 * CHOOSE(CONTROL!$C$32, $C$9, 100%, $E$9)</f>
        <v>5.5327000000000002</v>
      </c>
      <c r="E306" s="9">
        <f>5.5502 * CHOOSE(CONTROL!$C$32, $C$9, 100%, $E$9)</f>
        <v>5.5502000000000002</v>
      </c>
      <c r="F306" s="9">
        <f>5.5502 * CHOOSE(CONTROL!$C$32, $C$9, 100%, $E$9)</f>
        <v>5.5502000000000002</v>
      </c>
      <c r="G306" s="9">
        <f>5.5544 * CHOOSE(CONTROL!$C$32, $C$9, 100%, $E$9)</f>
        <v>5.5544000000000002</v>
      </c>
      <c r="H306" s="9">
        <f>6.8331 * CHOOSE(CONTROL!$C$32, $C$9, 100%, $E$9)</f>
        <v>6.8331</v>
      </c>
      <c r="I306" s="9">
        <f>6.8373 * CHOOSE(CONTROL!$C$32, $C$9, 100%, $E$9)</f>
        <v>6.8372999999999999</v>
      </c>
      <c r="J306" s="9">
        <f>6.8331 * CHOOSE(CONTROL!$C$32, $C$9, 100%, $E$9)</f>
        <v>6.8331</v>
      </c>
      <c r="K306" s="9">
        <f>6.8373 * CHOOSE(CONTROL!$C$32, $C$9, 100%, $E$9)</f>
        <v>6.8372999999999999</v>
      </c>
      <c r="L306" s="9">
        <f>5.5502 * CHOOSE(CONTROL!$C$32, $C$9, 100%, $E$9)</f>
        <v>5.5502000000000002</v>
      </c>
      <c r="M306" s="9">
        <f>5.5544 * CHOOSE(CONTROL!$C$32, $C$9, 100%, $E$9)</f>
        <v>5.5544000000000002</v>
      </c>
      <c r="N306" s="9">
        <f>5.5502 * CHOOSE(CONTROL!$C$32, $C$9, 100%, $E$9)</f>
        <v>5.5502000000000002</v>
      </c>
      <c r="O306" s="9">
        <f>5.5544 * CHOOSE(CONTROL!$C$32, $C$9, 100%, $E$9)</f>
        <v>5.5544000000000002</v>
      </c>
    </row>
    <row r="307" spans="1:15" ht="15" x14ac:dyDescent="0.2">
      <c r="A307" s="15">
        <v>50192</v>
      </c>
      <c r="B307" s="10">
        <f>5.5375 * CHOOSE(CONTROL!$C$32, $C$9, 100%, $E$9)</f>
        <v>5.5374999999999996</v>
      </c>
      <c r="C307" s="10">
        <f>5.5375 * CHOOSE(CONTROL!$C$32, $C$9, 100%, $E$9)</f>
        <v>5.5374999999999996</v>
      </c>
      <c r="D307" s="10">
        <f>5.5388 * CHOOSE(CONTROL!$C$32, $C$9, 100%, $E$9)</f>
        <v>5.5388000000000002</v>
      </c>
      <c r="E307" s="9">
        <f>5.523 * CHOOSE(CONTROL!$C$32, $C$9, 100%, $E$9)</f>
        <v>5.5229999999999997</v>
      </c>
      <c r="F307" s="9">
        <f>5.523 * CHOOSE(CONTROL!$C$32, $C$9, 100%, $E$9)</f>
        <v>5.5229999999999997</v>
      </c>
      <c r="G307" s="9">
        <f>5.5272 * CHOOSE(CONTROL!$C$32, $C$9, 100%, $E$9)</f>
        <v>5.5271999999999997</v>
      </c>
      <c r="H307" s="9">
        <f>6.8371 * CHOOSE(CONTROL!$C$32, $C$9, 100%, $E$9)</f>
        <v>6.8371000000000004</v>
      </c>
      <c r="I307" s="9">
        <f>6.8413 * CHOOSE(CONTROL!$C$32, $C$9, 100%, $E$9)</f>
        <v>6.8413000000000004</v>
      </c>
      <c r="J307" s="9">
        <f>6.8371 * CHOOSE(CONTROL!$C$32, $C$9, 100%, $E$9)</f>
        <v>6.8371000000000004</v>
      </c>
      <c r="K307" s="9">
        <f>6.8413 * CHOOSE(CONTROL!$C$32, $C$9, 100%, $E$9)</f>
        <v>6.8413000000000004</v>
      </c>
      <c r="L307" s="9">
        <f>5.523 * CHOOSE(CONTROL!$C$32, $C$9, 100%, $E$9)</f>
        <v>5.5229999999999997</v>
      </c>
      <c r="M307" s="9">
        <f>5.5272 * CHOOSE(CONTROL!$C$32, $C$9, 100%, $E$9)</f>
        <v>5.5271999999999997</v>
      </c>
      <c r="N307" s="9">
        <f>5.523 * CHOOSE(CONTROL!$C$32, $C$9, 100%, $E$9)</f>
        <v>5.5229999999999997</v>
      </c>
      <c r="O307" s="9">
        <f>5.5272 * CHOOSE(CONTROL!$C$32, $C$9, 100%, $E$9)</f>
        <v>5.5271999999999997</v>
      </c>
    </row>
    <row r="308" spans="1:15" ht="15" x14ac:dyDescent="0.2">
      <c r="A308" s="15">
        <v>50222</v>
      </c>
      <c r="B308" s="10">
        <f>5.6223 * CHOOSE(CONTROL!$C$32, $C$9, 100%, $E$9)</f>
        <v>5.6223000000000001</v>
      </c>
      <c r="C308" s="10">
        <f>5.6223 * CHOOSE(CONTROL!$C$32, $C$9, 100%, $E$9)</f>
        <v>5.6223000000000001</v>
      </c>
      <c r="D308" s="10">
        <f>5.6236 * CHOOSE(CONTROL!$C$32, $C$9, 100%, $E$9)</f>
        <v>5.6235999999999997</v>
      </c>
      <c r="E308" s="9">
        <f>5.5852 * CHOOSE(CONTROL!$C$32, $C$9, 100%, $E$9)</f>
        <v>5.5852000000000004</v>
      </c>
      <c r="F308" s="9">
        <f>5.5852 * CHOOSE(CONTROL!$C$32, $C$9, 100%, $E$9)</f>
        <v>5.5852000000000004</v>
      </c>
      <c r="G308" s="9">
        <f>5.5894 * CHOOSE(CONTROL!$C$32, $C$9, 100%, $E$9)</f>
        <v>5.5894000000000004</v>
      </c>
      <c r="H308" s="9">
        <f>6.944 * CHOOSE(CONTROL!$C$32, $C$9, 100%, $E$9)</f>
        <v>6.944</v>
      </c>
      <c r="I308" s="9">
        <f>6.9482 * CHOOSE(CONTROL!$C$32, $C$9, 100%, $E$9)</f>
        <v>6.9481999999999999</v>
      </c>
      <c r="J308" s="9">
        <f>6.944 * CHOOSE(CONTROL!$C$32, $C$9, 100%, $E$9)</f>
        <v>6.944</v>
      </c>
      <c r="K308" s="9">
        <f>6.9482 * CHOOSE(CONTROL!$C$32, $C$9, 100%, $E$9)</f>
        <v>6.9481999999999999</v>
      </c>
      <c r="L308" s="9">
        <f>5.5852 * CHOOSE(CONTROL!$C$32, $C$9, 100%, $E$9)</f>
        <v>5.5852000000000004</v>
      </c>
      <c r="M308" s="9">
        <f>5.5894 * CHOOSE(CONTROL!$C$32, $C$9, 100%, $E$9)</f>
        <v>5.5894000000000004</v>
      </c>
      <c r="N308" s="9">
        <f>5.5852 * CHOOSE(CONTROL!$C$32, $C$9, 100%, $E$9)</f>
        <v>5.5852000000000004</v>
      </c>
      <c r="O308" s="9">
        <f>5.5894 * CHOOSE(CONTROL!$C$32, $C$9, 100%, $E$9)</f>
        <v>5.5894000000000004</v>
      </c>
    </row>
    <row r="309" spans="1:15" ht="15" x14ac:dyDescent="0.2">
      <c r="A309" s="15">
        <v>50253</v>
      </c>
      <c r="B309" s="10">
        <f>5.629 * CHOOSE(CONTROL!$C$32, $C$9, 100%, $E$9)</f>
        <v>5.6289999999999996</v>
      </c>
      <c r="C309" s="10">
        <f>5.629 * CHOOSE(CONTROL!$C$32, $C$9, 100%, $E$9)</f>
        <v>5.6289999999999996</v>
      </c>
      <c r="D309" s="10">
        <f>5.6303 * CHOOSE(CONTROL!$C$32, $C$9, 100%, $E$9)</f>
        <v>5.6303000000000001</v>
      </c>
      <c r="E309" s="9">
        <f>5.4957 * CHOOSE(CONTROL!$C$32, $C$9, 100%, $E$9)</f>
        <v>5.4957000000000003</v>
      </c>
      <c r="F309" s="9">
        <f>5.4957 * CHOOSE(CONTROL!$C$32, $C$9, 100%, $E$9)</f>
        <v>5.4957000000000003</v>
      </c>
      <c r="G309" s="9">
        <f>5.4999 * CHOOSE(CONTROL!$C$32, $C$9, 100%, $E$9)</f>
        <v>5.4999000000000002</v>
      </c>
      <c r="H309" s="9">
        <f>6.9484 * CHOOSE(CONTROL!$C$32, $C$9, 100%, $E$9)</f>
        <v>6.9484000000000004</v>
      </c>
      <c r="I309" s="9">
        <f>6.9526 * CHOOSE(CONTROL!$C$32, $C$9, 100%, $E$9)</f>
        <v>6.9526000000000003</v>
      </c>
      <c r="J309" s="9">
        <f>6.9484 * CHOOSE(CONTROL!$C$32, $C$9, 100%, $E$9)</f>
        <v>6.9484000000000004</v>
      </c>
      <c r="K309" s="9">
        <f>6.9526 * CHOOSE(CONTROL!$C$32, $C$9, 100%, $E$9)</f>
        <v>6.9526000000000003</v>
      </c>
      <c r="L309" s="9">
        <f>5.4957 * CHOOSE(CONTROL!$C$32, $C$9, 100%, $E$9)</f>
        <v>5.4957000000000003</v>
      </c>
      <c r="M309" s="9">
        <f>5.4999 * CHOOSE(CONTROL!$C$32, $C$9, 100%, $E$9)</f>
        <v>5.4999000000000002</v>
      </c>
      <c r="N309" s="9">
        <f>5.4957 * CHOOSE(CONTROL!$C$32, $C$9, 100%, $E$9)</f>
        <v>5.4957000000000003</v>
      </c>
      <c r="O309" s="9">
        <f>5.4999 * CHOOSE(CONTROL!$C$32, $C$9, 100%, $E$9)</f>
        <v>5.4999000000000002</v>
      </c>
    </row>
    <row r="310" spans="1:15" ht="15" x14ac:dyDescent="0.2">
      <c r="A310" s="15">
        <v>50284</v>
      </c>
      <c r="B310" s="10">
        <f>5.626 * CHOOSE(CONTROL!$C$32, $C$9, 100%, $E$9)</f>
        <v>5.6260000000000003</v>
      </c>
      <c r="C310" s="10">
        <f>5.626 * CHOOSE(CONTROL!$C$32, $C$9, 100%, $E$9)</f>
        <v>5.6260000000000003</v>
      </c>
      <c r="D310" s="10">
        <f>5.6272 * CHOOSE(CONTROL!$C$32, $C$9, 100%, $E$9)</f>
        <v>5.6272000000000002</v>
      </c>
      <c r="E310" s="9">
        <f>5.4831 * CHOOSE(CONTROL!$C$32, $C$9, 100%, $E$9)</f>
        <v>5.4831000000000003</v>
      </c>
      <c r="F310" s="9">
        <f>5.4831 * CHOOSE(CONTROL!$C$32, $C$9, 100%, $E$9)</f>
        <v>5.4831000000000003</v>
      </c>
      <c r="G310" s="9">
        <f>5.4873 * CHOOSE(CONTROL!$C$32, $C$9, 100%, $E$9)</f>
        <v>5.4873000000000003</v>
      </c>
      <c r="H310" s="9">
        <f>6.9464 * CHOOSE(CONTROL!$C$32, $C$9, 100%, $E$9)</f>
        <v>6.9463999999999997</v>
      </c>
      <c r="I310" s="9">
        <f>6.9506 * CHOOSE(CONTROL!$C$32, $C$9, 100%, $E$9)</f>
        <v>6.9505999999999997</v>
      </c>
      <c r="J310" s="9">
        <f>6.9464 * CHOOSE(CONTROL!$C$32, $C$9, 100%, $E$9)</f>
        <v>6.9463999999999997</v>
      </c>
      <c r="K310" s="9">
        <f>6.9506 * CHOOSE(CONTROL!$C$32, $C$9, 100%, $E$9)</f>
        <v>6.9505999999999997</v>
      </c>
      <c r="L310" s="9">
        <f>5.4831 * CHOOSE(CONTROL!$C$32, $C$9, 100%, $E$9)</f>
        <v>5.4831000000000003</v>
      </c>
      <c r="M310" s="9">
        <f>5.4873 * CHOOSE(CONTROL!$C$32, $C$9, 100%, $E$9)</f>
        <v>5.4873000000000003</v>
      </c>
      <c r="N310" s="9">
        <f>5.4831 * CHOOSE(CONTROL!$C$32, $C$9, 100%, $E$9)</f>
        <v>5.4831000000000003</v>
      </c>
      <c r="O310" s="9">
        <f>5.4873 * CHOOSE(CONTROL!$C$32, $C$9, 100%, $E$9)</f>
        <v>5.4873000000000003</v>
      </c>
    </row>
    <row r="311" spans="1:15" ht="15" x14ac:dyDescent="0.2">
      <c r="A311" s="15">
        <v>50314</v>
      </c>
      <c r="B311" s="10">
        <f>5.6278 * CHOOSE(CONTROL!$C$32, $C$9, 100%, $E$9)</f>
        <v>5.6277999999999997</v>
      </c>
      <c r="C311" s="10">
        <f>5.6278 * CHOOSE(CONTROL!$C$32, $C$9, 100%, $E$9)</f>
        <v>5.6277999999999997</v>
      </c>
      <c r="D311" s="10">
        <f>5.6287 * CHOOSE(CONTROL!$C$32, $C$9, 100%, $E$9)</f>
        <v>5.6287000000000003</v>
      </c>
      <c r="E311" s="9">
        <f>5.5115 * CHOOSE(CONTROL!$C$32, $C$9, 100%, $E$9)</f>
        <v>5.5114999999999998</v>
      </c>
      <c r="F311" s="9">
        <f>5.5115 * CHOOSE(CONTROL!$C$32, $C$9, 100%, $E$9)</f>
        <v>5.5114999999999998</v>
      </c>
      <c r="G311" s="9">
        <f>5.5148 * CHOOSE(CONTROL!$C$32, $C$9, 100%, $E$9)</f>
        <v>5.5148000000000001</v>
      </c>
      <c r="H311" s="9">
        <f>6.9468 * CHOOSE(CONTROL!$C$32, $C$9, 100%, $E$9)</f>
        <v>6.9467999999999996</v>
      </c>
      <c r="I311" s="9">
        <f>6.95 * CHOOSE(CONTROL!$C$32, $C$9, 100%, $E$9)</f>
        <v>6.95</v>
      </c>
      <c r="J311" s="9">
        <f>6.9468 * CHOOSE(CONTROL!$C$32, $C$9, 100%, $E$9)</f>
        <v>6.9467999999999996</v>
      </c>
      <c r="K311" s="9">
        <f>6.95 * CHOOSE(CONTROL!$C$32, $C$9, 100%, $E$9)</f>
        <v>6.95</v>
      </c>
      <c r="L311" s="9">
        <f>5.5115 * CHOOSE(CONTROL!$C$32, $C$9, 100%, $E$9)</f>
        <v>5.5114999999999998</v>
      </c>
      <c r="M311" s="9">
        <f>5.5148 * CHOOSE(CONTROL!$C$32, $C$9, 100%, $E$9)</f>
        <v>5.5148000000000001</v>
      </c>
      <c r="N311" s="9">
        <f>5.5115 * CHOOSE(CONTROL!$C$32, $C$9, 100%, $E$9)</f>
        <v>5.5114999999999998</v>
      </c>
      <c r="O311" s="9">
        <f>5.5148 * CHOOSE(CONTROL!$C$32, $C$9, 100%, $E$9)</f>
        <v>5.5148000000000001</v>
      </c>
    </row>
    <row r="312" spans="1:15" ht="15" x14ac:dyDescent="0.2">
      <c r="A312" s="15">
        <v>50345</v>
      </c>
      <c r="B312" s="10">
        <f>5.6308 * CHOOSE(CONTROL!$C$32, $C$9, 100%, $E$9)</f>
        <v>5.6307999999999998</v>
      </c>
      <c r="C312" s="10">
        <f>5.6308 * CHOOSE(CONTROL!$C$32, $C$9, 100%, $E$9)</f>
        <v>5.6307999999999998</v>
      </c>
      <c r="D312" s="10">
        <f>5.6318 * CHOOSE(CONTROL!$C$32, $C$9, 100%, $E$9)</f>
        <v>5.6318000000000001</v>
      </c>
      <c r="E312" s="9">
        <f>5.5346 * CHOOSE(CONTROL!$C$32, $C$9, 100%, $E$9)</f>
        <v>5.5346000000000002</v>
      </c>
      <c r="F312" s="9">
        <f>5.5346 * CHOOSE(CONTROL!$C$32, $C$9, 100%, $E$9)</f>
        <v>5.5346000000000002</v>
      </c>
      <c r="G312" s="9">
        <f>5.5378 * CHOOSE(CONTROL!$C$32, $C$9, 100%, $E$9)</f>
        <v>5.5377999999999998</v>
      </c>
      <c r="H312" s="9">
        <f>6.9488 * CHOOSE(CONTROL!$C$32, $C$9, 100%, $E$9)</f>
        <v>6.9488000000000003</v>
      </c>
      <c r="I312" s="9">
        <f>6.952 * CHOOSE(CONTROL!$C$32, $C$9, 100%, $E$9)</f>
        <v>6.952</v>
      </c>
      <c r="J312" s="9">
        <f>6.9488 * CHOOSE(CONTROL!$C$32, $C$9, 100%, $E$9)</f>
        <v>6.9488000000000003</v>
      </c>
      <c r="K312" s="9">
        <f>6.952 * CHOOSE(CONTROL!$C$32, $C$9, 100%, $E$9)</f>
        <v>6.952</v>
      </c>
      <c r="L312" s="9">
        <f>5.5346 * CHOOSE(CONTROL!$C$32, $C$9, 100%, $E$9)</f>
        <v>5.5346000000000002</v>
      </c>
      <c r="M312" s="9">
        <f>5.5378 * CHOOSE(CONTROL!$C$32, $C$9, 100%, $E$9)</f>
        <v>5.5377999999999998</v>
      </c>
      <c r="N312" s="9">
        <f>5.5346 * CHOOSE(CONTROL!$C$32, $C$9, 100%, $E$9)</f>
        <v>5.5346000000000002</v>
      </c>
      <c r="O312" s="9">
        <f>5.5378 * CHOOSE(CONTROL!$C$32, $C$9, 100%, $E$9)</f>
        <v>5.5377999999999998</v>
      </c>
    </row>
    <row r="313" spans="1:15" ht="15" x14ac:dyDescent="0.2">
      <c r="A313" s="15">
        <v>50375</v>
      </c>
      <c r="B313" s="10">
        <f>5.6308 * CHOOSE(CONTROL!$C$32, $C$9, 100%, $E$9)</f>
        <v>5.6307999999999998</v>
      </c>
      <c r="C313" s="10">
        <f>5.6308 * CHOOSE(CONTROL!$C$32, $C$9, 100%, $E$9)</f>
        <v>5.6307999999999998</v>
      </c>
      <c r="D313" s="10">
        <f>5.6318 * CHOOSE(CONTROL!$C$32, $C$9, 100%, $E$9)</f>
        <v>5.6318000000000001</v>
      </c>
      <c r="E313" s="9">
        <f>5.4823 * CHOOSE(CONTROL!$C$32, $C$9, 100%, $E$9)</f>
        <v>5.4823000000000004</v>
      </c>
      <c r="F313" s="9">
        <f>5.4823 * CHOOSE(CONTROL!$C$32, $C$9, 100%, $E$9)</f>
        <v>5.4823000000000004</v>
      </c>
      <c r="G313" s="9">
        <f>5.4855 * CHOOSE(CONTROL!$C$32, $C$9, 100%, $E$9)</f>
        <v>5.4855</v>
      </c>
      <c r="H313" s="9">
        <f>6.9488 * CHOOSE(CONTROL!$C$32, $C$9, 100%, $E$9)</f>
        <v>6.9488000000000003</v>
      </c>
      <c r="I313" s="9">
        <f>6.952 * CHOOSE(CONTROL!$C$32, $C$9, 100%, $E$9)</f>
        <v>6.952</v>
      </c>
      <c r="J313" s="9">
        <f>6.9488 * CHOOSE(CONTROL!$C$32, $C$9, 100%, $E$9)</f>
        <v>6.9488000000000003</v>
      </c>
      <c r="K313" s="9">
        <f>6.952 * CHOOSE(CONTROL!$C$32, $C$9, 100%, $E$9)</f>
        <v>6.952</v>
      </c>
      <c r="L313" s="9">
        <f>5.4823 * CHOOSE(CONTROL!$C$32, $C$9, 100%, $E$9)</f>
        <v>5.4823000000000004</v>
      </c>
      <c r="M313" s="9">
        <f>5.4855 * CHOOSE(CONTROL!$C$32, $C$9, 100%, $E$9)</f>
        <v>5.4855</v>
      </c>
      <c r="N313" s="9">
        <f>5.4823 * CHOOSE(CONTROL!$C$32, $C$9, 100%, $E$9)</f>
        <v>5.4823000000000004</v>
      </c>
      <c r="O313" s="9">
        <f>5.4855 * CHOOSE(CONTROL!$C$32, $C$9, 100%, $E$9)</f>
        <v>5.4855</v>
      </c>
    </row>
    <row r="314" spans="1:15" ht="15.75" x14ac:dyDescent="0.25">
      <c r="A314" s="14">
        <v>50436</v>
      </c>
      <c r="B314" s="10">
        <f>5.6787 * CHOOSE(CONTROL!$C$32, $C$9, 100%, $E$9)</f>
        <v>5.6787000000000001</v>
      </c>
      <c r="C314" s="10">
        <f>5.6787 * CHOOSE(CONTROL!$C$32, $C$9, 100%, $E$9)</f>
        <v>5.6787000000000001</v>
      </c>
      <c r="D314" s="10">
        <f>5.6797 * CHOOSE(CONTROL!$C$32, $C$9, 100%, $E$9)</f>
        <v>5.6797000000000004</v>
      </c>
      <c r="E314" s="9">
        <f>5.5584 * CHOOSE(CONTROL!$C$32, $C$9, 100%, $E$9)</f>
        <v>5.5583999999999998</v>
      </c>
      <c r="F314" s="9">
        <f>5.5584 * CHOOSE(CONTROL!$C$32, $C$9, 100%, $E$9)</f>
        <v>5.5583999999999998</v>
      </c>
      <c r="G314" s="9">
        <f>5.5616 * CHOOSE(CONTROL!$C$32, $C$9, 100%, $E$9)</f>
        <v>5.5616000000000003</v>
      </c>
      <c r="H314" s="9">
        <f>7.001 * CHOOSE(CONTROL!$C$32, $C$9, 100%, $E$9)</f>
        <v>7.0010000000000003</v>
      </c>
      <c r="I314" s="9">
        <f>7.0043 * CHOOSE(CONTROL!$C$32, $C$9, 100%, $E$9)</f>
        <v>7.0042999999999997</v>
      </c>
      <c r="J314" s="9">
        <f>7.001 * CHOOSE(CONTROL!$C$32, $C$9, 100%, $E$9)</f>
        <v>7.0010000000000003</v>
      </c>
      <c r="K314" s="9">
        <f>7.0043 * CHOOSE(CONTROL!$C$32, $C$9, 100%, $E$9)</f>
        <v>7.0042999999999997</v>
      </c>
      <c r="L314" s="9">
        <f>5.5584 * CHOOSE(CONTROL!$C$32, $C$9, 100%, $E$9)</f>
        <v>5.5583999999999998</v>
      </c>
      <c r="M314" s="9">
        <f>5.5616 * CHOOSE(CONTROL!$C$32, $C$9, 100%, $E$9)</f>
        <v>5.5616000000000003</v>
      </c>
      <c r="N314" s="9">
        <f>5.5584 * CHOOSE(CONTROL!$C$32, $C$9, 100%, $E$9)</f>
        <v>5.5583999999999998</v>
      </c>
      <c r="O314" s="9">
        <f>5.5616 * CHOOSE(CONTROL!$C$32, $C$9, 100%, $E$9)</f>
        <v>5.5616000000000003</v>
      </c>
    </row>
    <row r="315" spans="1:15" ht="15.75" x14ac:dyDescent="0.25">
      <c r="A315" s="14">
        <v>50464</v>
      </c>
      <c r="B315" s="10">
        <f>5.6757 * CHOOSE(CONTROL!$C$32, $C$9, 100%, $E$9)</f>
        <v>5.6757</v>
      </c>
      <c r="C315" s="10">
        <f>5.6757 * CHOOSE(CONTROL!$C$32, $C$9, 100%, $E$9)</f>
        <v>5.6757</v>
      </c>
      <c r="D315" s="10">
        <f>5.6767 * CHOOSE(CONTROL!$C$32, $C$9, 100%, $E$9)</f>
        <v>5.6767000000000003</v>
      </c>
      <c r="E315" s="9">
        <f>5.4544 * CHOOSE(CONTROL!$C$32, $C$9, 100%, $E$9)</f>
        <v>5.4543999999999997</v>
      </c>
      <c r="F315" s="9">
        <f>5.4544 * CHOOSE(CONTROL!$C$32, $C$9, 100%, $E$9)</f>
        <v>5.4543999999999997</v>
      </c>
      <c r="G315" s="9">
        <f>5.4576 * CHOOSE(CONTROL!$C$32, $C$9, 100%, $E$9)</f>
        <v>5.4576000000000002</v>
      </c>
      <c r="H315" s="9">
        <f>6.999 * CHOOSE(CONTROL!$C$32, $C$9, 100%, $E$9)</f>
        <v>6.9989999999999997</v>
      </c>
      <c r="I315" s="9">
        <f>7.0023 * CHOOSE(CONTROL!$C$32, $C$9, 100%, $E$9)</f>
        <v>7.0023</v>
      </c>
      <c r="J315" s="9">
        <f>6.999 * CHOOSE(CONTROL!$C$32, $C$9, 100%, $E$9)</f>
        <v>6.9989999999999997</v>
      </c>
      <c r="K315" s="9">
        <f>7.0023 * CHOOSE(CONTROL!$C$32, $C$9, 100%, $E$9)</f>
        <v>7.0023</v>
      </c>
      <c r="L315" s="9">
        <f>5.4544 * CHOOSE(CONTROL!$C$32, $C$9, 100%, $E$9)</f>
        <v>5.4543999999999997</v>
      </c>
      <c r="M315" s="9">
        <f>5.4576 * CHOOSE(CONTROL!$C$32, $C$9, 100%, $E$9)</f>
        <v>5.4576000000000002</v>
      </c>
      <c r="N315" s="9">
        <f>5.4544 * CHOOSE(CONTROL!$C$32, $C$9, 100%, $E$9)</f>
        <v>5.4543999999999997</v>
      </c>
      <c r="O315" s="9">
        <f>5.4576 * CHOOSE(CONTROL!$C$32, $C$9, 100%, $E$9)</f>
        <v>5.4576000000000002</v>
      </c>
    </row>
    <row r="316" spans="1:15" ht="15.75" x14ac:dyDescent="0.25">
      <c r="A316" s="14">
        <v>50495</v>
      </c>
      <c r="B316" s="10">
        <f>5.6727 * CHOOSE(CONTROL!$C$32, $C$9, 100%, $E$9)</f>
        <v>5.6726999999999999</v>
      </c>
      <c r="C316" s="10">
        <f>5.6727 * CHOOSE(CONTROL!$C$32, $C$9, 100%, $E$9)</f>
        <v>5.6726999999999999</v>
      </c>
      <c r="D316" s="10">
        <f>5.6736 * CHOOSE(CONTROL!$C$32, $C$9, 100%, $E$9)</f>
        <v>5.6736000000000004</v>
      </c>
      <c r="E316" s="9">
        <f>5.5326 * CHOOSE(CONTROL!$C$32, $C$9, 100%, $E$9)</f>
        <v>5.5326000000000004</v>
      </c>
      <c r="F316" s="9">
        <f>5.5326 * CHOOSE(CONTROL!$C$32, $C$9, 100%, $E$9)</f>
        <v>5.5326000000000004</v>
      </c>
      <c r="G316" s="9">
        <f>5.5358 * CHOOSE(CONTROL!$C$32, $C$9, 100%, $E$9)</f>
        <v>5.5358000000000001</v>
      </c>
      <c r="H316" s="9">
        <f>6.997 * CHOOSE(CONTROL!$C$32, $C$9, 100%, $E$9)</f>
        <v>6.9969999999999999</v>
      </c>
      <c r="I316" s="9">
        <f>7.0003 * CHOOSE(CONTROL!$C$32, $C$9, 100%, $E$9)</f>
        <v>7.0003000000000002</v>
      </c>
      <c r="J316" s="9">
        <f>6.997 * CHOOSE(CONTROL!$C$32, $C$9, 100%, $E$9)</f>
        <v>6.9969999999999999</v>
      </c>
      <c r="K316" s="9">
        <f>7.0003 * CHOOSE(CONTROL!$C$32, $C$9, 100%, $E$9)</f>
        <v>7.0003000000000002</v>
      </c>
      <c r="L316" s="9">
        <f>5.5326 * CHOOSE(CONTROL!$C$32, $C$9, 100%, $E$9)</f>
        <v>5.5326000000000004</v>
      </c>
      <c r="M316" s="9">
        <f>5.5358 * CHOOSE(CONTROL!$C$32, $C$9, 100%, $E$9)</f>
        <v>5.5358000000000001</v>
      </c>
      <c r="N316" s="9">
        <f>5.5326 * CHOOSE(CONTROL!$C$32, $C$9, 100%, $E$9)</f>
        <v>5.5326000000000004</v>
      </c>
      <c r="O316" s="9">
        <f>5.5358 * CHOOSE(CONTROL!$C$32, $C$9, 100%, $E$9)</f>
        <v>5.5358000000000001</v>
      </c>
    </row>
    <row r="317" spans="1:15" ht="15.75" x14ac:dyDescent="0.25">
      <c r="A317" s="14">
        <v>50525</v>
      </c>
      <c r="B317" s="10">
        <f>5.6721 * CHOOSE(CONTROL!$C$32, $C$9, 100%, $E$9)</f>
        <v>5.6721000000000004</v>
      </c>
      <c r="C317" s="10">
        <f>5.6721 * CHOOSE(CONTROL!$C$32, $C$9, 100%, $E$9)</f>
        <v>5.6721000000000004</v>
      </c>
      <c r="D317" s="10">
        <f>5.6731 * CHOOSE(CONTROL!$C$32, $C$9, 100%, $E$9)</f>
        <v>5.6730999999999998</v>
      </c>
      <c r="E317" s="9">
        <f>5.6145 * CHOOSE(CONTROL!$C$32, $C$9, 100%, $E$9)</f>
        <v>5.6144999999999996</v>
      </c>
      <c r="F317" s="9">
        <f>5.6145 * CHOOSE(CONTROL!$C$32, $C$9, 100%, $E$9)</f>
        <v>5.6144999999999996</v>
      </c>
      <c r="G317" s="9">
        <f>5.6178 * CHOOSE(CONTROL!$C$32, $C$9, 100%, $E$9)</f>
        <v>5.6177999999999999</v>
      </c>
      <c r="H317" s="9">
        <f>6.9965 * CHOOSE(CONTROL!$C$32, $C$9, 100%, $E$9)</f>
        <v>6.9965000000000002</v>
      </c>
      <c r="I317" s="9">
        <f>6.9997 * CHOOSE(CONTROL!$C$32, $C$9, 100%, $E$9)</f>
        <v>6.9996999999999998</v>
      </c>
      <c r="J317" s="9">
        <f>6.9965 * CHOOSE(CONTROL!$C$32, $C$9, 100%, $E$9)</f>
        <v>6.9965000000000002</v>
      </c>
      <c r="K317" s="9">
        <f>6.9997 * CHOOSE(CONTROL!$C$32, $C$9, 100%, $E$9)</f>
        <v>6.9996999999999998</v>
      </c>
      <c r="L317" s="9">
        <f>5.6145 * CHOOSE(CONTROL!$C$32, $C$9, 100%, $E$9)</f>
        <v>5.6144999999999996</v>
      </c>
      <c r="M317" s="9">
        <f>5.6178 * CHOOSE(CONTROL!$C$32, $C$9, 100%, $E$9)</f>
        <v>5.6177999999999999</v>
      </c>
      <c r="N317" s="9">
        <f>5.6145 * CHOOSE(CONTROL!$C$32, $C$9, 100%, $E$9)</f>
        <v>5.6144999999999996</v>
      </c>
      <c r="O317" s="9">
        <f>5.6178 * CHOOSE(CONTROL!$C$32, $C$9, 100%, $E$9)</f>
        <v>5.6177999999999999</v>
      </c>
    </row>
    <row r="318" spans="1:15" ht="15.75" x14ac:dyDescent="0.25">
      <c r="A318" s="14">
        <v>50556</v>
      </c>
      <c r="B318" s="10">
        <f>5.6721 * CHOOSE(CONTROL!$C$32, $C$9, 100%, $E$9)</f>
        <v>5.6721000000000004</v>
      </c>
      <c r="C318" s="10">
        <f>5.6721 * CHOOSE(CONTROL!$C$32, $C$9, 100%, $E$9)</f>
        <v>5.6721000000000004</v>
      </c>
      <c r="D318" s="10">
        <f>5.6734 * CHOOSE(CONTROL!$C$32, $C$9, 100%, $E$9)</f>
        <v>5.6734</v>
      </c>
      <c r="E318" s="9">
        <f>5.6469 * CHOOSE(CONTROL!$C$32, $C$9, 100%, $E$9)</f>
        <v>5.6468999999999996</v>
      </c>
      <c r="F318" s="9">
        <f>5.6469 * CHOOSE(CONTROL!$C$32, $C$9, 100%, $E$9)</f>
        <v>5.6468999999999996</v>
      </c>
      <c r="G318" s="9">
        <f>5.6511 * CHOOSE(CONTROL!$C$32, $C$9, 100%, $E$9)</f>
        <v>5.6510999999999996</v>
      </c>
      <c r="H318" s="9">
        <f>6.9965 * CHOOSE(CONTROL!$C$32, $C$9, 100%, $E$9)</f>
        <v>6.9965000000000002</v>
      </c>
      <c r="I318" s="9">
        <f>7.0007 * CHOOSE(CONTROL!$C$32, $C$9, 100%, $E$9)</f>
        <v>7.0007000000000001</v>
      </c>
      <c r="J318" s="9">
        <f>6.9965 * CHOOSE(CONTROL!$C$32, $C$9, 100%, $E$9)</f>
        <v>6.9965000000000002</v>
      </c>
      <c r="K318" s="9">
        <f>7.0007 * CHOOSE(CONTROL!$C$32, $C$9, 100%, $E$9)</f>
        <v>7.0007000000000001</v>
      </c>
      <c r="L318" s="9">
        <f>5.6469 * CHOOSE(CONTROL!$C$32, $C$9, 100%, $E$9)</f>
        <v>5.6468999999999996</v>
      </c>
      <c r="M318" s="9">
        <f>5.6511 * CHOOSE(CONTROL!$C$32, $C$9, 100%, $E$9)</f>
        <v>5.6510999999999996</v>
      </c>
      <c r="N318" s="9">
        <f>5.6469 * CHOOSE(CONTROL!$C$32, $C$9, 100%, $E$9)</f>
        <v>5.6468999999999996</v>
      </c>
      <c r="O318" s="9">
        <f>5.6511 * CHOOSE(CONTROL!$C$32, $C$9, 100%, $E$9)</f>
        <v>5.6510999999999996</v>
      </c>
    </row>
    <row r="319" spans="1:15" ht="15.75" x14ac:dyDescent="0.25">
      <c r="A319" s="14">
        <v>50586</v>
      </c>
      <c r="B319" s="10">
        <f>5.6782 * CHOOSE(CONTROL!$C$32, $C$9, 100%, $E$9)</f>
        <v>5.6782000000000004</v>
      </c>
      <c r="C319" s="10">
        <f>5.6782 * CHOOSE(CONTROL!$C$32, $C$9, 100%, $E$9)</f>
        <v>5.6782000000000004</v>
      </c>
      <c r="D319" s="10">
        <f>5.6794 * CHOOSE(CONTROL!$C$32, $C$9, 100%, $E$9)</f>
        <v>5.6794000000000002</v>
      </c>
      <c r="E319" s="9">
        <f>5.6188 * CHOOSE(CONTROL!$C$32, $C$9, 100%, $E$9)</f>
        <v>5.6188000000000002</v>
      </c>
      <c r="F319" s="9">
        <f>5.6188 * CHOOSE(CONTROL!$C$32, $C$9, 100%, $E$9)</f>
        <v>5.6188000000000002</v>
      </c>
      <c r="G319" s="9">
        <f>5.623 * CHOOSE(CONTROL!$C$32, $C$9, 100%, $E$9)</f>
        <v>5.6230000000000002</v>
      </c>
      <c r="H319" s="9">
        <f>7.0005 * CHOOSE(CONTROL!$C$32, $C$9, 100%, $E$9)</f>
        <v>7.0004999999999997</v>
      </c>
      <c r="I319" s="9">
        <f>7.0047 * CHOOSE(CONTROL!$C$32, $C$9, 100%, $E$9)</f>
        <v>7.0046999999999997</v>
      </c>
      <c r="J319" s="9">
        <f>7.0005 * CHOOSE(CONTROL!$C$32, $C$9, 100%, $E$9)</f>
        <v>7.0004999999999997</v>
      </c>
      <c r="K319" s="9">
        <f>7.0047 * CHOOSE(CONTROL!$C$32, $C$9, 100%, $E$9)</f>
        <v>7.0046999999999997</v>
      </c>
      <c r="L319" s="9">
        <f>5.6188 * CHOOSE(CONTROL!$C$32, $C$9, 100%, $E$9)</f>
        <v>5.6188000000000002</v>
      </c>
      <c r="M319" s="9">
        <f>5.623 * CHOOSE(CONTROL!$C$32, $C$9, 100%, $E$9)</f>
        <v>5.6230000000000002</v>
      </c>
      <c r="N319" s="9">
        <f>5.6188 * CHOOSE(CONTROL!$C$32, $C$9, 100%, $E$9)</f>
        <v>5.6188000000000002</v>
      </c>
      <c r="O319" s="9">
        <f>5.623 * CHOOSE(CONTROL!$C$32, $C$9, 100%, $E$9)</f>
        <v>5.6230000000000002</v>
      </c>
    </row>
    <row r="320" spans="1:15" ht="15.75" x14ac:dyDescent="0.25">
      <c r="A320" s="14">
        <v>50617</v>
      </c>
      <c r="B320" s="10">
        <f>5.7636 * CHOOSE(CONTROL!$C$32, $C$9, 100%, $E$9)</f>
        <v>5.7636000000000003</v>
      </c>
      <c r="C320" s="10">
        <f>5.7636 * CHOOSE(CONTROL!$C$32, $C$9, 100%, $E$9)</f>
        <v>5.7636000000000003</v>
      </c>
      <c r="D320" s="10">
        <f>5.7648 * CHOOSE(CONTROL!$C$32, $C$9, 100%, $E$9)</f>
        <v>5.7648000000000001</v>
      </c>
      <c r="E320" s="9">
        <f>5.69 * CHOOSE(CONTROL!$C$32, $C$9, 100%, $E$9)</f>
        <v>5.69</v>
      </c>
      <c r="F320" s="9">
        <f>5.69 * CHOOSE(CONTROL!$C$32, $C$9, 100%, $E$9)</f>
        <v>5.69</v>
      </c>
      <c r="G320" s="9">
        <f>5.6942 * CHOOSE(CONTROL!$C$32, $C$9, 100%, $E$9)</f>
        <v>5.6942000000000004</v>
      </c>
      <c r="H320" s="9">
        <f>7.1086 * CHOOSE(CONTROL!$C$32, $C$9, 100%, $E$9)</f>
        <v>7.1086</v>
      </c>
      <c r="I320" s="9">
        <f>7.1128 * CHOOSE(CONTROL!$C$32, $C$9, 100%, $E$9)</f>
        <v>7.1128</v>
      </c>
      <c r="J320" s="9">
        <f>7.1086 * CHOOSE(CONTROL!$C$32, $C$9, 100%, $E$9)</f>
        <v>7.1086</v>
      </c>
      <c r="K320" s="9">
        <f>7.1128 * CHOOSE(CONTROL!$C$32, $C$9, 100%, $E$9)</f>
        <v>7.1128</v>
      </c>
      <c r="L320" s="9">
        <f>5.69 * CHOOSE(CONTROL!$C$32, $C$9, 100%, $E$9)</f>
        <v>5.69</v>
      </c>
      <c r="M320" s="9">
        <f>5.6942 * CHOOSE(CONTROL!$C$32, $C$9, 100%, $E$9)</f>
        <v>5.6942000000000004</v>
      </c>
      <c r="N320" s="9">
        <f>5.69 * CHOOSE(CONTROL!$C$32, $C$9, 100%, $E$9)</f>
        <v>5.69</v>
      </c>
      <c r="O320" s="9">
        <f>5.6942 * CHOOSE(CONTROL!$C$32, $C$9, 100%, $E$9)</f>
        <v>5.6942000000000004</v>
      </c>
    </row>
    <row r="321" spans="1:15" ht="15.75" x14ac:dyDescent="0.25">
      <c r="A321" s="14">
        <v>50648</v>
      </c>
      <c r="B321" s="10">
        <f>5.7703 * CHOOSE(CONTROL!$C$32, $C$9, 100%, $E$9)</f>
        <v>5.7702999999999998</v>
      </c>
      <c r="C321" s="10">
        <f>5.7703 * CHOOSE(CONTROL!$C$32, $C$9, 100%, $E$9)</f>
        <v>5.7702999999999998</v>
      </c>
      <c r="D321" s="10">
        <f>5.7715 * CHOOSE(CONTROL!$C$32, $C$9, 100%, $E$9)</f>
        <v>5.7714999999999996</v>
      </c>
      <c r="E321" s="9">
        <f>5.5977 * CHOOSE(CONTROL!$C$32, $C$9, 100%, $E$9)</f>
        <v>5.5976999999999997</v>
      </c>
      <c r="F321" s="9">
        <f>5.5977 * CHOOSE(CONTROL!$C$32, $C$9, 100%, $E$9)</f>
        <v>5.5976999999999997</v>
      </c>
      <c r="G321" s="9">
        <f>5.6019 * CHOOSE(CONTROL!$C$32, $C$9, 100%, $E$9)</f>
        <v>5.6018999999999997</v>
      </c>
      <c r="H321" s="9">
        <f>7.113 * CHOOSE(CONTROL!$C$32, $C$9, 100%, $E$9)</f>
        <v>7.1130000000000004</v>
      </c>
      <c r="I321" s="9">
        <f>7.1172 * CHOOSE(CONTROL!$C$32, $C$9, 100%, $E$9)</f>
        <v>7.1172000000000004</v>
      </c>
      <c r="J321" s="9">
        <f>7.113 * CHOOSE(CONTROL!$C$32, $C$9, 100%, $E$9)</f>
        <v>7.1130000000000004</v>
      </c>
      <c r="K321" s="9">
        <f>7.1172 * CHOOSE(CONTROL!$C$32, $C$9, 100%, $E$9)</f>
        <v>7.1172000000000004</v>
      </c>
      <c r="L321" s="9">
        <f>5.5977 * CHOOSE(CONTROL!$C$32, $C$9, 100%, $E$9)</f>
        <v>5.5976999999999997</v>
      </c>
      <c r="M321" s="9">
        <f>5.6019 * CHOOSE(CONTROL!$C$32, $C$9, 100%, $E$9)</f>
        <v>5.6018999999999997</v>
      </c>
      <c r="N321" s="9">
        <f>5.5977 * CHOOSE(CONTROL!$C$32, $C$9, 100%, $E$9)</f>
        <v>5.5976999999999997</v>
      </c>
      <c r="O321" s="9">
        <f>5.6019 * CHOOSE(CONTROL!$C$32, $C$9, 100%, $E$9)</f>
        <v>5.6018999999999997</v>
      </c>
    </row>
    <row r="322" spans="1:15" ht="15.75" x14ac:dyDescent="0.25">
      <c r="A322" s="14">
        <v>50678</v>
      </c>
      <c r="B322" s="10">
        <f>5.7672 * CHOOSE(CONTROL!$C$32, $C$9, 100%, $E$9)</f>
        <v>5.7671999999999999</v>
      </c>
      <c r="C322" s="10">
        <f>5.7672 * CHOOSE(CONTROL!$C$32, $C$9, 100%, $E$9)</f>
        <v>5.7671999999999999</v>
      </c>
      <c r="D322" s="10">
        <f>5.7685 * CHOOSE(CONTROL!$C$32, $C$9, 100%, $E$9)</f>
        <v>5.7685000000000004</v>
      </c>
      <c r="E322" s="9">
        <f>5.5848 * CHOOSE(CONTROL!$C$32, $C$9, 100%, $E$9)</f>
        <v>5.5848000000000004</v>
      </c>
      <c r="F322" s="9">
        <f>5.5848 * CHOOSE(CONTROL!$C$32, $C$9, 100%, $E$9)</f>
        <v>5.5848000000000004</v>
      </c>
      <c r="G322" s="9">
        <f>5.589 * CHOOSE(CONTROL!$C$32, $C$9, 100%, $E$9)</f>
        <v>5.5890000000000004</v>
      </c>
      <c r="H322" s="9">
        <f>7.111 * CHOOSE(CONTROL!$C$32, $C$9, 100%, $E$9)</f>
        <v>7.1109999999999998</v>
      </c>
      <c r="I322" s="9">
        <f>7.1152 * CHOOSE(CONTROL!$C$32, $C$9, 100%, $E$9)</f>
        <v>7.1151999999999997</v>
      </c>
      <c r="J322" s="9">
        <f>7.111 * CHOOSE(CONTROL!$C$32, $C$9, 100%, $E$9)</f>
        <v>7.1109999999999998</v>
      </c>
      <c r="K322" s="9">
        <f>7.1152 * CHOOSE(CONTROL!$C$32, $C$9, 100%, $E$9)</f>
        <v>7.1151999999999997</v>
      </c>
      <c r="L322" s="9">
        <f>5.5848 * CHOOSE(CONTROL!$C$32, $C$9, 100%, $E$9)</f>
        <v>5.5848000000000004</v>
      </c>
      <c r="M322" s="9">
        <f>5.589 * CHOOSE(CONTROL!$C$32, $C$9, 100%, $E$9)</f>
        <v>5.5890000000000004</v>
      </c>
      <c r="N322" s="9">
        <f>5.5848 * CHOOSE(CONTROL!$C$32, $C$9, 100%, $E$9)</f>
        <v>5.5848000000000004</v>
      </c>
      <c r="O322" s="9">
        <f>5.589 * CHOOSE(CONTROL!$C$32, $C$9, 100%, $E$9)</f>
        <v>5.5890000000000004</v>
      </c>
    </row>
    <row r="323" spans="1:15" ht="15.75" x14ac:dyDescent="0.25">
      <c r="A323" s="14">
        <v>50709</v>
      </c>
      <c r="B323" s="10">
        <f>5.7696 * CHOOSE(CONTROL!$C$32, $C$9, 100%, $E$9)</f>
        <v>5.7695999999999996</v>
      </c>
      <c r="C323" s="10">
        <f>5.7696 * CHOOSE(CONTROL!$C$32, $C$9, 100%, $E$9)</f>
        <v>5.7695999999999996</v>
      </c>
      <c r="D323" s="10">
        <f>5.7705 * CHOOSE(CONTROL!$C$32, $C$9, 100%, $E$9)</f>
        <v>5.7705000000000002</v>
      </c>
      <c r="E323" s="9">
        <f>5.6145 * CHOOSE(CONTROL!$C$32, $C$9, 100%, $E$9)</f>
        <v>5.6144999999999996</v>
      </c>
      <c r="F323" s="9">
        <f>5.6145 * CHOOSE(CONTROL!$C$32, $C$9, 100%, $E$9)</f>
        <v>5.6144999999999996</v>
      </c>
      <c r="G323" s="9">
        <f>5.6177 * CHOOSE(CONTROL!$C$32, $C$9, 100%, $E$9)</f>
        <v>5.6177000000000001</v>
      </c>
      <c r="H323" s="9">
        <f>7.1117 * CHOOSE(CONTROL!$C$32, $C$9, 100%, $E$9)</f>
        <v>7.1116999999999999</v>
      </c>
      <c r="I323" s="9">
        <f>7.1149 * CHOOSE(CONTROL!$C$32, $C$9, 100%, $E$9)</f>
        <v>7.1148999999999996</v>
      </c>
      <c r="J323" s="9">
        <f>7.1117 * CHOOSE(CONTROL!$C$32, $C$9, 100%, $E$9)</f>
        <v>7.1116999999999999</v>
      </c>
      <c r="K323" s="9">
        <f>7.1149 * CHOOSE(CONTROL!$C$32, $C$9, 100%, $E$9)</f>
        <v>7.1148999999999996</v>
      </c>
      <c r="L323" s="9">
        <f>5.6145 * CHOOSE(CONTROL!$C$32, $C$9, 100%, $E$9)</f>
        <v>5.6144999999999996</v>
      </c>
      <c r="M323" s="9">
        <f>5.6177 * CHOOSE(CONTROL!$C$32, $C$9, 100%, $E$9)</f>
        <v>5.6177000000000001</v>
      </c>
      <c r="N323" s="9">
        <f>5.6145 * CHOOSE(CONTROL!$C$32, $C$9, 100%, $E$9)</f>
        <v>5.6144999999999996</v>
      </c>
      <c r="O323" s="9">
        <f>5.6177 * CHOOSE(CONTROL!$C$32, $C$9, 100%, $E$9)</f>
        <v>5.6177000000000001</v>
      </c>
    </row>
    <row r="324" spans="1:15" ht="15.75" x14ac:dyDescent="0.25">
      <c r="A324" s="14">
        <v>50739</v>
      </c>
      <c r="B324" s="10">
        <f>5.7726 * CHOOSE(CONTROL!$C$32, $C$9, 100%, $E$9)</f>
        <v>5.7725999999999997</v>
      </c>
      <c r="C324" s="10">
        <f>5.7726 * CHOOSE(CONTROL!$C$32, $C$9, 100%, $E$9)</f>
        <v>5.7725999999999997</v>
      </c>
      <c r="D324" s="10">
        <f>5.7736 * CHOOSE(CONTROL!$C$32, $C$9, 100%, $E$9)</f>
        <v>5.7736000000000001</v>
      </c>
      <c r="E324" s="9">
        <f>5.6381 * CHOOSE(CONTROL!$C$32, $C$9, 100%, $E$9)</f>
        <v>5.6380999999999997</v>
      </c>
      <c r="F324" s="9">
        <f>5.6381 * CHOOSE(CONTROL!$C$32, $C$9, 100%, $E$9)</f>
        <v>5.6380999999999997</v>
      </c>
      <c r="G324" s="9">
        <f>5.6414 * CHOOSE(CONTROL!$C$32, $C$9, 100%, $E$9)</f>
        <v>5.6414</v>
      </c>
      <c r="H324" s="9">
        <f>7.1137 * CHOOSE(CONTROL!$C$32, $C$9, 100%, $E$9)</f>
        <v>7.1136999999999997</v>
      </c>
      <c r="I324" s="9">
        <f>7.1169 * CHOOSE(CONTROL!$C$32, $C$9, 100%, $E$9)</f>
        <v>7.1169000000000002</v>
      </c>
      <c r="J324" s="9">
        <f>7.1137 * CHOOSE(CONTROL!$C$32, $C$9, 100%, $E$9)</f>
        <v>7.1136999999999997</v>
      </c>
      <c r="K324" s="9">
        <f>7.1169 * CHOOSE(CONTROL!$C$32, $C$9, 100%, $E$9)</f>
        <v>7.1169000000000002</v>
      </c>
      <c r="L324" s="9">
        <f>5.6381 * CHOOSE(CONTROL!$C$32, $C$9, 100%, $E$9)</f>
        <v>5.6380999999999997</v>
      </c>
      <c r="M324" s="9">
        <f>5.6414 * CHOOSE(CONTROL!$C$32, $C$9, 100%, $E$9)</f>
        <v>5.6414</v>
      </c>
      <c r="N324" s="9">
        <f>5.6381 * CHOOSE(CONTROL!$C$32, $C$9, 100%, $E$9)</f>
        <v>5.6380999999999997</v>
      </c>
      <c r="O324" s="9">
        <f>5.6414 * CHOOSE(CONTROL!$C$32, $C$9, 100%, $E$9)</f>
        <v>5.6414</v>
      </c>
    </row>
    <row r="325" spans="1:15" ht="15.75" x14ac:dyDescent="0.25">
      <c r="A325" s="14">
        <v>50770</v>
      </c>
      <c r="B325" s="10">
        <f>5.7726 * CHOOSE(CONTROL!$C$32, $C$9, 100%, $E$9)</f>
        <v>5.7725999999999997</v>
      </c>
      <c r="C325" s="10">
        <f>5.7726 * CHOOSE(CONTROL!$C$32, $C$9, 100%, $E$9)</f>
        <v>5.7725999999999997</v>
      </c>
      <c r="D325" s="10">
        <f>5.7736 * CHOOSE(CONTROL!$C$32, $C$9, 100%, $E$9)</f>
        <v>5.7736000000000001</v>
      </c>
      <c r="E325" s="9">
        <f>5.6156 * CHOOSE(CONTROL!$C$32, $C$9, 100%, $E$9)</f>
        <v>5.6155999999999997</v>
      </c>
      <c r="F325" s="9">
        <f>5.6156 * CHOOSE(CONTROL!$C$32, $C$9, 100%, $E$9)</f>
        <v>5.6155999999999997</v>
      </c>
      <c r="G325" s="9">
        <f>5.6188 * CHOOSE(CONTROL!$C$32, $C$9, 100%, $E$9)</f>
        <v>5.6188000000000002</v>
      </c>
      <c r="H325" s="9">
        <f>7.1137 * CHOOSE(CONTROL!$C$32, $C$9, 100%, $E$9)</f>
        <v>7.1136999999999997</v>
      </c>
      <c r="I325" s="9">
        <f>7.1169 * CHOOSE(CONTROL!$C$32, $C$9, 100%, $E$9)</f>
        <v>7.1169000000000002</v>
      </c>
      <c r="J325" s="9">
        <f>7.1137 * CHOOSE(CONTROL!$C$32, $C$9, 100%, $E$9)</f>
        <v>7.1136999999999997</v>
      </c>
      <c r="K325" s="9">
        <f>7.1169 * CHOOSE(CONTROL!$C$32, $C$9, 100%, $E$9)</f>
        <v>7.1169000000000002</v>
      </c>
      <c r="L325" s="9">
        <f>5.6156 * CHOOSE(CONTROL!$C$32, $C$9, 100%, $E$9)</f>
        <v>5.6155999999999997</v>
      </c>
      <c r="M325" s="9">
        <f>5.6188 * CHOOSE(CONTROL!$C$32, $C$9, 100%, $E$9)</f>
        <v>5.6188000000000002</v>
      </c>
      <c r="N325" s="9">
        <f>5.6156 * CHOOSE(CONTROL!$C$32, $C$9, 100%, $E$9)</f>
        <v>5.6155999999999997</v>
      </c>
      <c r="O325" s="9">
        <f>5.6188 * CHOOSE(CONTROL!$C$32, $C$9, 100%, $E$9)</f>
        <v>5.6188000000000002</v>
      </c>
    </row>
    <row r="326" spans="1:15" ht="15.75" x14ac:dyDescent="0.25">
      <c r="A326" s="14">
        <v>50801</v>
      </c>
      <c r="B326" s="10">
        <f>5.822 * CHOOSE(CONTROL!$C$32, $C$9, 100%, $E$9)</f>
        <v>5.8220000000000001</v>
      </c>
      <c r="C326" s="10">
        <f>5.822 * CHOOSE(CONTROL!$C$32, $C$9, 100%, $E$9)</f>
        <v>5.8220000000000001</v>
      </c>
      <c r="D326" s="10">
        <f>5.8229 * CHOOSE(CONTROL!$C$32, $C$9, 100%, $E$9)</f>
        <v>5.8228999999999997</v>
      </c>
      <c r="E326" s="9">
        <f>5.6604 * CHOOSE(CONTROL!$C$32, $C$9, 100%, $E$9)</f>
        <v>5.6604000000000001</v>
      </c>
      <c r="F326" s="9">
        <f>5.6604 * CHOOSE(CONTROL!$C$32, $C$9, 100%, $E$9)</f>
        <v>5.6604000000000001</v>
      </c>
      <c r="G326" s="9">
        <f>5.6636 * CHOOSE(CONTROL!$C$32, $C$9, 100%, $E$9)</f>
        <v>5.6635999999999997</v>
      </c>
      <c r="H326" s="9">
        <f>7.1674 * CHOOSE(CONTROL!$C$32, $C$9, 100%, $E$9)</f>
        <v>7.1673999999999998</v>
      </c>
      <c r="I326" s="9">
        <f>7.1707 * CHOOSE(CONTROL!$C$32, $C$9, 100%, $E$9)</f>
        <v>7.1707000000000001</v>
      </c>
      <c r="J326" s="9">
        <f>7.1674 * CHOOSE(CONTROL!$C$32, $C$9, 100%, $E$9)</f>
        <v>7.1673999999999998</v>
      </c>
      <c r="K326" s="9">
        <f>7.1707 * CHOOSE(CONTROL!$C$32, $C$9, 100%, $E$9)</f>
        <v>7.1707000000000001</v>
      </c>
      <c r="L326" s="9">
        <f>5.6604 * CHOOSE(CONTROL!$C$32, $C$9, 100%, $E$9)</f>
        <v>5.6604000000000001</v>
      </c>
      <c r="M326" s="9">
        <f>5.6636 * CHOOSE(CONTROL!$C$32, $C$9, 100%, $E$9)</f>
        <v>5.6635999999999997</v>
      </c>
      <c r="N326" s="9">
        <f>5.6604 * CHOOSE(CONTROL!$C$32, $C$9, 100%, $E$9)</f>
        <v>5.6604000000000001</v>
      </c>
      <c r="O326" s="9">
        <f>5.6636 * CHOOSE(CONTROL!$C$32, $C$9, 100%, $E$9)</f>
        <v>5.6635999999999997</v>
      </c>
    </row>
    <row r="327" spans="1:15" ht="15.75" x14ac:dyDescent="0.25">
      <c r="A327" s="14">
        <v>50829</v>
      </c>
      <c r="B327" s="10">
        <f>5.8189 * CHOOSE(CONTROL!$C$32, $C$9, 100%, $E$9)</f>
        <v>5.8189000000000002</v>
      </c>
      <c r="C327" s="10">
        <f>5.8189 * CHOOSE(CONTROL!$C$32, $C$9, 100%, $E$9)</f>
        <v>5.8189000000000002</v>
      </c>
      <c r="D327" s="10">
        <f>5.8199 * CHOOSE(CONTROL!$C$32, $C$9, 100%, $E$9)</f>
        <v>5.8198999999999996</v>
      </c>
      <c r="E327" s="9">
        <f>5.5534 * CHOOSE(CONTROL!$C$32, $C$9, 100%, $E$9)</f>
        <v>5.5533999999999999</v>
      </c>
      <c r="F327" s="9">
        <f>5.5534 * CHOOSE(CONTROL!$C$32, $C$9, 100%, $E$9)</f>
        <v>5.5533999999999999</v>
      </c>
      <c r="G327" s="9">
        <f>5.5566 * CHOOSE(CONTROL!$C$32, $C$9, 100%, $E$9)</f>
        <v>5.5566000000000004</v>
      </c>
      <c r="H327" s="9">
        <f>7.1654 * CHOOSE(CONTROL!$C$32, $C$9, 100%, $E$9)</f>
        <v>7.1654</v>
      </c>
      <c r="I327" s="9">
        <f>7.1687 * CHOOSE(CONTROL!$C$32, $C$9, 100%, $E$9)</f>
        <v>7.1687000000000003</v>
      </c>
      <c r="J327" s="9">
        <f>7.1654 * CHOOSE(CONTROL!$C$32, $C$9, 100%, $E$9)</f>
        <v>7.1654</v>
      </c>
      <c r="K327" s="9">
        <f>7.1687 * CHOOSE(CONTROL!$C$32, $C$9, 100%, $E$9)</f>
        <v>7.1687000000000003</v>
      </c>
      <c r="L327" s="9">
        <f>5.5534 * CHOOSE(CONTROL!$C$32, $C$9, 100%, $E$9)</f>
        <v>5.5533999999999999</v>
      </c>
      <c r="M327" s="9">
        <f>5.5566 * CHOOSE(CONTROL!$C$32, $C$9, 100%, $E$9)</f>
        <v>5.5566000000000004</v>
      </c>
      <c r="N327" s="9">
        <f>5.5534 * CHOOSE(CONTROL!$C$32, $C$9, 100%, $E$9)</f>
        <v>5.5533999999999999</v>
      </c>
      <c r="O327" s="9">
        <f>5.5566 * CHOOSE(CONTROL!$C$32, $C$9, 100%, $E$9)</f>
        <v>5.5566000000000004</v>
      </c>
    </row>
    <row r="328" spans="1:15" ht="15.75" x14ac:dyDescent="0.25">
      <c r="A328" s="14">
        <v>50860</v>
      </c>
      <c r="B328" s="10">
        <f>5.8159 * CHOOSE(CONTROL!$C$32, $C$9, 100%, $E$9)</f>
        <v>5.8159000000000001</v>
      </c>
      <c r="C328" s="10">
        <f>5.8159 * CHOOSE(CONTROL!$C$32, $C$9, 100%, $E$9)</f>
        <v>5.8159000000000001</v>
      </c>
      <c r="D328" s="10">
        <f>5.8169 * CHOOSE(CONTROL!$C$32, $C$9, 100%, $E$9)</f>
        <v>5.8169000000000004</v>
      </c>
      <c r="E328" s="9">
        <f>5.634 * CHOOSE(CONTROL!$C$32, $C$9, 100%, $E$9)</f>
        <v>5.6340000000000003</v>
      </c>
      <c r="F328" s="9">
        <f>5.634 * CHOOSE(CONTROL!$C$32, $C$9, 100%, $E$9)</f>
        <v>5.6340000000000003</v>
      </c>
      <c r="G328" s="9">
        <f>5.6372 * CHOOSE(CONTROL!$C$32, $C$9, 100%, $E$9)</f>
        <v>5.6372</v>
      </c>
      <c r="H328" s="9">
        <f>7.1634 * CHOOSE(CONTROL!$C$32, $C$9, 100%, $E$9)</f>
        <v>7.1634000000000002</v>
      </c>
      <c r="I328" s="9">
        <f>7.1667 * CHOOSE(CONTROL!$C$32, $C$9, 100%, $E$9)</f>
        <v>7.1666999999999996</v>
      </c>
      <c r="J328" s="9">
        <f>7.1634 * CHOOSE(CONTROL!$C$32, $C$9, 100%, $E$9)</f>
        <v>7.1634000000000002</v>
      </c>
      <c r="K328" s="9">
        <f>7.1667 * CHOOSE(CONTROL!$C$32, $C$9, 100%, $E$9)</f>
        <v>7.1666999999999996</v>
      </c>
      <c r="L328" s="9">
        <f>5.634 * CHOOSE(CONTROL!$C$32, $C$9, 100%, $E$9)</f>
        <v>5.6340000000000003</v>
      </c>
      <c r="M328" s="9">
        <f>5.6372 * CHOOSE(CONTROL!$C$32, $C$9, 100%, $E$9)</f>
        <v>5.6372</v>
      </c>
      <c r="N328" s="9">
        <f>5.634 * CHOOSE(CONTROL!$C$32, $C$9, 100%, $E$9)</f>
        <v>5.6340000000000003</v>
      </c>
      <c r="O328" s="9">
        <f>5.6372 * CHOOSE(CONTROL!$C$32, $C$9, 100%, $E$9)</f>
        <v>5.6372</v>
      </c>
    </row>
    <row r="329" spans="1:15" ht="15.75" x14ac:dyDescent="0.25">
      <c r="A329" s="14">
        <v>50890</v>
      </c>
      <c r="B329" s="10">
        <f>5.8155 * CHOOSE(CONTROL!$C$32, $C$9, 100%, $E$9)</f>
        <v>5.8155000000000001</v>
      </c>
      <c r="C329" s="10">
        <f>5.8155 * CHOOSE(CONTROL!$C$32, $C$9, 100%, $E$9)</f>
        <v>5.8155000000000001</v>
      </c>
      <c r="D329" s="10">
        <f>5.8164 * CHOOSE(CONTROL!$C$32, $C$9, 100%, $E$9)</f>
        <v>5.8163999999999998</v>
      </c>
      <c r="E329" s="9">
        <f>5.7185 * CHOOSE(CONTROL!$C$32, $C$9, 100%, $E$9)</f>
        <v>5.7184999999999997</v>
      </c>
      <c r="F329" s="9">
        <f>5.7185 * CHOOSE(CONTROL!$C$32, $C$9, 100%, $E$9)</f>
        <v>5.7184999999999997</v>
      </c>
      <c r="G329" s="9">
        <f>5.7218 * CHOOSE(CONTROL!$C$32, $C$9, 100%, $E$9)</f>
        <v>5.7218</v>
      </c>
      <c r="H329" s="9">
        <f>7.163 * CHOOSE(CONTROL!$C$32, $C$9, 100%, $E$9)</f>
        <v>7.1630000000000003</v>
      </c>
      <c r="I329" s="9">
        <f>7.1662 * CHOOSE(CONTROL!$C$32, $C$9, 100%, $E$9)</f>
        <v>7.1661999999999999</v>
      </c>
      <c r="J329" s="9">
        <f>7.163 * CHOOSE(CONTROL!$C$32, $C$9, 100%, $E$9)</f>
        <v>7.1630000000000003</v>
      </c>
      <c r="K329" s="9">
        <f>7.1662 * CHOOSE(CONTROL!$C$32, $C$9, 100%, $E$9)</f>
        <v>7.1661999999999999</v>
      </c>
      <c r="L329" s="9">
        <f>5.7185 * CHOOSE(CONTROL!$C$32, $C$9, 100%, $E$9)</f>
        <v>5.7184999999999997</v>
      </c>
      <c r="M329" s="9">
        <f>5.7218 * CHOOSE(CONTROL!$C$32, $C$9, 100%, $E$9)</f>
        <v>5.7218</v>
      </c>
      <c r="N329" s="9">
        <f>5.7185 * CHOOSE(CONTROL!$C$32, $C$9, 100%, $E$9)</f>
        <v>5.7184999999999997</v>
      </c>
      <c r="O329" s="9">
        <f>5.7218 * CHOOSE(CONTROL!$C$32, $C$9, 100%, $E$9)</f>
        <v>5.7218</v>
      </c>
    </row>
    <row r="330" spans="1:15" ht="15.75" x14ac:dyDescent="0.25">
      <c r="A330" s="14">
        <v>50921</v>
      </c>
      <c r="B330" s="10">
        <f>5.8155 * CHOOSE(CONTROL!$C$32, $C$9, 100%, $E$9)</f>
        <v>5.8155000000000001</v>
      </c>
      <c r="C330" s="10">
        <f>5.8155 * CHOOSE(CONTROL!$C$32, $C$9, 100%, $E$9)</f>
        <v>5.8155000000000001</v>
      </c>
      <c r="D330" s="10">
        <f>5.8167 * CHOOSE(CONTROL!$C$32, $C$9, 100%, $E$9)</f>
        <v>5.8167</v>
      </c>
      <c r="E330" s="9">
        <f>5.7518 * CHOOSE(CONTROL!$C$32, $C$9, 100%, $E$9)</f>
        <v>5.7518000000000002</v>
      </c>
      <c r="F330" s="9">
        <f>5.7518 * CHOOSE(CONTROL!$C$32, $C$9, 100%, $E$9)</f>
        <v>5.7518000000000002</v>
      </c>
      <c r="G330" s="9">
        <f>5.756 * CHOOSE(CONTROL!$C$32, $C$9, 100%, $E$9)</f>
        <v>5.7560000000000002</v>
      </c>
      <c r="H330" s="9">
        <f>7.163 * CHOOSE(CONTROL!$C$32, $C$9, 100%, $E$9)</f>
        <v>7.1630000000000003</v>
      </c>
      <c r="I330" s="9">
        <f>7.1672 * CHOOSE(CONTROL!$C$32, $C$9, 100%, $E$9)</f>
        <v>7.1672000000000002</v>
      </c>
      <c r="J330" s="9">
        <f>7.163 * CHOOSE(CONTROL!$C$32, $C$9, 100%, $E$9)</f>
        <v>7.1630000000000003</v>
      </c>
      <c r="K330" s="9">
        <f>7.1672 * CHOOSE(CONTROL!$C$32, $C$9, 100%, $E$9)</f>
        <v>7.1672000000000002</v>
      </c>
      <c r="L330" s="9">
        <f>5.7518 * CHOOSE(CONTROL!$C$32, $C$9, 100%, $E$9)</f>
        <v>5.7518000000000002</v>
      </c>
      <c r="M330" s="9">
        <f>5.756 * CHOOSE(CONTROL!$C$32, $C$9, 100%, $E$9)</f>
        <v>5.7560000000000002</v>
      </c>
      <c r="N330" s="9">
        <f>5.7518 * CHOOSE(CONTROL!$C$32, $C$9, 100%, $E$9)</f>
        <v>5.7518000000000002</v>
      </c>
      <c r="O330" s="9">
        <f>5.756 * CHOOSE(CONTROL!$C$32, $C$9, 100%, $E$9)</f>
        <v>5.7560000000000002</v>
      </c>
    </row>
    <row r="331" spans="1:15" ht="15.75" x14ac:dyDescent="0.25">
      <c r="A331" s="14">
        <v>50951</v>
      </c>
      <c r="B331" s="10">
        <f>5.8216 * CHOOSE(CONTROL!$C$32, $C$9, 100%, $E$9)</f>
        <v>5.8216000000000001</v>
      </c>
      <c r="C331" s="10">
        <f>5.8216 * CHOOSE(CONTROL!$C$32, $C$9, 100%, $E$9)</f>
        <v>5.8216000000000001</v>
      </c>
      <c r="D331" s="10">
        <f>5.8228 * CHOOSE(CONTROL!$C$32, $C$9, 100%, $E$9)</f>
        <v>5.8228</v>
      </c>
      <c r="E331" s="9">
        <f>5.7228 * CHOOSE(CONTROL!$C$32, $C$9, 100%, $E$9)</f>
        <v>5.7228000000000003</v>
      </c>
      <c r="F331" s="9">
        <f>5.7228 * CHOOSE(CONTROL!$C$32, $C$9, 100%, $E$9)</f>
        <v>5.7228000000000003</v>
      </c>
      <c r="G331" s="9">
        <f>5.727 * CHOOSE(CONTROL!$C$32, $C$9, 100%, $E$9)</f>
        <v>5.7270000000000003</v>
      </c>
      <c r="H331" s="9">
        <f>7.167 * CHOOSE(CONTROL!$C$32, $C$9, 100%, $E$9)</f>
        <v>7.1669999999999998</v>
      </c>
      <c r="I331" s="9">
        <f>7.1712 * CHOOSE(CONTROL!$C$32, $C$9, 100%, $E$9)</f>
        <v>7.1711999999999998</v>
      </c>
      <c r="J331" s="9">
        <f>7.167 * CHOOSE(CONTROL!$C$32, $C$9, 100%, $E$9)</f>
        <v>7.1669999999999998</v>
      </c>
      <c r="K331" s="9">
        <f>7.1712 * CHOOSE(CONTROL!$C$32, $C$9, 100%, $E$9)</f>
        <v>7.1711999999999998</v>
      </c>
      <c r="L331" s="9">
        <f>5.7228 * CHOOSE(CONTROL!$C$32, $C$9, 100%, $E$9)</f>
        <v>5.7228000000000003</v>
      </c>
      <c r="M331" s="9">
        <f>5.727 * CHOOSE(CONTROL!$C$32, $C$9, 100%, $E$9)</f>
        <v>5.7270000000000003</v>
      </c>
      <c r="N331" s="9">
        <f>5.7228 * CHOOSE(CONTROL!$C$32, $C$9, 100%, $E$9)</f>
        <v>5.7228000000000003</v>
      </c>
      <c r="O331" s="9">
        <f>5.727 * CHOOSE(CONTROL!$C$32, $C$9, 100%, $E$9)</f>
        <v>5.7270000000000003</v>
      </c>
    </row>
    <row r="332" spans="1:15" ht="15.75" x14ac:dyDescent="0.25">
      <c r="A332" s="14">
        <v>50982</v>
      </c>
      <c r="B332" s="10">
        <f>5.9093 * CHOOSE(CONTROL!$C$32, $C$9, 100%, $E$9)</f>
        <v>5.9093</v>
      </c>
      <c r="C332" s="10">
        <f>5.9093 * CHOOSE(CONTROL!$C$32, $C$9, 100%, $E$9)</f>
        <v>5.9093</v>
      </c>
      <c r="D332" s="10">
        <f>5.9106 * CHOOSE(CONTROL!$C$32, $C$9, 100%, $E$9)</f>
        <v>5.9105999999999996</v>
      </c>
      <c r="E332" s="9">
        <f>5.7906 * CHOOSE(CONTROL!$C$32, $C$9, 100%, $E$9)</f>
        <v>5.7906000000000004</v>
      </c>
      <c r="F332" s="9">
        <f>5.7906 * CHOOSE(CONTROL!$C$32, $C$9, 100%, $E$9)</f>
        <v>5.7906000000000004</v>
      </c>
      <c r="G332" s="9">
        <f>5.7948 * CHOOSE(CONTROL!$C$32, $C$9, 100%, $E$9)</f>
        <v>5.7948000000000004</v>
      </c>
      <c r="H332" s="9">
        <f>7.2779 * CHOOSE(CONTROL!$C$32, $C$9, 100%, $E$9)</f>
        <v>7.2778999999999998</v>
      </c>
      <c r="I332" s="9">
        <f>7.2821 * CHOOSE(CONTROL!$C$32, $C$9, 100%, $E$9)</f>
        <v>7.2820999999999998</v>
      </c>
      <c r="J332" s="9">
        <f>7.2779 * CHOOSE(CONTROL!$C$32, $C$9, 100%, $E$9)</f>
        <v>7.2778999999999998</v>
      </c>
      <c r="K332" s="9">
        <f>7.2821 * CHOOSE(CONTROL!$C$32, $C$9, 100%, $E$9)</f>
        <v>7.2820999999999998</v>
      </c>
      <c r="L332" s="9">
        <f>5.7906 * CHOOSE(CONTROL!$C$32, $C$9, 100%, $E$9)</f>
        <v>5.7906000000000004</v>
      </c>
      <c r="M332" s="9">
        <f>5.7948 * CHOOSE(CONTROL!$C$32, $C$9, 100%, $E$9)</f>
        <v>5.7948000000000004</v>
      </c>
      <c r="N332" s="9">
        <f>5.7906 * CHOOSE(CONTROL!$C$32, $C$9, 100%, $E$9)</f>
        <v>5.7906000000000004</v>
      </c>
      <c r="O332" s="9">
        <f>5.7948 * CHOOSE(CONTROL!$C$32, $C$9, 100%, $E$9)</f>
        <v>5.7948000000000004</v>
      </c>
    </row>
    <row r="333" spans="1:15" ht="15.75" x14ac:dyDescent="0.25">
      <c r="A333" s="14">
        <v>51013</v>
      </c>
      <c r="B333" s="10">
        <f>5.916 * CHOOSE(CONTROL!$C$32, $C$9, 100%, $E$9)</f>
        <v>5.9160000000000004</v>
      </c>
      <c r="C333" s="10">
        <f>5.916 * CHOOSE(CONTROL!$C$32, $C$9, 100%, $E$9)</f>
        <v>5.9160000000000004</v>
      </c>
      <c r="D333" s="10">
        <f>5.9173 * CHOOSE(CONTROL!$C$32, $C$9, 100%, $E$9)</f>
        <v>5.9173</v>
      </c>
      <c r="E333" s="9">
        <f>5.6954 * CHOOSE(CONTROL!$C$32, $C$9, 100%, $E$9)</f>
        <v>5.6954000000000002</v>
      </c>
      <c r="F333" s="9">
        <f>5.6954 * CHOOSE(CONTROL!$C$32, $C$9, 100%, $E$9)</f>
        <v>5.6954000000000002</v>
      </c>
      <c r="G333" s="9">
        <f>5.6996 * CHOOSE(CONTROL!$C$32, $C$9, 100%, $E$9)</f>
        <v>5.6996000000000002</v>
      </c>
      <c r="H333" s="9">
        <f>7.2823 * CHOOSE(CONTROL!$C$32, $C$9, 100%, $E$9)</f>
        <v>7.2823000000000002</v>
      </c>
      <c r="I333" s="9">
        <f>7.2865 * CHOOSE(CONTROL!$C$32, $C$9, 100%, $E$9)</f>
        <v>7.2865000000000002</v>
      </c>
      <c r="J333" s="9">
        <f>7.2823 * CHOOSE(CONTROL!$C$32, $C$9, 100%, $E$9)</f>
        <v>7.2823000000000002</v>
      </c>
      <c r="K333" s="9">
        <f>7.2865 * CHOOSE(CONTROL!$C$32, $C$9, 100%, $E$9)</f>
        <v>7.2865000000000002</v>
      </c>
      <c r="L333" s="9">
        <f>5.6954 * CHOOSE(CONTROL!$C$32, $C$9, 100%, $E$9)</f>
        <v>5.6954000000000002</v>
      </c>
      <c r="M333" s="9">
        <f>5.6996 * CHOOSE(CONTROL!$C$32, $C$9, 100%, $E$9)</f>
        <v>5.6996000000000002</v>
      </c>
      <c r="N333" s="9">
        <f>5.6954 * CHOOSE(CONTROL!$C$32, $C$9, 100%, $E$9)</f>
        <v>5.6954000000000002</v>
      </c>
      <c r="O333" s="9">
        <f>5.6996 * CHOOSE(CONTROL!$C$32, $C$9, 100%, $E$9)</f>
        <v>5.6996000000000002</v>
      </c>
    </row>
    <row r="334" spans="1:15" ht="15.75" x14ac:dyDescent="0.25">
      <c r="A334" s="14">
        <v>51043</v>
      </c>
      <c r="B334" s="10">
        <f>5.913 * CHOOSE(CONTROL!$C$32, $C$9, 100%, $E$9)</f>
        <v>5.9130000000000003</v>
      </c>
      <c r="C334" s="10">
        <f>5.913 * CHOOSE(CONTROL!$C$32, $C$9, 100%, $E$9)</f>
        <v>5.9130000000000003</v>
      </c>
      <c r="D334" s="10">
        <f>5.9142 * CHOOSE(CONTROL!$C$32, $C$9, 100%, $E$9)</f>
        <v>5.9142000000000001</v>
      </c>
      <c r="E334" s="9">
        <f>5.6822 * CHOOSE(CONTROL!$C$32, $C$9, 100%, $E$9)</f>
        <v>5.6821999999999999</v>
      </c>
      <c r="F334" s="9">
        <f>5.6822 * CHOOSE(CONTROL!$C$32, $C$9, 100%, $E$9)</f>
        <v>5.6821999999999999</v>
      </c>
      <c r="G334" s="9">
        <f>5.6864 * CHOOSE(CONTROL!$C$32, $C$9, 100%, $E$9)</f>
        <v>5.6863999999999999</v>
      </c>
      <c r="H334" s="9">
        <f>7.2803 * CHOOSE(CONTROL!$C$32, $C$9, 100%, $E$9)</f>
        <v>7.2803000000000004</v>
      </c>
      <c r="I334" s="9">
        <f>7.2845 * CHOOSE(CONTROL!$C$32, $C$9, 100%, $E$9)</f>
        <v>7.2845000000000004</v>
      </c>
      <c r="J334" s="9">
        <f>7.2803 * CHOOSE(CONTROL!$C$32, $C$9, 100%, $E$9)</f>
        <v>7.2803000000000004</v>
      </c>
      <c r="K334" s="9">
        <f>7.2845 * CHOOSE(CONTROL!$C$32, $C$9, 100%, $E$9)</f>
        <v>7.2845000000000004</v>
      </c>
      <c r="L334" s="9">
        <f>5.6822 * CHOOSE(CONTROL!$C$32, $C$9, 100%, $E$9)</f>
        <v>5.6821999999999999</v>
      </c>
      <c r="M334" s="9">
        <f>5.6864 * CHOOSE(CONTROL!$C$32, $C$9, 100%, $E$9)</f>
        <v>5.6863999999999999</v>
      </c>
      <c r="N334" s="9">
        <f>5.6822 * CHOOSE(CONTROL!$C$32, $C$9, 100%, $E$9)</f>
        <v>5.6821999999999999</v>
      </c>
      <c r="O334" s="9">
        <f>5.6864 * CHOOSE(CONTROL!$C$32, $C$9, 100%, $E$9)</f>
        <v>5.6863999999999999</v>
      </c>
    </row>
    <row r="335" spans="1:15" ht="15.75" x14ac:dyDescent="0.25">
      <c r="A335" s="14">
        <v>51074</v>
      </c>
      <c r="B335" s="10">
        <f>5.9159 * CHOOSE(CONTROL!$C$32, $C$9, 100%, $E$9)</f>
        <v>5.9158999999999997</v>
      </c>
      <c r="C335" s="10">
        <f>5.9159 * CHOOSE(CONTROL!$C$32, $C$9, 100%, $E$9)</f>
        <v>5.9158999999999997</v>
      </c>
      <c r="D335" s="10">
        <f>5.9168 * CHOOSE(CONTROL!$C$32, $C$9, 100%, $E$9)</f>
        <v>5.9168000000000003</v>
      </c>
      <c r="E335" s="9">
        <f>5.7131 * CHOOSE(CONTROL!$C$32, $C$9, 100%, $E$9)</f>
        <v>5.7130999999999998</v>
      </c>
      <c r="F335" s="9">
        <f>5.7131 * CHOOSE(CONTROL!$C$32, $C$9, 100%, $E$9)</f>
        <v>5.7130999999999998</v>
      </c>
      <c r="G335" s="9">
        <f>5.7164 * CHOOSE(CONTROL!$C$32, $C$9, 100%, $E$9)</f>
        <v>5.7164000000000001</v>
      </c>
      <c r="H335" s="9">
        <f>7.2814 * CHOOSE(CONTROL!$C$32, $C$9, 100%, $E$9)</f>
        <v>7.2813999999999997</v>
      </c>
      <c r="I335" s="9">
        <f>7.2847 * CHOOSE(CONTROL!$C$32, $C$9, 100%, $E$9)</f>
        <v>7.2847</v>
      </c>
      <c r="J335" s="9">
        <f>7.2814 * CHOOSE(CONTROL!$C$32, $C$9, 100%, $E$9)</f>
        <v>7.2813999999999997</v>
      </c>
      <c r="K335" s="9">
        <f>7.2847 * CHOOSE(CONTROL!$C$32, $C$9, 100%, $E$9)</f>
        <v>7.2847</v>
      </c>
      <c r="L335" s="9">
        <f>5.7131 * CHOOSE(CONTROL!$C$32, $C$9, 100%, $E$9)</f>
        <v>5.7130999999999998</v>
      </c>
      <c r="M335" s="9">
        <f>5.7164 * CHOOSE(CONTROL!$C$32, $C$9, 100%, $E$9)</f>
        <v>5.7164000000000001</v>
      </c>
      <c r="N335" s="9">
        <f>5.7131 * CHOOSE(CONTROL!$C$32, $C$9, 100%, $E$9)</f>
        <v>5.7130999999999998</v>
      </c>
      <c r="O335" s="9">
        <f>5.7164 * CHOOSE(CONTROL!$C$32, $C$9, 100%, $E$9)</f>
        <v>5.7164000000000001</v>
      </c>
    </row>
    <row r="336" spans="1:15" ht="15.75" x14ac:dyDescent="0.25">
      <c r="A336" s="14">
        <v>51104</v>
      </c>
      <c r="B336" s="10">
        <f>5.9189 * CHOOSE(CONTROL!$C$32, $C$9, 100%, $E$9)</f>
        <v>5.9188999999999998</v>
      </c>
      <c r="C336" s="10">
        <f>5.9189 * CHOOSE(CONTROL!$C$32, $C$9, 100%, $E$9)</f>
        <v>5.9188999999999998</v>
      </c>
      <c r="D336" s="10">
        <f>5.9199 * CHOOSE(CONTROL!$C$32, $C$9, 100%, $E$9)</f>
        <v>5.9199000000000002</v>
      </c>
      <c r="E336" s="9">
        <f>5.7375 * CHOOSE(CONTROL!$C$32, $C$9, 100%, $E$9)</f>
        <v>5.7374999999999998</v>
      </c>
      <c r="F336" s="9">
        <f>5.7375 * CHOOSE(CONTROL!$C$32, $C$9, 100%, $E$9)</f>
        <v>5.7374999999999998</v>
      </c>
      <c r="G336" s="9">
        <f>5.7407 * CHOOSE(CONTROL!$C$32, $C$9, 100%, $E$9)</f>
        <v>5.7407000000000004</v>
      </c>
      <c r="H336" s="9">
        <f>7.2834 * CHOOSE(CONTROL!$C$32, $C$9, 100%, $E$9)</f>
        <v>7.2834000000000003</v>
      </c>
      <c r="I336" s="9">
        <f>7.2867 * CHOOSE(CONTROL!$C$32, $C$9, 100%, $E$9)</f>
        <v>7.2866999999999997</v>
      </c>
      <c r="J336" s="9">
        <f>7.2834 * CHOOSE(CONTROL!$C$32, $C$9, 100%, $E$9)</f>
        <v>7.2834000000000003</v>
      </c>
      <c r="K336" s="9">
        <f>7.2867 * CHOOSE(CONTROL!$C$32, $C$9, 100%, $E$9)</f>
        <v>7.2866999999999997</v>
      </c>
      <c r="L336" s="9">
        <f>5.7375 * CHOOSE(CONTROL!$C$32, $C$9, 100%, $E$9)</f>
        <v>5.7374999999999998</v>
      </c>
      <c r="M336" s="9">
        <f>5.7407 * CHOOSE(CONTROL!$C$32, $C$9, 100%, $E$9)</f>
        <v>5.7407000000000004</v>
      </c>
      <c r="N336" s="9">
        <f>5.7375 * CHOOSE(CONTROL!$C$32, $C$9, 100%, $E$9)</f>
        <v>5.7374999999999998</v>
      </c>
      <c r="O336" s="9">
        <f>5.7407 * CHOOSE(CONTROL!$C$32, $C$9, 100%, $E$9)</f>
        <v>5.7407000000000004</v>
      </c>
    </row>
    <row r="337" spans="1:15" ht="15.75" x14ac:dyDescent="0.25">
      <c r="A337" s="14">
        <v>51135</v>
      </c>
      <c r="B337" s="10">
        <f>5.9189 * CHOOSE(CONTROL!$C$32, $C$9, 100%, $E$9)</f>
        <v>5.9188999999999998</v>
      </c>
      <c r="C337" s="10">
        <f>5.9189 * CHOOSE(CONTROL!$C$32, $C$9, 100%, $E$9)</f>
        <v>5.9188999999999998</v>
      </c>
      <c r="D337" s="10">
        <f>5.9199 * CHOOSE(CONTROL!$C$32, $C$9, 100%, $E$9)</f>
        <v>5.9199000000000002</v>
      </c>
      <c r="E337" s="9">
        <f>5.682 * CHOOSE(CONTROL!$C$32, $C$9, 100%, $E$9)</f>
        <v>5.6820000000000004</v>
      </c>
      <c r="F337" s="9">
        <f>5.682 * CHOOSE(CONTROL!$C$32, $C$9, 100%, $E$9)</f>
        <v>5.6820000000000004</v>
      </c>
      <c r="G337" s="9">
        <f>5.6852 * CHOOSE(CONTROL!$C$32, $C$9, 100%, $E$9)</f>
        <v>5.6852</v>
      </c>
      <c r="H337" s="9">
        <f>7.2834 * CHOOSE(CONTROL!$C$32, $C$9, 100%, $E$9)</f>
        <v>7.2834000000000003</v>
      </c>
      <c r="I337" s="9">
        <f>7.2867 * CHOOSE(CONTROL!$C$32, $C$9, 100%, $E$9)</f>
        <v>7.2866999999999997</v>
      </c>
      <c r="J337" s="9">
        <f>7.2834 * CHOOSE(CONTROL!$C$32, $C$9, 100%, $E$9)</f>
        <v>7.2834000000000003</v>
      </c>
      <c r="K337" s="9">
        <f>7.2867 * CHOOSE(CONTROL!$C$32, $C$9, 100%, $E$9)</f>
        <v>7.2866999999999997</v>
      </c>
      <c r="L337" s="9">
        <f>5.682 * CHOOSE(CONTROL!$C$32, $C$9, 100%, $E$9)</f>
        <v>5.6820000000000004</v>
      </c>
      <c r="M337" s="9">
        <f>5.6852 * CHOOSE(CONTROL!$C$32, $C$9, 100%, $E$9)</f>
        <v>5.6852</v>
      </c>
      <c r="N337" s="9">
        <f>5.682 * CHOOSE(CONTROL!$C$32, $C$9, 100%, $E$9)</f>
        <v>5.6820000000000004</v>
      </c>
      <c r="O337" s="9">
        <f>5.6852 * CHOOSE(CONTROL!$C$32, $C$9, 100%, $E$9)</f>
        <v>5.6852</v>
      </c>
    </row>
    <row r="338" spans="1:15" ht="15.75" x14ac:dyDescent="0.25">
      <c r="A338" s="14">
        <v>51166</v>
      </c>
      <c r="B338" s="10">
        <f>5.9692 * CHOOSE(CONTROL!$C$32, $C$9, 100%, $E$9)</f>
        <v>5.9691999999999998</v>
      </c>
      <c r="C338" s="10">
        <f>5.9692 * CHOOSE(CONTROL!$C$32, $C$9, 100%, $E$9)</f>
        <v>5.9691999999999998</v>
      </c>
      <c r="D338" s="10">
        <f>5.9702 * CHOOSE(CONTROL!$C$32, $C$9, 100%, $E$9)</f>
        <v>5.9702000000000002</v>
      </c>
      <c r="E338" s="9">
        <f>5.761 * CHOOSE(CONTROL!$C$32, $C$9, 100%, $E$9)</f>
        <v>5.7610000000000001</v>
      </c>
      <c r="F338" s="9">
        <f>5.761 * CHOOSE(CONTROL!$C$32, $C$9, 100%, $E$9)</f>
        <v>5.7610000000000001</v>
      </c>
      <c r="G338" s="9">
        <f>5.7642 * CHOOSE(CONTROL!$C$32, $C$9, 100%, $E$9)</f>
        <v>5.7641999999999998</v>
      </c>
      <c r="H338" s="9">
        <f>7.3382 * CHOOSE(CONTROL!$C$32, $C$9, 100%, $E$9)</f>
        <v>7.3381999999999996</v>
      </c>
      <c r="I338" s="9">
        <f>7.3414 * CHOOSE(CONTROL!$C$32, $C$9, 100%, $E$9)</f>
        <v>7.3414000000000001</v>
      </c>
      <c r="J338" s="9">
        <f>7.3382 * CHOOSE(CONTROL!$C$32, $C$9, 100%, $E$9)</f>
        <v>7.3381999999999996</v>
      </c>
      <c r="K338" s="9">
        <f>7.3414 * CHOOSE(CONTROL!$C$32, $C$9, 100%, $E$9)</f>
        <v>7.3414000000000001</v>
      </c>
      <c r="L338" s="9">
        <f>5.761 * CHOOSE(CONTROL!$C$32, $C$9, 100%, $E$9)</f>
        <v>5.7610000000000001</v>
      </c>
      <c r="M338" s="9">
        <f>5.7642 * CHOOSE(CONTROL!$C$32, $C$9, 100%, $E$9)</f>
        <v>5.7641999999999998</v>
      </c>
      <c r="N338" s="9">
        <f>5.761 * CHOOSE(CONTROL!$C$32, $C$9, 100%, $E$9)</f>
        <v>5.7610000000000001</v>
      </c>
      <c r="O338" s="9">
        <f>5.7642 * CHOOSE(CONTROL!$C$32, $C$9, 100%, $E$9)</f>
        <v>5.7641999999999998</v>
      </c>
    </row>
    <row r="339" spans="1:15" ht="15.75" x14ac:dyDescent="0.25">
      <c r="A339" s="14">
        <v>51194</v>
      </c>
      <c r="B339" s="10">
        <f>5.9662 * CHOOSE(CONTROL!$C$32, $C$9, 100%, $E$9)</f>
        <v>5.9661999999999997</v>
      </c>
      <c r="C339" s="10">
        <f>5.9662 * CHOOSE(CONTROL!$C$32, $C$9, 100%, $E$9)</f>
        <v>5.9661999999999997</v>
      </c>
      <c r="D339" s="10">
        <f>5.9672 * CHOOSE(CONTROL!$C$32, $C$9, 100%, $E$9)</f>
        <v>5.9672000000000001</v>
      </c>
      <c r="E339" s="9">
        <f>5.6509 * CHOOSE(CONTROL!$C$32, $C$9, 100%, $E$9)</f>
        <v>5.6509</v>
      </c>
      <c r="F339" s="9">
        <f>5.6509 * CHOOSE(CONTROL!$C$32, $C$9, 100%, $E$9)</f>
        <v>5.6509</v>
      </c>
      <c r="G339" s="9">
        <f>5.6541 * CHOOSE(CONTROL!$C$32, $C$9, 100%, $E$9)</f>
        <v>5.6540999999999997</v>
      </c>
      <c r="H339" s="9">
        <f>7.3362 * CHOOSE(CONTROL!$C$32, $C$9, 100%, $E$9)</f>
        <v>7.3361999999999998</v>
      </c>
      <c r="I339" s="9">
        <f>7.3394 * CHOOSE(CONTROL!$C$32, $C$9, 100%, $E$9)</f>
        <v>7.3394000000000004</v>
      </c>
      <c r="J339" s="9">
        <f>7.3362 * CHOOSE(CONTROL!$C$32, $C$9, 100%, $E$9)</f>
        <v>7.3361999999999998</v>
      </c>
      <c r="K339" s="9">
        <f>7.3394 * CHOOSE(CONTROL!$C$32, $C$9, 100%, $E$9)</f>
        <v>7.3394000000000004</v>
      </c>
      <c r="L339" s="9">
        <f>5.6509 * CHOOSE(CONTROL!$C$32, $C$9, 100%, $E$9)</f>
        <v>5.6509</v>
      </c>
      <c r="M339" s="9">
        <f>5.6541 * CHOOSE(CONTROL!$C$32, $C$9, 100%, $E$9)</f>
        <v>5.6540999999999997</v>
      </c>
      <c r="N339" s="9">
        <f>5.6509 * CHOOSE(CONTROL!$C$32, $C$9, 100%, $E$9)</f>
        <v>5.6509</v>
      </c>
      <c r="O339" s="9">
        <f>5.6541 * CHOOSE(CONTROL!$C$32, $C$9, 100%, $E$9)</f>
        <v>5.6540999999999997</v>
      </c>
    </row>
    <row r="340" spans="1:15" ht="15.75" x14ac:dyDescent="0.25">
      <c r="A340" s="14">
        <v>51226</v>
      </c>
      <c r="B340" s="10">
        <f>5.9632 * CHOOSE(CONTROL!$C$32, $C$9, 100%, $E$9)</f>
        <v>5.9631999999999996</v>
      </c>
      <c r="C340" s="10">
        <f>5.9632 * CHOOSE(CONTROL!$C$32, $C$9, 100%, $E$9)</f>
        <v>5.9631999999999996</v>
      </c>
      <c r="D340" s="10">
        <f>5.9641 * CHOOSE(CONTROL!$C$32, $C$9, 100%, $E$9)</f>
        <v>5.9641000000000002</v>
      </c>
      <c r="E340" s="9">
        <f>5.7339 * CHOOSE(CONTROL!$C$32, $C$9, 100%, $E$9)</f>
        <v>5.7339000000000002</v>
      </c>
      <c r="F340" s="9">
        <f>5.7339 * CHOOSE(CONTROL!$C$32, $C$9, 100%, $E$9)</f>
        <v>5.7339000000000002</v>
      </c>
      <c r="G340" s="9">
        <f>5.7371 * CHOOSE(CONTROL!$C$32, $C$9, 100%, $E$9)</f>
        <v>5.7370999999999999</v>
      </c>
      <c r="H340" s="9">
        <f>7.3342 * CHOOSE(CONTROL!$C$32, $C$9, 100%, $E$9)</f>
        <v>7.3342000000000001</v>
      </c>
      <c r="I340" s="9">
        <f>7.3374 * CHOOSE(CONTROL!$C$32, $C$9, 100%, $E$9)</f>
        <v>7.3373999999999997</v>
      </c>
      <c r="J340" s="9">
        <f>7.3342 * CHOOSE(CONTROL!$C$32, $C$9, 100%, $E$9)</f>
        <v>7.3342000000000001</v>
      </c>
      <c r="K340" s="9">
        <f>7.3374 * CHOOSE(CONTROL!$C$32, $C$9, 100%, $E$9)</f>
        <v>7.3373999999999997</v>
      </c>
      <c r="L340" s="9">
        <f>5.7339 * CHOOSE(CONTROL!$C$32, $C$9, 100%, $E$9)</f>
        <v>5.7339000000000002</v>
      </c>
      <c r="M340" s="9">
        <f>5.7371 * CHOOSE(CONTROL!$C$32, $C$9, 100%, $E$9)</f>
        <v>5.7370999999999999</v>
      </c>
      <c r="N340" s="9">
        <f>5.7339 * CHOOSE(CONTROL!$C$32, $C$9, 100%, $E$9)</f>
        <v>5.7339000000000002</v>
      </c>
      <c r="O340" s="9">
        <f>5.7371 * CHOOSE(CONTROL!$C$32, $C$9, 100%, $E$9)</f>
        <v>5.7370999999999999</v>
      </c>
    </row>
    <row r="341" spans="1:15" ht="15.75" x14ac:dyDescent="0.25">
      <c r="A341" s="14">
        <v>51256</v>
      </c>
      <c r="B341" s="10">
        <f>5.9629 * CHOOSE(CONTROL!$C$32, $C$9, 100%, $E$9)</f>
        <v>5.9629000000000003</v>
      </c>
      <c r="C341" s="10">
        <f>5.9629 * CHOOSE(CONTROL!$C$32, $C$9, 100%, $E$9)</f>
        <v>5.9629000000000003</v>
      </c>
      <c r="D341" s="10">
        <f>5.9639 * CHOOSE(CONTROL!$C$32, $C$9, 100%, $E$9)</f>
        <v>5.9638999999999998</v>
      </c>
      <c r="E341" s="9">
        <f>5.8211 * CHOOSE(CONTROL!$C$32, $C$9, 100%, $E$9)</f>
        <v>5.8211000000000004</v>
      </c>
      <c r="F341" s="9">
        <f>5.8211 * CHOOSE(CONTROL!$C$32, $C$9, 100%, $E$9)</f>
        <v>5.8211000000000004</v>
      </c>
      <c r="G341" s="9">
        <f>5.8244 * CHOOSE(CONTROL!$C$32, $C$9, 100%, $E$9)</f>
        <v>5.8243999999999998</v>
      </c>
      <c r="H341" s="9">
        <f>7.3338 * CHOOSE(CONTROL!$C$32, $C$9, 100%, $E$9)</f>
        <v>7.3338000000000001</v>
      </c>
      <c r="I341" s="9">
        <f>7.3371 * CHOOSE(CONTROL!$C$32, $C$9, 100%, $E$9)</f>
        <v>7.3371000000000004</v>
      </c>
      <c r="J341" s="9">
        <f>7.3338 * CHOOSE(CONTROL!$C$32, $C$9, 100%, $E$9)</f>
        <v>7.3338000000000001</v>
      </c>
      <c r="K341" s="9">
        <f>7.3371 * CHOOSE(CONTROL!$C$32, $C$9, 100%, $E$9)</f>
        <v>7.3371000000000004</v>
      </c>
      <c r="L341" s="9">
        <f>5.8211 * CHOOSE(CONTROL!$C$32, $C$9, 100%, $E$9)</f>
        <v>5.8211000000000004</v>
      </c>
      <c r="M341" s="9">
        <f>5.8244 * CHOOSE(CONTROL!$C$32, $C$9, 100%, $E$9)</f>
        <v>5.8243999999999998</v>
      </c>
      <c r="N341" s="9">
        <f>5.8211 * CHOOSE(CONTROL!$C$32, $C$9, 100%, $E$9)</f>
        <v>5.8211000000000004</v>
      </c>
      <c r="O341" s="9">
        <f>5.8244 * CHOOSE(CONTROL!$C$32, $C$9, 100%, $E$9)</f>
        <v>5.8243999999999998</v>
      </c>
    </row>
    <row r="342" spans="1:15" ht="15.75" x14ac:dyDescent="0.25">
      <c r="A342" s="14">
        <v>51287</v>
      </c>
      <c r="B342" s="10">
        <f>5.9629 * CHOOSE(CONTROL!$C$32, $C$9, 100%, $E$9)</f>
        <v>5.9629000000000003</v>
      </c>
      <c r="C342" s="10">
        <f>5.9629 * CHOOSE(CONTROL!$C$32, $C$9, 100%, $E$9)</f>
        <v>5.9629000000000003</v>
      </c>
      <c r="D342" s="10">
        <f>5.9641 * CHOOSE(CONTROL!$C$32, $C$9, 100%, $E$9)</f>
        <v>5.9641000000000002</v>
      </c>
      <c r="E342" s="9">
        <f>5.8555 * CHOOSE(CONTROL!$C$32, $C$9, 100%, $E$9)</f>
        <v>5.8555000000000001</v>
      </c>
      <c r="F342" s="9">
        <f>5.8555 * CHOOSE(CONTROL!$C$32, $C$9, 100%, $E$9)</f>
        <v>5.8555000000000001</v>
      </c>
      <c r="G342" s="9">
        <f>5.8597 * CHOOSE(CONTROL!$C$32, $C$9, 100%, $E$9)</f>
        <v>5.8597000000000001</v>
      </c>
      <c r="H342" s="9">
        <f>7.3338 * CHOOSE(CONTROL!$C$32, $C$9, 100%, $E$9)</f>
        <v>7.3338000000000001</v>
      </c>
      <c r="I342" s="9">
        <f>7.338 * CHOOSE(CONTROL!$C$32, $C$9, 100%, $E$9)</f>
        <v>7.3380000000000001</v>
      </c>
      <c r="J342" s="9">
        <f>7.3338 * CHOOSE(CONTROL!$C$32, $C$9, 100%, $E$9)</f>
        <v>7.3338000000000001</v>
      </c>
      <c r="K342" s="9">
        <f>7.338 * CHOOSE(CONTROL!$C$32, $C$9, 100%, $E$9)</f>
        <v>7.3380000000000001</v>
      </c>
      <c r="L342" s="9">
        <f>5.8555 * CHOOSE(CONTROL!$C$32, $C$9, 100%, $E$9)</f>
        <v>5.8555000000000001</v>
      </c>
      <c r="M342" s="9">
        <f>5.8597 * CHOOSE(CONTROL!$C$32, $C$9, 100%, $E$9)</f>
        <v>5.8597000000000001</v>
      </c>
      <c r="N342" s="9">
        <f>5.8555 * CHOOSE(CONTROL!$C$32, $C$9, 100%, $E$9)</f>
        <v>5.8555000000000001</v>
      </c>
      <c r="O342" s="9">
        <f>5.8597 * CHOOSE(CONTROL!$C$32, $C$9, 100%, $E$9)</f>
        <v>5.8597000000000001</v>
      </c>
    </row>
    <row r="343" spans="1:15" ht="15.75" x14ac:dyDescent="0.25">
      <c r="A343" s="14">
        <v>51317</v>
      </c>
      <c r="B343" s="10">
        <f>5.969 * CHOOSE(CONTROL!$C$32, $C$9, 100%, $E$9)</f>
        <v>5.9690000000000003</v>
      </c>
      <c r="C343" s="10">
        <f>5.969 * CHOOSE(CONTROL!$C$32, $C$9, 100%, $E$9)</f>
        <v>5.9690000000000003</v>
      </c>
      <c r="D343" s="10">
        <f>5.9702 * CHOOSE(CONTROL!$C$32, $C$9, 100%, $E$9)</f>
        <v>5.9702000000000002</v>
      </c>
      <c r="E343" s="9">
        <f>5.8254 * CHOOSE(CONTROL!$C$32, $C$9, 100%, $E$9)</f>
        <v>5.8254000000000001</v>
      </c>
      <c r="F343" s="9">
        <f>5.8254 * CHOOSE(CONTROL!$C$32, $C$9, 100%, $E$9)</f>
        <v>5.8254000000000001</v>
      </c>
      <c r="G343" s="9">
        <f>5.8296 * CHOOSE(CONTROL!$C$32, $C$9, 100%, $E$9)</f>
        <v>5.8296000000000001</v>
      </c>
      <c r="H343" s="9">
        <f>7.3378 * CHOOSE(CONTROL!$C$32, $C$9, 100%, $E$9)</f>
        <v>7.3377999999999997</v>
      </c>
      <c r="I343" s="9">
        <f>7.342 * CHOOSE(CONTROL!$C$32, $C$9, 100%, $E$9)</f>
        <v>7.3419999999999996</v>
      </c>
      <c r="J343" s="9">
        <f>7.3378 * CHOOSE(CONTROL!$C$32, $C$9, 100%, $E$9)</f>
        <v>7.3377999999999997</v>
      </c>
      <c r="K343" s="9">
        <f>7.342 * CHOOSE(CONTROL!$C$32, $C$9, 100%, $E$9)</f>
        <v>7.3419999999999996</v>
      </c>
      <c r="L343" s="9">
        <f>5.8254 * CHOOSE(CONTROL!$C$32, $C$9, 100%, $E$9)</f>
        <v>5.8254000000000001</v>
      </c>
      <c r="M343" s="9">
        <f>5.8296 * CHOOSE(CONTROL!$C$32, $C$9, 100%, $E$9)</f>
        <v>5.8296000000000001</v>
      </c>
      <c r="N343" s="9">
        <f>5.8254 * CHOOSE(CONTROL!$C$32, $C$9, 100%, $E$9)</f>
        <v>5.8254000000000001</v>
      </c>
      <c r="O343" s="9">
        <f>5.8296 * CHOOSE(CONTROL!$C$32, $C$9, 100%, $E$9)</f>
        <v>5.8296000000000001</v>
      </c>
    </row>
    <row r="344" spans="1:15" ht="15.75" x14ac:dyDescent="0.25">
      <c r="A344" s="14">
        <v>51348</v>
      </c>
      <c r="B344" s="10">
        <f>6.0583 * CHOOSE(CONTROL!$C$32, $C$9, 100%, $E$9)</f>
        <v>6.0583</v>
      </c>
      <c r="C344" s="10">
        <f>6.0583 * CHOOSE(CONTROL!$C$32, $C$9, 100%, $E$9)</f>
        <v>6.0583</v>
      </c>
      <c r="D344" s="10">
        <f>6.0596 * CHOOSE(CONTROL!$C$32, $C$9, 100%, $E$9)</f>
        <v>6.0595999999999997</v>
      </c>
      <c r="E344" s="9">
        <f>5.8967 * CHOOSE(CONTROL!$C$32, $C$9, 100%, $E$9)</f>
        <v>5.8967000000000001</v>
      </c>
      <c r="F344" s="9">
        <f>5.8967 * CHOOSE(CONTROL!$C$32, $C$9, 100%, $E$9)</f>
        <v>5.8967000000000001</v>
      </c>
      <c r="G344" s="9">
        <f>5.9009 * CHOOSE(CONTROL!$C$32, $C$9, 100%, $E$9)</f>
        <v>5.9009</v>
      </c>
      <c r="H344" s="9">
        <f>7.451 * CHOOSE(CONTROL!$C$32, $C$9, 100%, $E$9)</f>
        <v>7.4509999999999996</v>
      </c>
      <c r="I344" s="9">
        <f>7.4552 * CHOOSE(CONTROL!$C$32, $C$9, 100%, $E$9)</f>
        <v>7.4551999999999996</v>
      </c>
      <c r="J344" s="9">
        <f>7.451 * CHOOSE(CONTROL!$C$32, $C$9, 100%, $E$9)</f>
        <v>7.4509999999999996</v>
      </c>
      <c r="K344" s="9">
        <f>7.4552 * CHOOSE(CONTROL!$C$32, $C$9, 100%, $E$9)</f>
        <v>7.4551999999999996</v>
      </c>
      <c r="L344" s="9">
        <f>5.8967 * CHOOSE(CONTROL!$C$32, $C$9, 100%, $E$9)</f>
        <v>5.8967000000000001</v>
      </c>
      <c r="M344" s="9">
        <f>5.9009 * CHOOSE(CONTROL!$C$32, $C$9, 100%, $E$9)</f>
        <v>5.9009</v>
      </c>
      <c r="N344" s="9">
        <f>5.8967 * CHOOSE(CONTROL!$C$32, $C$9, 100%, $E$9)</f>
        <v>5.8967000000000001</v>
      </c>
      <c r="O344" s="9">
        <f>5.9009 * CHOOSE(CONTROL!$C$32, $C$9, 100%, $E$9)</f>
        <v>5.9009</v>
      </c>
    </row>
    <row r="345" spans="1:15" ht="15.75" x14ac:dyDescent="0.25">
      <c r="A345" s="14">
        <v>51379</v>
      </c>
      <c r="B345" s="10">
        <f>6.065 * CHOOSE(CONTROL!$C$32, $C$9, 100%, $E$9)</f>
        <v>6.0650000000000004</v>
      </c>
      <c r="C345" s="10">
        <f>6.065 * CHOOSE(CONTROL!$C$32, $C$9, 100%, $E$9)</f>
        <v>6.0650000000000004</v>
      </c>
      <c r="D345" s="10">
        <f>6.0663 * CHOOSE(CONTROL!$C$32, $C$9, 100%, $E$9)</f>
        <v>6.0663</v>
      </c>
      <c r="E345" s="9">
        <f>5.7985 * CHOOSE(CONTROL!$C$32, $C$9, 100%, $E$9)</f>
        <v>5.7984999999999998</v>
      </c>
      <c r="F345" s="9">
        <f>5.7985 * CHOOSE(CONTROL!$C$32, $C$9, 100%, $E$9)</f>
        <v>5.7984999999999998</v>
      </c>
      <c r="G345" s="9">
        <f>5.8027 * CHOOSE(CONTROL!$C$32, $C$9, 100%, $E$9)</f>
        <v>5.8026999999999997</v>
      </c>
      <c r="H345" s="9">
        <f>7.4554 * CHOOSE(CONTROL!$C$32, $C$9, 100%, $E$9)</f>
        <v>7.4554</v>
      </c>
      <c r="I345" s="9">
        <f>7.4596 * CHOOSE(CONTROL!$C$32, $C$9, 100%, $E$9)</f>
        <v>7.4596</v>
      </c>
      <c r="J345" s="9">
        <f>7.4554 * CHOOSE(CONTROL!$C$32, $C$9, 100%, $E$9)</f>
        <v>7.4554</v>
      </c>
      <c r="K345" s="9">
        <f>7.4596 * CHOOSE(CONTROL!$C$32, $C$9, 100%, $E$9)</f>
        <v>7.4596</v>
      </c>
      <c r="L345" s="9">
        <f>5.7985 * CHOOSE(CONTROL!$C$32, $C$9, 100%, $E$9)</f>
        <v>5.7984999999999998</v>
      </c>
      <c r="M345" s="9">
        <f>5.8027 * CHOOSE(CONTROL!$C$32, $C$9, 100%, $E$9)</f>
        <v>5.8026999999999997</v>
      </c>
      <c r="N345" s="9">
        <f>5.7985 * CHOOSE(CONTROL!$C$32, $C$9, 100%, $E$9)</f>
        <v>5.7984999999999998</v>
      </c>
      <c r="O345" s="9">
        <f>5.8027 * CHOOSE(CONTROL!$C$32, $C$9, 100%, $E$9)</f>
        <v>5.8026999999999997</v>
      </c>
    </row>
    <row r="346" spans="1:15" ht="15.75" x14ac:dyDescent="0.25">
      <c r="A346" s="14">
        <v>51409</v>
      </c>
      <c r="B346" s="10">
        <f>6.062 * CHOOSE(CONTROL!$C$32, $C$9, 100%, $E$9)</f>
        <v>6.0620000000000003</v>
      </c>
      <c r="C346" s="10">
        <f>6.062 * CHOOSE(CONTROL!$C$32, $C$9, 100%, $E$9)</f>
        <v>6.0620000000000003</v>
      </c>
      <c r="D346" s="10">
        <f>6.0632 * CHOOSE(CONTROL!$C$32, $C$9, 100%, $E$9)</f>
        <v>6.0632000000000001</v>
      </c>
      <c r="E346" s="9">
        <f>5.7849 * CHOOSE(CONTROL!$C$32, $C$9, 100%, $E$9)</f>
        <v>5.7849000000000004</v>
      </c>
      <c r="F346" s="9">
        <f>5.7849 * CHOOSE(CONTROL!$C$32, $C$9, 100%, $E$9)</f>
        <v>5.7849000000000004</v>
      </c>
      <c r="G346" s="9">
        <f>5.7891 * CHOOSE(CONTROL!$C$32, $C$9, 100%, $E$9)</f>
        <v>5.7891000000000004</v>
      </c>
      <c r="H346" s="9">
        <f>7.4534 * CHOOSE(CONTROL!$C$32, $C$9, 100%, $E$9)</f>
        <v>7.4534000000000002</v>
      </c>
      <c r="I346" s="9">
        <f>7.4576 * CHOOSE(CONTROL!$C$32, $C$9, 100%, $E$9)</f>
        <v>7.4576000000000002</v>
      </c>
      <c r="J346" s="9">
        <f>7.4534 * CHOOSE(CONTROL!$C$32, $C$9, 100%, $E$9)</f>
        <v>7.4534000000000002</v>
      </c>
      <c r="K346" s="9">
        <f>7.4576 * CHOOSE(CONTROL!$C$32, $C$9, 100%, $E$9)</f>
        <v>7.4576000000000002</v>
      </c>
      <c r="L346" s="9">
        <f>5.7849 * CHOOSE(CONTROL!$C$32, $C$9, 100%, $E$9)</f>
        <v>5.7849000000000004</v>
      </c>
      <c r="M346" s="9">
        <f>5.7891 * CHOOSE(CONTROL!$C$32, $C$9, 100%, $E$9)</f>
        <v>5.7891000000000004</v>
      </c>
      <c r="N346" s="9">
        <f>5.7849 * CHOOSE(CONTROL!$C$32, $C$9, 100%, $E$9)</f>
        <v>5.7849000000000004</v>
      </c>
      <c r="O346" s="9">
        <f>5.7891 * CHOOSE(CONTROL!$C$32, $C$9, 100%, $E$9)</f>
        <v>5.7891000000000004</v>
      </c>
    </row>
    <row r="347" spans="1:15" ht="15.75" x14ac:dyDescent="0.25">
      <c r="A347" s="14">
        <v>51440</v>
      </c>
      <c r="B347" s="10">
        <f>6.0654 * CHOOSE(CONTROL!$C$32, $C$9, 100%, $E$9)</f>
        <v>6.0654000000000003</v>
      </c>
      <c r="C347" s="10">
        <f>6.0654 * CHOOSE(CONTROL!$C$32, $C$9, 100%, $E$9)</f>
        <v>6.0654000000000003</v>
      </c>
      <c r="D347" s="10">
        <f>6.0664 * CHOOSE(CONTROL!$C$32, $C$9, 100%, $E$9)</f>
        <v>6.0663999999999998</v>
      </c>
      <c r="E347" s="9">
        <f>5.8172 * CHOOSE(CONTROL!$C$32, $C$9, 100%, $E$9)</f>
        <v>5.8171999999999997</v>
      </c>
      <c r="F347" s="9">
        <f>5.8172 * CHOOSE(CONTROL!$C$32, $C$9, 100%, $E$9)</f>
        <v>5.8171999999999997</v>
      </c>
      <c r="G347" s="9">
        <f>5.8205 * CHOOSE(CONTROL!$C$32, $C$9, 100%, $E$9)</f>
        <v>5.8205</v>
      </c>
      <c r="H347" s="9">
        <f>7.4548 * CHOOSE(CONTROL!$C$32, $C$9, 100%, $E$9)</f>
        <v>7.4547999999999996</v>
      </c>
      <c r="I347" s="9">
        <f>7.458 * CHOOSE(CONTROL!$C$32, $C$9, 100%, $E$9)</f>
        <v>7.4580000000000002</v>
      </c>
      <c r="J347" s="9">
        <f>7.4548 * CHOOSE(CONTROL!$C$32, $C$9, 100%, $E$9)</f>
        <v>7.4547999999999996</v>
      </c>
      <c r="K347" s="9">
        <f>7.458 * CHOOSE(CONTROL!$C$32, $C$9, 100%, $E$9)</f>
        <v>7.4580000000000002</v>
      </c>
      <c r="L347" s="9">
        <f>5.8172 * CHOOSE(CONTROL!$C$32, $C$9, 100%, $E$9)</f>
        <v>5.8171999999999997</v>
      </c>
      <c r="M347" s="9">
        <f>5.8205 * CHOOSE(CONTROL!$C$32, $C$9, 100%, $E$9)</f>
        <v>5.8205</v>
      </c>
      <c r="N347" s="9">
        <f>5.8172 * CHOOSE(CONTROL!$C$32, $C$9, 100%, $E$9)</f>
        <v>5.8171999999999997</v>
      </c>
      <c r="O347" s="9">
        <f>5.8205 * CHOOSE(CONTROL!$C$32, $C$9, 100%, $E$9)</f>
        <v>5.8205</v>
      </c>
    </row>
    <row r="348" spans="1:15" ht="15.75" x14ac:dyDescent="0.25">
      <c r="A348" s="14">
        <v>51470</v>
      </c>
      <c r="B348" s="10">
        <f>6.0685 * CHOOSE(CONTROL!$C$32, $C$9, 100%, $E$9)</f>
        <v>6.0685000000000002</v>
      </c>
      <c r="C348" s="10">
        <f>6.0685 * CHOOSE(CONTROL!$C$32, $C$9, 100%, $E$9)</f>
        <v>6.0685000000000002</v>
      </c>
      <c r="D348" s="10">
        <f>6.0694 * CHOOSE(CONTROL!$C$32, $C$9, 100%, $E$9)</f>
        <v>6.0693999999999999</v>
      </c>
      <c r="E348" s="9">
        <f>5.8422 * CHOOSE(CONTROL!$C$32, $C$9, 100%, $E$9)</f>
        <v>5.8422000000000001</v>
      </c>
      <c r="F348" s="9">
        <f>5.8422 * CHOOSE(CONTROL!$C$32, $C$9, 100%, $E$9)</f>
        <v>5.8422000000000001</v>
      </c>
      <c r="G348" s="9">
        <f>5.8455 * CHOOSE(CONTROL!$C$32, $C$9, 100%, $E$9)</f>
        <v>5.8455000000000004</v>
      </c>
      <c r="H348" s="9">
        <f>7.4568 * CHOOSE(CONTROL!$C$32, $C$9, 100%, $E$9)</f>
        <v>7.4568000000000003</v>
      </c>
      <c r="I348" s="9">
        <f>7.46 * CHOOSE(CONTROL!$C$32, $C$9, 100%, $E$9)</f>
        <v>7.46</v>
      </c>
      <c r="J348" s="9">
        <f>7.4568 * CHOOSE(CONTROL!$C$32, $C$9, 100%, $E$9)</f>
        <v>7.4568000000000003</v>
      </c>
      <c r="K348" s="9">
        <f>7.46 * CHOOSE(CONTROL!$C$32, $C$9, 100%, $E$9)</f>
        <v>7.46</v>
      </c>
      <c r="L348" s="9">
        <f>5.8422 * CHOOSE(CONTROL!$C$32, $C$9, 100%, $E$9)</f>
        <v>5.8422000000000001</v>
      </c>
      <c r="M348" s="9">
        <f>5.8455 * CHOOSE(CONTROL!$C$32, $C$9, 100%, $E$9)</f>
        <v>5.8455000000000004</v>
      </c>
      <c r="N348" s="9">
        <f>5.8422 * CHOOSE(CONTROL!$C$32, $C$9, 100%, $E$9)</f>
        <v>5.8422000000000001</v>
      </c>
      <c r="O348" s="9">
        <f>5.8455 * CHOOSE(CONTROL!$C$32, $C$9, 100%, $E$9)</f>
        <v>5.8455000000000004</v>
      </c>
    </row>
    <row r="349" spans="1:15" ht="15.75" x14ac:dyDescent="0.25">
      <c r="A349" s="14">
        <v>51501</v>
      </c>
      <c r="B349" s="10">
        <f>6.0685 * CHOOSE(CONTROL!$C$32, $C$9, 100%, $E$9)</f>
        <v>6.0685000000000002</v>
      </c>
      <c r="C349" s="10">
        <f>6.0685 * CHOOSE(CONTROL!$C$32, $C$9, 100%, $E$9)</f>
        <v>6.0685000000000002</v>
      </c>
      <c r="D349" s="10">
        <f>6.0694 * CHOOSE(CONTROL!$C$32, $C$9, 100%, $E$9)</f>
        <v>6.0693999999999999</v>
      </c>
      <c r="E349" s="9">
        <f>5.7851 * CHOOSE(CONTROL!$C$32, $C$9, 100%, $E$9)</f>
        <v>5.7850999999999999</v>
      </c>
      <c r="F349" s="9">
        <f>5.7851 * CHOOSE(CONTROL!$C$32, $C$9, 100%, $E$9)</f>
        <v>5.7850999999999999</v>
      </c>
      <c r="G349" s="9">
        <f>5.7883 * CHOOSE(CONTROL!$C$32, $C$9, 100%, $E$9)</f>
        <v>5.7882999999999996</v>
      </c>
      <c r="H349" s="9">
        <f>7.4568 * CHOOSE(CONTROL!$C$32, $C$9, 100%, $E$9)</f>
        <v>7.4568000000000003</v>
      </c>
      <c r="I349" s="9">
        <f>7.46 * CHOOSE(CONTROL!$C$32, $C$9, 100%, $E$9)</f>
        <v>7.46</v>
      </c>
      <c r="J349" s="9">
        <f>7.4568 * CHOOSE(CONTROL!$C$32, $C$9, 100%, $E$9)</f>
        <v>7.4568000000000003</v>
      </c>
      <c r="K349" s="9">
        <f>7.46 * CHOOSE(CONTROL!$C$32, $C$9, 100%, $E$9)</f>
        <v>7.46</v>
      </c>
      <c r="L349" s="9">
        <f>5.7851 * CHOOSE(CONTROL!$C$32, $C$9, 100%, $E$9)</f>
        <v>5.7850999999999999</v>
      </c>
      <c r="M349" s="9">
        <f>5.7883 * CHOOSE(CONTROL!$C$32, $C$9, 100%, $E$9)</f>
        <v>5.7882999999999996</v>
      </c>
      <c r="N349" s="9">
        <f>5.7851 * CHOOSE(CONTROL!$C$32, $C$9, 100%, $E$9)</f>
        <v>5.7850999999999999</v>
      </c>
      <c r="O349" s="9">
        <f>5.7883 * CHOOSE(CONTROL!$C$32, $C$9, 100%, $E$9)</f>
        <v>5.7882999999999996</v>
      </c>
    </row>
    <row r="350" spans="1:15" ht="15.75" x14ac:dyDescent="0.25">
      <c r="A350" s="14">
        <v>51532</v>
      </c>
      <c r="B350" s="10">
        <f>6.12 * CHOOSE(CONTROL!$C$32, $C$9, 100%, $E$9)</f>
        <v>6.12</v>
      </c>
      <c r="C350" s="10">
        <f>6.12 * CHOOSE(CONTROL!$C$32, $C$9, 100%, $E$9)</f>
        <v>6.12</v>
      </c>
      <c r="D350" s="10">
        <f>6.121 * CHOOSE(CONTROL!$C$32, $C$9, 100%, $E$9)</f>
        <v>6.1210000000000004</v>
      </c>
      <c r="E350" s="9">
        <f>5.8655 * CHOOSE(CONTROL!$C$32, $C$9, 100%, $E$9)</f>
        <v>5.8654999999999999</v>
      </c>
      <c r="F350" s="9">
        <f>5.8655 * CHOOSE(CONTROL!$C$32, $C$9, 100%, $E$9)</f>
        <v>5.8654999999999999</v>
      </c>
      <c r="G350" s="9">
        <f>5.8688 * CHOOSE(CONTROL!$C$32, $C$9, 100%, $E$9)</f>
        <v>5.8688000000000002</v>
      </c>
      <c r="H350" s="9">
        <f>7.5129 * CHOOSE(CONTROL!$C$32, $C$9, 100%, $E$9)</f>
        <v>7.5129000000000001</v>
      </c>
      <c r="I350" s="9">
        <f>7.5161 * CHOOSE(CONTROL!$C$32, $C$9, 100%, $E$9)</f>
        <v>7.5160999999999998</v>
      </c>
      <c r="J350" s="9">
        <f>7.5129 * CHOOSE(CONTROL!$C$32, $C$9, 100%, $E$9)</f>
        <v>7.5129000000000001</v>
      </c>
      <c r="K350" s="9">
        <f>7.5161 * CHOOSE(CONTROL!$C$32, $C$9, 100%, $E$9)</f>
        <v>7.5160999999999998</v>
      </c>
      <c r="L350" s="9">
        <f>5.8655 * CHOOSE(CONTROL!$C$32, $C$9, 100%, $E$9)</f>
        <v>5.8654999999999999</v>
      </c>
      <c r="M350" s="9">
        <f>5.8688 * CHOOSE(CONTROL!$C$32, $C$9, 100%, $E$9)</f>
        <v>5.8688000000000002</v>
      </c>
      <c r="N350" s="9">
        <f>5.8655 * CHOOSE(CONTROL!$C$32, $C$9, 100%, $E$9)</f>
        <v>5.8654999999999999</v>
      </c>
      <c r="O350" s="9">
        <f>5.8688 * CHOOSE(CONTROL!$C$32, $C$9, 100%, $E$9)</f>
        <v>5.8688000000000002</v>
      </c>
    </row>
    <row r="351" spans="1:15" ht="15.75" x14ac:dyDescent="0.25">
      <c r="A351" s="14">
        <v>51560</v>
      </c>
      <c r="B351" s="10">
        <f>6.117 * CHOOSE(CONTROL!$C$32, $C$9, 100%, $E$9)</f>
        <v>6.117</v>
      </c>
      <c r="C351" s="10">
        <f>6.117 * CHOOSE(CONTROL!$C$32, $C$9, 100%, $E$9)</f>
        <v>6.117</v>
      </c>
      <c r="D351" s="10">
        <f>6.118 * CHOOSE(CONTROL!$C$32, $C$9, 100%, $E$9)</f>
        <v>6.1180000000000003</v>
      </c>
      <c r="E351" s="9">
        <f>5.7521 * CHOOSE(CONTROL!$C$32, $C$9, 100%, $E$9)</f>
        <v>5.7521000000000004</v>
      </c>
      <c r="F351" s="9">
        <f>5.7521 * CHOOSE(CONTROL!$C$32, $C$9, 100%, $E$9)</f>
        <v>5.7521000000000004</v>
      </c>
      <c r="G351" s="9">
        <f>5.7554 * CHOOSE(CONTROL!$C$32, $C$9, 100%, $E$9)</f>
        <v>5.7553999999999998</v>
      </c>
      <c r="H351" s="9">
        <f>7.5109 * CHOOSE(CONTROL!$C$32, $C$9, 100%, $E$9)</f>
        <v>7.5109000000000004</v>
      </c>
      <c r="I351" s="9">
        <f>7.5141 * CHOOSE(CONTROL!$C$32, $C$9, 100%, $E$9)</f>
        <v>7.5141</v>
      </c>
      <c r="J351" s="9">
        <f>7.5109 * CHOOSE(CONTROL!$C$32, $C$9, 100%, $E$9)</f>
        <v>7.5109000000000004</v>
      </c>
      <c r="K351" s="9">
        <f>7.5141 * CHOOSE(CONTROL!$C$32, $C$9, 100%, $E$9)</f>
        <v>7.5141</v>
      </c>
      <c r="L351" s="9">
        <f>5.7521 * CHOOSE(CONTROL!$C$32, $C$9, 100%, $E$9)</f>
        <v>5.7521000000000004</v>
      </c>
      <c r="M351" s="9">
        <f>5.7554 * CHOOSE(CONTROL!$C$32, $C$9, 100%, $E$9)</f>
        <v>5.7553999999999998</v>
      </c>
      <c r="N351" s="9">
        <f>5.7521 * CHOOSE(CONTROL!$C$32, $C$9, 100%, $E$9)</f>
        <v>5.7521000000000004</v>
      </c>
      <c r="O351" s="9">
        <f>5.7554 * CHOOSE(CONTROL!$C$32, $C$9, 100%, $E$9)</f>
        <v>5.7553999999999998</v>
      </c>
    </row>
    <row r="352" spans="1:15" ht="15.75" x14ac:dyDescent="0.25">
      <c r="A352" s="14">
        <v>51591</v>
      </c>
      <c r="B352" s="10">
        <f>6.114 * CHOOSE(CONTROL!$C$32, $C$9, 100%, $E$9)</f>
        <v>6.1139999999999999</v>
      </c>
      <c r="C352" s="10">
        <f>6.114 * CHOOSE(CONTROL!$C$32, $C$9, 100%, $E$9)</f>
        <v>6.1139999999999999</v>
      </c>
      <c r="D352" s="10">
        <f>6.1149 * CHOOSE(CONTROL!$C$32, $C$9, 100%, $E$9)</f>
        <v>6.1148999999999996</v>
      </c>
      <c r="E352" s="9">
        <f>5.8377 * CHOOSE(CONTROL!$C$32, $C$9, 100%, $E$9)</f>
        <v>5.8376999999999999</v>
      </c>
      <c r="F352" s="9">
        <f>5.8377 * CHOOSE(CONTROL!$C$32, $C$9, 100%, $E$9)</f>
        <v>5.8376999999999999</v>
      </c>
      <c r="G352" s="9">
        <f>5.841 * CHOOSE(CONTROL!$C$32, $C$9, 100%, $E$9)</f>
        <v>5.8410000000000002</v>
      </c>
      <c r="H352" s="9">
        <f>7.5089 * CHOOSE(CONTROL!$C$32, $C$9, 100%, $E$9)</f>
        <v>7.5088999999999997</v>
      </c>
      <c r="I352" s="9">
        <f>7.5121 * CHOOSE(CONTROL!$C$32, $C$9, 100%, $E$9)</f>
        <v>7.5121000000000002</v>
      </c>
      <c r="J352" s="9">
        <f>7.5089 * CHOOSE(CONTROL!$C$32, $C$9, 100%, $E$9)</f>
        <v>7.5088999999999997</v>
      </c>
      <c r="K352" s="9">
        <f>7.5121 * CHOOSE(CONTROL!$C$32, $C$9, 100%, $E$9)</f>
        <v>7.5121000000000002</v>
      </c>
      <c r="L352" s="9">
        <f>5.8377 * CHOOSE(CONTROL!$C$32, $C$9, 100%, $E$9)</f>
        <v>5.8376999999999999</v>
      </c>
      <c r="M352" s="9">
        <f>5.841 * CHOOSE(CONTROL!$C$32, $C$9, 100%, $E$9)</f>
        <v>5.8410000000000002</v>
      </c>
      <c r="N352" s="9">
        <f>5.8377 * CHOOSE(CONTROL!$C$32, $C$9, 100%, $E$9)</f>
        <v>5.8376999999999999</v>
      </c>
      <c r="O352" s="9">
        <f>5.841 * CHOOSE(CONTROL!$C$32, $C$9, 100%, $E$9)</f>
        <v>5.8410000000000002</v>
      </c>
    </row>
    <row r="353" spans="1:15" ht="15.75" x14ac:dyDescent="0.25">
      <c r="A353" s="14">
        <v>51621</v>
      </c>
      <c r="B353" s="10">
        <f>6.1139 * CHOOSE(CONTROL!$C$32, $C$9, 100%, $E$9)</f>
        <v>6.1139000000000001</v>
      </c>
      <c r="C353" s="10">
        <f>6.1139 * CHOOSE(CONTROL!$C$32, $C$9, 100%, $E$9)</f>
        <v>6.1139000000000001</v>
      </c>
      <c r="D353" s="10">
        <f>6.1148 * CHOOSE(CONTROL!$C$32, $C$9, 100%, $E$9)</f>
        <v>6.1147999999999998</v>
      </c>
      <c r="E353" s="9">
        <f>5.9277 * CHOOSE(CONTROL!$C$32, $C$9, 100%, $E$9)</f>
        <v>5.9276999999999997</v>
      </c>
      <c r="F353" s="9">
        <f>5.9277 * CHOOSE(CONTROL!$C$32, $C$9, 100%, $E$9)</f>
        <v>5.9276999999999997</v>
      </c>
      <c r="G353" s="9">
        <f>5.931 * CHOOSE(CONTROL!$C$32, $C$9, 100%, $E$9)</f>
        <v>5.931</v>
      </c>
      <c r="H353" s="9">
        <f>7.5086 * CHOOSE(CONTROL!$C$32, $C$9, 100%, $E$9)</f>
        <v>7.5086000000000004</v>
      </c>
      <c r="I353" s="9">
        <f>7.5118 * CHOOSE(CONTROL!$C$32, $C$9, 100%, $E$9)</f>
        <v>7.5118</v>
      </c>
      <c r="J353" s="9">
        <f>7.5086 * CHOOSE(CONTROL!$C$32, $C$9, 100%, $E$9)</f>
        <v>7.5086000000000004</v>
      </c>
      <c r="K353" s="9">
        <f>7.5118 * CHOOSE(CONTROL!$C$32, $C$9, 100%, $E$9)</f>
        <v>7.5118</v>
      </c>
      <c r="L353" s="9">
        <f>5.9277 * CHOOSE(CONTROL!$C$32, $C$9, 100%, $E$9)</f>
        <v>5.9276999999999997</v>
      </c>
      <c r="M353" s="9">
        <f>5.931 * CHOOSE(CONTROL!$C$32, $C$9, 100%, $E$9)</f>
        <v>5.931</v>
      </c>
      <c r="N353" s="9">
        <f>5.9277 * CHOOSE(CONTROL!$C$32, $C$9, 100%, $E$9)</f>
        <v>5.9276999999999997</v>
      </c>
      <c r="O353" s="9">
        <f>5.931 * CHOOSE(CONTROL!$C$32, $C$9, 100%, $E$9)</f>
        <v>5.931</v>
      </c>
    </row>
    <row r="354" spans="1:15" ht="15.75" x14ac:dyDescent="0.25">
      <c r="A354" s="14">
        <v>51652</v>
      </c>
      <c r="B354" s="10">
        <f>6.1139 * CHOOSE(CONTROL!$C$32, $C$9, 100%, $E$9)</f>
        <v>6.1139000000000001</v>
      </c>
      <c r="C354" s="10">
        <f>6.1139 * CHOOSE(CONTROL!$C$32, $C$9, 100%, $E$9)</f>
        <v>6.1139000000000001</v>
      </c>
      <c r="D354" s="10">
        <f>6.1151 * CHOOSE(CONTROL!$C$32, $C$9, 100%, $E$9)</f>
        <v>6.1151</v>
      </c>
      <c r="E354" s="9">
        <f>5.9631 * CHOOSE(CONTROL!$C$32, $C$9, 100%, $E$9)</f>
        <v>5.9630999999999998</v>
      </c>
      <c r="F354" s="9">
        <f>5.9631 * CHOOSE(CONTROL!$C$32, $C$9, 100%, $E$9)</f>
        <v>5.9630999999999998</v>
      </c>
      <c r="G354" s="9">
        <f>5.9673 * CHOOSE(CONTROL!$C$32, $C$9, 100%, $E$9)</f>
        <v>5.9672999999999998</v>
      </c>
      <c r="H354" s="9">
        <f>7.5086 * CHOOSE(CONTROL!$C$32, $C$9, 100%, $E$9)</f>
        <v>7.5086000000000004</v>
      </c>
      <c r="I354" s="9">
        <f>7.5128 * CHOOSE(CONTROL!$C$32, $C$9, 100%, $E$9)</f>
        <v>7.5128000000000004</v>
      </c>
      <c r="J354" s="9">
        <f>7.5086 * CHOOSE(CONTROL!$C$32, $C$9, 100%, $E$9)</f>
        <v>7.5086000000000004</v>
      </c>
      <c r="K354" s="9">
        <f>7.5128 * CHOOSE(CONTROL!$C$32, $C$9, 100%, $E$9)</f>
        <v>7.5128000000000004</v>
      </c>
      <c r="L354" s="9">
        <f>5.9631 * CHOOSE(CONTROL!$C$32, $C$9, 100%, $E$9)</f>
        <v>5.9630999999999998</v>
      </c>
      <c r="M354" s="9">
        <f>5.9673 * CHOOSE(CONTROL!$C$32, $C$9, 100%, $E$9)</f>
        <v>5.9672999999999998</v>
      </c>
      <c r="N354" s="9">
        <f>5.9631 * CHOOSE(CONTROL!$C$32, $C$9, 100%, $E$9)</f>
        <v>5.9630999999999998</v>
      </c>
      <c r="O354" s="9">
        <f>5.9673 * CHOOSE(CONTROL!$C$32, $C$9, 100%, $E$9)</f>
        <v>5.9672999999999998</v>
      </c>
    </row>
    <row r="355" spans="1:15" ht="15.75" x14ac:dyDescent="0.25">
      <c r="A355" s="14">
        <v>51682</v>
      </c>
      <c r="B355" s="10">
        <f>6.1199 * CHOOSE(CONTROL!$C$32, $C$9, 100%, $E$9)</f>
        <v>6.1199000000000003</v>
      </c>
      <c r="C355" s="10">
        <f>6.1199 * CHOOSE(CONTROL!$C$32, $C$9, 100%, $E$9)</f>
        <v>6.1199000000000003</v>
      </c>
      <c r="D355" s="10">
        <f>6.1212 * CHOOSE(CONTROL!$C$32, $C$9, 100%, $E$9)</f>
        <v>6.1212</v>
      </c>
      <c r="E355" s="9">
        <f>5.932 * CHOOSE(CONTROL!$C$32, $C$9, 100%, $E$9)</f>
        <v>5.9320000000000004</v>
      </c>
      <c r="F355" s="9">
        <f>5.932 * CHOOSE(CONTROL!$C$32, $C$9, 100%, $E$9)</f>
        <v>5.9320000000000004</v>
      </c>
      <c r="G355" s="9">
        <f>5.9362 * CHOOSE(CONTROL!$C$32, $C$9, 100%, $E$9)</f>
        <v>5.9362000000000004</v>
      </c>
      <c r="H355" s="9">
        <f>7.5126 * CHOOSE(CONTROL!$C$32, $C$9, 100%, $E$9)</f>
        <v>7.5125999999999999</v>
      </c>
      <c r="I355" s="9">
        <f>7.5168 * CHOOSE(CONTROL!$C$32, $C$9, 100%, $E$9)</f>
        <v>7.5167999999999999</v>
      </c>
      <c r="J355" s="9">
        <f>7.5126 * CHOOSE(CONTROL!$C$32, $C$9, 100%, $E$9)</f>
        <v>7.5125999999999999</v>
      </c>
      <c r="K355" s="9">
        <f>7.5168 * CHOOSE(CONTROL!$C$32, $C$9, 100%, $E$9)</f>
        <v>7.5167999999999999</v>
      </c>
      <c r="L355" s="9">
        <f>5.932 * CHOOSE(CONTROL!$C$32, $C$9, 100%, $E$9)</f>
        <v>5.9320000000000004</v>
      </c>
      <c r="M355" s="9">
        <f>5.9362 * CHOOSE(CONTROL!$C$32, $C$9, 100%, $E$9)</f>
        <v>5.9362000000000004</v>
      </c>
      <c r="N355" s="9">
        <f>5.932 * CHOOSE(CONTROL!$C$32, $C$9, 100%, $E$9)</f>
        <v>5.9320000000000004</v>
      </c>
      <c r="O355" s="9">
        <f>5.9362 * CHOOSE(CONTROL!$C$32, $C$9, 100%, $E$9)</f>
        <v>5.9362000000000004</v>
      </c>
    </row>
    <row r="356" spans="1:15" ht="15.75" x14ac:dyDescent="0.25">
      <c r="A356" s="14">
        <v>51713</v>
      </c>
      <c r="B356" s="10">
        <f>6.2113 * CHOOSE(CONTROL!$C$32, $C$9, 100%, $E$9)</f>
        <v>6.2112999999999996</v>
      </c>
      <c r="C356" s="10">
        <f>6.2113 * CHOOSE(CONTROL!$C$32, $C$9, 100%, $E$9)</f>
        <v>6.2112999999999996</v>
      </c>
      <c r="D356" s="10">
        <f>6.2125 * CHOOSE(CONTROL!$C$32, $C$9, 100%, $E$9)</f>
        <v>6.2125000000000004</v>
      </c>
      <c r="E356" s="9">
        <f>6.0031 * CHOOSE(CONTROL!$C$32, $C$9, 100%, $E$9)</f>
        <v>6.0030999999999999</v>
      </c>
      <c r="F356" s="9">
        <f>6.0031 * CHOOSE(CONTROL!$C$32, $C$9, 100%, $E$9)</f>
        <v>6.0030999999999999</v>
      </c>
      <c r="G356" s="9">
        <f>6.0073 * CHOOSE(CONTROL!$C$32, $C$9, 100%, $E$9)</f>
        <v>6.0072999999999999</v>
      </c>
      <c r="H356" s="9">
        <f>7.6283 * CHOOSE(CONTROL!$C$32, $C$9, 100%, $E$9)</f>
        <v>7.6283000000000003</v>
      </c>
      <c r="I356" s="9">
        <f>7.6325 * CHOOSE(CONTROL!$C$32, $C$9, 100%, $E$9)</f>
        <v>7.6325000000000003</v>
      </c>
      <c r="J356" s="9">
        <f>7.6283 * CHOOSE(CONTROL!$C$32, $C$9, 100%, $E$9)</f>
        <v>7.6283000000000003</v>
      </c>
      <c r="K356" s="9">
        <f>7.6325 * CHOOSE(CONTROL!$C$32, $C$9, 100%, $E$9)</f>
        <v>7.6325000000000003</v>
      </c>
      <c r="L356" s="9">
        <f>6.0031 * CHOOSE(CONTROL!$C$32, $C$9, 100%, $E$9)</f>
        <v>6.0030999999999999</v>
      </c>
      <c r="M356" s="9">
        <f>6.0073 * CHOOSE(CONTROL!$C$32, $C$9, 100%, $E$9)</f>
        <v>6.0072999999999999</v>
      </c>
      <c r="N356" s="9">
        <f>6.0031 * CHOOSE(CONTROL!$C$32, $C$9, 100%, $E$9)</f>
        <v>6.0030999999999999</v>
      </c>
      <c r="O356" s="9">
        <f>6.0073 * CHOOSE(CONTROL!$C$32, $C$9, 100%, $E$9)</f>
        <v>6.0072999999999999</v>
      </c>
    </row>
    <row r="357" spans="1:15" ht="15.75" x14ac:dyDescent="0.25">
      <c r="A357" s="14">
        <v>51744</v>
      </c>
      <c r="B357" s="10">
        <f>6.218 * CHOOSE(CONTROL!$C$32, $C$9, 100%, $E$9)</f>
        <v>6.218</v>
      </c>
      <c r="C357" s="10">
        <f>6.218 * CHOOSE(CONTROL!$C$32, $C$9, 100%, $E$9)</f>
        <v>6.218</v>
      </c>
      <c r="D357" s="10">
        <f>6.2192 * CHOOSE(CONTROL!$C$32, $C$9, 100%, $E$9)</f>
        <v>6.2191999999999998</v>
      </c>
      <c r="E357" s="9">
        <f>5.9017 * CHOOSE(CONTROL!$C$32, $C$9, 100%, $E$9)</f>
        <v>5.9016999999999999</v>
      </c>
      <c r="F357" s="9">
        <f>5.9017 * CHOOSE(CONTROL!$C$32, $C$9, 100%, $E$9)</f>
        <v>5.9016999999999999</v>
      </c>
      <c r="G357" s="9">
        <f>5.9059 * CHOOSE(CONTROL!$C$32, $C$9, 100%, $E$9)</f>
        <v>5.9058999999999999</v>
      </c>
      <c r="H357" s="9">
        <f>7.6327 * CHOOSE(CONTROL!$C$32, $C$9, 100%, $E$9)</f>
        <v>7.6326999999999998</v>
      </c>
      <c r="I357" s="9">
        <f>7.6369 * CHOOSE(CONTROL!$C$32, $C$9, 100%, $E$9)</f>
        <v>7.6368999999999998</v>
      </c>
      <c r="J357" s="9">
        <f>7.6327 * CHOOSE(CONTROL!$C$32, $C$9, 100%, $E$9)</f>
        <v>7.6326999999999998</v>
      </c>
      <c r="K357" s="9">
        <f>7.6369 * CHOOSE(CONTROL!$C$32, $C$9, 100%, $E$9)</f>
        <v>7.6368999999999998</v>
      </c>
      <c r="L357" s="9">
        <f>5.9017 * CHOOSE(CONTROL!$C$32, $C$9, 100%, $E$9)</f>
        <v>5.9016999999999999</v>
      </c>
      <c r="M357" s="9">
        <f>5.9059 * CHOOSE(CONTROL!$C$32, $C$9, 100%, $E$9)</f>
        <v>5.9058999999999999</v>
      </c>
      <c r="N357" s="9">
        <f>5.9017 * CHOOSE(CONTROL!$C$32, $C$9, 100%, $E$9)</f>
        <v>5.9016999999999999</v>
      </c>
      <c r="O357" s="9">
        <f>5.9059 * CHOOSE(CONTROL!$C$32, $C$9, 100%, $E$9)</f>
        <v>5.9058999999999999</v>
      </c>
    </row>
    <row r="358" spans="1:15" ht="15.75" x14ac:dyDescent="0.25">
      <c r="A358" s="14">
        <v>51774</v>
      </c>
      <c r="B358" s="10">
        <f>6.2149 * CHOOSE(CONTROL!$C$32, $C$9, 100%, $E$9)</f>
        <v>6.2149000000000001</v>
      </c>
      <c r="C358" s="10">
        <f>6.2149 * CHOOSE(CONTROL!$C$32, $C$9, 100%, $E$9)</f>
        <v>6.2149000000000001</v>
      </c>
      <c r="D358" s="10">
        <f>6.2162 * CHOOSE(CONTROL!$C$32, $C$9, 100%, $E$9)</f>
        <v>6.2161999999999997</v>
      </c>
      <c r="E358" s="9">
        <f>5.8878 * CHOOSE(CONTROL!$C$32, $C$9, 100%, $E$9)</f>
        <v>5.8878000000000004</v>
      </c>
      <c r="F358" s="9">
        <f>5.8878 * CHOOSE(CONTROL!$C$32, $C$9, 100%, $E$9)</f>
        <v>5.8878000000000004</v>
      </c>
      <c r="G358" s="9">
        <f>5.892 * CHOOSE(CONTROL!$C$32, $C$9, 100%, $E$9)</f>
        <v>5.8920000000000003</v>
      </c>
      <c r="H358" s="9">
        <f>7.6307 * CHOOSE(CONTROL!$C$32, $C$9, 100%, $E$9)</f>
        <v>7.6307</v>
      </c>
      <c r="I358" s="9">
        <f>7.6349 * CHOOSE(CONTROL!$C$32, $C$9, 100%, $E$9)</f>
        <v>7.6349</v>
      </c>
      <c r="J358" s="9">
        <f>7.6307 * CHOOSE(CONTROL!$C$32, $C$9, 100%, $E$9)</f>
        <v>7.6307</v>
      </c>
      <c r="K358" s="9">
        <f>7.6349 * CHOOSE(CONTROL!$C$32, $C$9, 100%, $E$9)</f>
        <v>7.6349</v>
      </c>
      <c r="L358" s="9">
        <f>5.8878 * CHOOSE(CONTROL!$C$32, $C$9, 100%, $E$9)</f>
        <v>5.8878000000000004</v>
      </c>
      <c r="M358" s="9">
        <f>5.892 * CHOOSE(CONTROL!$C$32, $C$9, 100%, $E$9)</f>
        <v>5.8920000000000003</v>
      </c>
      <c r="N358" s="9">
        <f>5.8878 * CHOOSE(CONTROL!$C$32, $C$9, 100%, $E$9)</f>
        <v>5.8878000000000004</v>
      </c>
      <c r="O358" s="9">
        <f>5.892 * CHOOSE(CONTROL!$C$32, $C$9, 100%, $E$9)</f>
        <v>5.8920000000000003</v>
      </c>
    </row>
    <row r="359" spans="1:15" ht="15.75" x14ac:dyDescent="0.25">
      <c r="A359" s="14">
        <v>51805</v>
      </c>
      <c r="B359" s="10">
        <f>6.219 * CHOOSE(CONTROL!$C$32, $C$9, 100%, $E$9)</f>
        <v>6.2190000000000003</v>
      </c>
      <c r="C359" s="10">
        <f>6.219 * CHOOSE(CONTROL!$C$32, $C$9, 100%, $E$9)</f>
        <v>6.2190000000000003</v>
      </c>
      <c r="D359" s="10">
        <f>6.22 * CHOOSE(CONTROL!$C$32, $C$9, 100%, $E$9)</f>
        <v>6.22</v>
      </c>
      <c r="E359" s="9">
        <f>5.9215 * CHOOSE(CONTROL!$C$32, $C$9, 100%, $E$9)</f>
        <v>5.9215</v>
      </c>
      <c r="F359" s="9">
        <f>5.9215 * CHOOSE(CONTROL!$C$32, $C$9, 100%, $E$9)</f>
        <v>5.9215</v>
      </c>
      <c r="G359" s="9">
        <f>5.9248 * CHOOSE(CONTROL!$C$32, $C$9, 100%, $E$9)</f>
        <v>5.9248000000000003</v>
      </c>
      <c r="H359" s="9">
        <f>7.6325 * CHOOSE(CONTROL!$C$32, $C$9, 100%, $E$9)</f>
        <v>7.6325000000000003</v>
      </c>
      <c r="I359" s="9">
        <f>7.6357 * CHOOSE(CONTROL!$C$32, $C$9, 100%, $E$9)</f>
        <v>7.6356999999999999</v>
      </c>
      <c r="J359" s="9">
        <f>7.6325 * CHOOSE(CONTROL!$C$32, $C$9, 100%, $E$9)</f>
        <v>7.6325000000000003</v>
      </c>
      <c r="K359" s="9">
        <f>7.6357 * CHOOSE(CONTROL!$C$32, $C$9, 100%, $E$9)</f>
        <v>7.6356999999999999</v>
      </c>
      <c r="L359" s="9">
        <f>5.9215 * CHOOSE(CONTROL!$C$32, $C$9, 100%, $E$9)</f>
        <v>5.9215</v>
      </c>
      <c r="M359" s="9">
        <f>5.9248 * CHOOSE(CONTROL!$C$32, $C$9, 100%, $E$9)</f>
        <v>5.9248000000000003</v>
      </c>
      <c r="N359" s="9">
        <f>5.9215 * CHOOSE(CONTROL!$C$32, $C$9, 100%, $E$9)</f>
        <v>5.9215</v>
      </c>
      <c r="O359" s="9">
        <f>5.9248 * CHOOSE(CONTROL!$C$32, $C$9, 100%, $E$9)</f>
        <v>5.9248000000000003</v>
      </c>
    </row>
    <row r="360" spans="1:15" ht="15.75" x14ac:dyDescent="0.25">
      <c r="A360" s="14">
        <v>51835</v>
      </c>
      <c r="B360" s="10">
        <f>6.222 * CHOOSE(CONTROL!$C$32, $C$9, 100%, $E$9)</f>
        <v>6.2220000000000004</v>
      </c>
      <c r="C360" s="10">
        <f>6.222 * CHOOSE(CONTROL!$C$32, $C$9, 100%, $E$9)</f>
        <v>6.2220000000000004</v>
      </c>
      <c r="D360" s="10">
        <f>6.223 * CHOOSE(CONTROL!$C$32, $C$9, 100%, $E$9)</f>
        <v>6.2229999999999999</v>
      </c>
      <c r="E360" s="9">
        <f>5.9472 * CHOOSE(CONTROL!$C$32, $C$9, 100%, $E$9)</f>
        <v>5.9471999999999996</v>
      </c>
      <c r="F360" s="9">
        <f>5.9472 * CHOOSE(CONTROL!$C$32, $C$9, 100%, $E$9)</f>
        <v>5.9471999999999996</v>
      </c>
      <c r="G360" s="9">
        <f>5.9504 * CHOOSE(CONTROL!$C$32, $C$9, 100%, $E$9)</f>
        <v>5.9504000000000001</v>
      </c>
      <c r="H360" s="9">
        <f>7.6345 * CHOOSE(CONTROL!$C$32, $C$9, 100%, $E$9)</f>
        <v>7.6345000000000001</v>
      </c>
      <c r="I360" s="9">
        <f>7.6377 * CHOOSE(CONTROL!$C$32, $C$9, 100%, $E$9)</f>
        <v>7.6376999999999997</v>
      </c>
      <c r="J360" s="9">
        <f>7.6345 * CHOOSE(CONTROL!$C$32, $C$9, 100%, $E$9)</f>
        <v>7.6345000000000001</v>
      </c>
      <c r="K360" s="9">
        <f>7.6377 * CHOOSE(CONTROL!$C$32, $C$9, 100%, $E$9)</f>
        <v>7.6376999999999997</v>
      </c>
      <c r="L360" s="9">
        <f>5.9472 * CHOOSE(CONTROL!$C$32, $C$9, 100%, $E$9)</f>
        <v>5.9471999999999996</v>
      </c>
      <c r="M360" s="9">
        <f>5.9504 * CHOOSE(CONTROL!$C$32, $C$9, 100%, $E$9)</f>
        <v>5.9504000000000001</v>
      </c>
      <c r="N360" s="9">
        <f>5.9472 * CHOOSE(CONTROL!$C$32, $C$9, 100%, $E$9)</f>
        <v>5.9471999999999996</v>
      </c>
      <c r="O360" s="9">
        <f>5.9504 * CHOOSE(CONTROL!$C$32, $C$9, 100%, $E$9)</f>
        <v>5.9504000000000001</v>
      </c>
    </row>
    <row r="361" spans="1:15" ht="15.75" x14ac:dyDescent="0.25">
      <c r="A361" s="14">
        <v>51866</v>
      </c>
      <c r="B361" s="10">
        <f>6.222 * CHOOSE(CONTROL!$C$32, $C$9, 100%, $E$9)</f>
        <v>6.2220000000000004</v>
      </c>
      <c r="C361" s="10">
        <f>6.222 * CHOOSE(CONTROL!$C$32, $C$9, 100%, $E$9)</f>
        <v>6.2220000000000004</v>
      </c>
      <c r="D361" s="10">
        <f>6.223 * CHOOSE(CONTROL!$C$32, $C$9, 100%, $E$9)</f>
        <v>6.2229999999999999</v>
      </c>
      <c r="E361" s="9">
        <f>5.8883 * CHOOSE(CONTROL!$C$32, $C$9, 100%, $E$9)</f>
        <v>5.8883000000000001</v>
      </c>
      <c r="F361" s="9">
        <f>5.8883 * CHOOSE(CONTROL!$C$32, $C$9, 100%, $E$9)</f>
        <v>5.8883000000000001</v>
      </c>
      <c r="G361" s="9">
        <f>5.8915 * CHOOSE(CONTROL!$C$32, $C$9, 100%, $E$9)</f>
        <v>5.8914999999999997</v>
      </c>
      <c r="H361" s="9">
        <f>7.6345 * CHOOSE(CONTROL!$C$32, $C$9, 100%, $E$9)</f>
        <v>7.6345000000000001</v>
      </c>
      <c r="I361" s="9">
        <f>7.6377 * CHOOSE(CONTROL!$C$32, $C$9, 100%, $E$9)</f>
        <v>7.6376999999999997</v>
      </c>
      <c r="J361" s="9">
        <f>7.6345 * CHOOSE(CONTROL!$C$32, $C$9, 100%, $E$9)</f>
        <v>7.6345000000000001</v>
      </c>
      <c r="K361" s="9">
        <f>7.6377 * CHOOSE(CONTROL!$C$32, $C$9, 100%, $E$9)</f>
        <v>7.6376999999999997</v>
      </c>
      <c r="L361" s="9">
        <f>5.8883 * CHOOSE(CONTROL!$C$32, $C$9, 100%, $E$9)</f>
        <v>5.8883000000000001</v>
      </c>
      <c r="M361" s="9">
        <f>5.8915 * CHOOSE(CONTROL!$C$32, $C$9, 100%, $E$9)</f>
        <v>5.8914999999999997</v>
      </c>
      <c r="N361" s="9">
        <f>5.8883 * CHOOSE(CONTROL!$C$32, $C$9, 100%, $E$9)</f>
        <v>5.8883000000000001</v>
      </c>
      <c r="O361" s="9">
        <f>5.8915 * CHOOSE(CONTROL!$C$32, $C$9, 100%, $E$9)</f>
        <v>5.8914999999999997</v>
      </c>
    </row>
    <row r="362" spans="1:15" ht="15.75" x14ac:dyDescent="0.25">
      <c r="A362" s="14">
        <v>51897</v>
      </c>
      <c r="B362" s="10">
        <f>6.2748 * CHOOSE(CONTROL!$C$32, $C$9, 100%, $E$9)</f>
        <v>6.2747999999999999</v>
      </c>
      <c r="C362" s="10">
        <f>6.2748 * CHOOSE(CONTROL!$C$32, $C$9, 100%, $E$9)</f>
        <v>6.2747999999999999</v>
      </c>
      <c r="D362" s="10">
        <f>6.2757 * CHOOSE(CONTROL!$C$32, $C$9, 100%, $E$9)</f>
        <v>6.2756999999999996</v>
      </c>
      <c r="E362" s="9">
        <f>5.9711 * CHOOSE(CONTROL!$C$32, $C$9, 100%, $E$9)</f>
        <v>5.9710999999999999</v>
      </c>
      <c r="F362" s="9">
        <f>5.9711 * CHOOSE(CONTROL!$C$32, $C$9, 100%, $E$9)</f>
        <v>5.9710999999999999</v>
      </c>
      <c r="G362" s="9">
        <f>5.9743 * CHOOSE(CONTROL!$C$32, $C$9, 100%, $E$9)</f>
        <v>5.9743000000000004</v>
      </c>
      <c r="H362" s="9">
        <f>7.6918 * CHOOSE(CONTROL!$C$32, $C$9, 100%, $E$9)</f>
        <v>7.6917999999999997</v>
      </c>
      <c r="I362" s="9">
        <f>7.6951 * CHOOSE(CONTROL!$C$32, $C$9, 100%, $E$9)</f>
        <v>7.6951000000000001</v>
      </c>
      <c r="J362" s="9">
        <f>7.6918 * CHOOSE(CONTROL!$C$32, $C$9, 100%, $E$9)</f>
        <v>7.6917999999999997</v>
      </c>
      <c r="K362" s="9">
        <f>7.6951 * CHOOSE(CONTROL!$C$32, $C$9, 100%, $E$9)</f>
        <v>7.6951000000000001</v>
      </c>
      <c r="L362" s="9">
        <f>5.9711 * CHOOSE(CONTROL!$C$32, $C$9, 100%, $E$9)</f>
        <v>5.9710999999999999</v>
      </c>
      <c r="M362" s="9">
        <f>5.9743 * CHOOSE(CONTROL!$C$32, $C$9, 100%, $E$9)</f>
        <v>5.9743000000000004</v>
      </c>
      <c r="N362" s="9">
        <f>5.9711 * CHOOSE(CONTROL!$C$32, $C$9, 100%, $E$9)</f>
        <v>5.9710999999999999</v>
      </c>
      <c r="O362" s="9">
        <f>5.9743 * CHOOSE(CONTROL!$C$32, $C$9, 100%, $E$9)</f>
        <v>5.9743000000000004</v>
      </c>
    </row>
    <row r="363" spans="1:15" ht="15.75" x14ac:dyDescent="0.25">
      <c r="A363" s="14">
        <v>51925</v>
      </c>
      <c r="B363" s="10">
        <f>6.2717 * CHOOSE(CONTROL!$C$32, $C$9, 100%, $E$9)</f>
        <v>6.2717000000000001</v>
      </c>
      <c r="C363" s="10">
        <f>6.2717 * CHOOSE(CONTROL!$C$32, $C$9, 100%, $E$9)</f>
        <v>6.2717000000000001</v>
      </c>
      <c r="D363" s="10">
        <f>6.2727 * CHOOSE(CONTROL!$C$32, $C$9, 100%, $E$9)</f>
        <v>6.2727000000000004</v>
      </c>
      <c r="E363" s="9">
        <f>5.8544 * CHOOSE(CONTROL!$C$32, $C$9, 100%, $E$9)</f>
        <v>5.8544</v>
      </c>
      <c r="F363" s="9">
        <f>5.8544 * CHOOSE(CONTROL!$C$32, $C$9, 100%, $E$9)</f>
        <v>5.8544</v>
      </c>
      <c r="G363" s="9">
        <f>5.8576 * CHOOSE(CONTROL!$C$32, $C$9, 100%, $E$9)</f>
        <v>5.8575999999999997</v>
      </c>
      <c r="H363" s="9">
        <f>7.6898 * CHOOSE(CONTROL!$C$32, $C$9, 100%, $E$9)</f>
        <v>7.6898</v>
      </c>
      <c r="I363" s="9">
        <f>7.6931 * CHOOSE(CONTROL!$C$32, $C$9, 100%, $E$9)</f>
        <v>7.6931000000000003</v>
      </c>
      <c r="J363" s="9">
        <f>7.6898 * CHOOSE(CONTROL!$C$32, $C$9, 100%, $E$9)</f>
        <v>7.6898</v>
      </c>
      <c r="K363" s="9">
        <f>7.6931 * CHOOSE(CONTROL!$C$32, $C$9, 100%, $E$9)</f>
        <v>7.6931000000000003</v>
      </c>
      <c r="L363" s="9">
        <f>5.8544 * CHOOSE(CONTROL!$C$32, $C$9, 100%, $E$9)</f>
        <v>5.8544</v>
      </c>
      <c r="M363" s="9">
        <f>5.8576 * CHOOSE(CONTROL!$C$32, $C$9, 100%, $E$9)</f>
        <v>5.8575999999999997</v>
      </c>
      <c r="N363" s="9">
        <f>5.8544 * CHOOSE(CONTROL!$C$32, $C$9, 100%, $E$9)</f>
        <v>5.8544</v>
      </c>
      <c r="O363" s="9">
        <f>5.8576 * CHOOSE(CONTROL!$C$32, $C$9, 100%, $E$9)</f>
        <v>5.8575999999999997</v>
      </c>
    </row>
    <row r="364" spans="1:15" ht="15.75" x14ac:dyDescent="0.25">
      <c r="A364" s="14">
        <v>51956</v>
      </c>
      <c r="B364" s="10">
        <f>6.2687 * CHOOSE(CONTROL!$C$32, $C$9, 100%, $E$9)</f>
        <v>6.2686999999999999</v>
      </c>
      <c r="C364" s="10">
        <f>6.2687 * CHOOSE(CONTROL!$C$32, $C$9, 100%, $E$9)</f>
        <v>6.2686999999999999</v>
      </c>
      <c r="D364" s="10">
        <f>6.2696 * CHOOSE(CONTROL!$C$32, $C$9, 100%, $E$9)</f>
        <v>6.2695999999999996</v>
      </c>
      <c r="E364" s="9">
        <f>5.9426 * CHOOSE(CONTROL!$C$32, $C$9, 100%, $E$9)</f>
        <v>5.9425999999999997</v>
      </c>
      <c r="F364" s="9">
        <f>5.9426 * CHOOSE(CONTROL!$C$32, $C$9, 100%, $E$9)</f>
        <v>5.9425999999999997</v>
      </c>
      <c r="G364" s="9">
        <f>5.9458 * CHOOSE(CONTROL!$C$32, $C$9, 100%, $E$9)</f>
        <v>5.9458000000000002</v>
      </c>
      <c r="H364" s="9">
        <f>7.6878 * CHOOSE(CONTROL!$C$32, $C$9, 100%, $E$9)</f>
        <v>7.6878000000000002</v>
      </c>
      <c r="I364" s="9">
        <f>7.6911 * CHOOSE(CONTROL!$C$32, $C$9, 100%, $E$9)</f>
        <v>7.6910999999999996</v>
      </c>
      <c r="J364" s="9">
        <f>7.6878 * CHOOSE(CONTROL!$C$32, $C$9, 100%, $E$9)</f>
        <v>7.6878000000000002</v>
      </c>
      <c r="K364" s="9">
        <f>7.6911 * CHOOSE(CONTROL!$C$32, $C$9, 100%, $E$9)</f>
        <v>7.6910999999999996</v>
      </c>
      <c r="L364" s="9">
        <f>5.9426 * CHOOSE(CONTROL!$C$32, $C$9, 100%, $E$9)</f>
        <v>5.9425999999999997</v>
      </c>
      <c r="M364" s="9">
        <f>5.9458 * CHOOSE(CONTROL!$C$32, $C$9, 100%, $E$9)</f>
        <v>5.9458000000000002</v>
      </c>
      <c r="N364" s="9">
        <f>5.9426 * CHOOSE(CONTROL!$C$32, $C$9, 100%, $E$9)</f>
        <v>5.9425999999999997</v>
      </c>
      <c r="O364" s="9">
        <f>5.9458 * CHOOSE(CONTROL!$C$32, $C$9, 100%, $E$9)</f>
        <v>5.9458000000000002</v>
      </c>
    </row>
    <row r="365" spans="1:15" ht="15.75" x14ac:dyDescent="0.25">
      <c r="A365" s="14">
        <v>51986</v>
      </c>
      <c r="B365" s="10">
        <f>6.2687 * CHOOSE(CONTROL!$C$32, $C$9, 100%, $E$9)</f>
        <v>6.2686999999999999</v>
      </c>
      <c r="C365" s="10">
        <f>6.2687 * CHOOSE(CONTROL!$C$32, $C$9, 100%, $E$9)</f>
        <v>6.2686999999999999</v>
      </c>
      <c r="D365" s="10">
        <f>6.2697 * CHOOSE(CONTROL!$C$32, $C$9, 100%, $E$9)</f>
        <v>6.2697000000000003</v>
      </c>
      <c r="E365" s="9">
        <f>6.0354 * CHOOSE(CONTROL!$C$32, $C$9, 100%, $E$9)</f>
        <v>6.0354000000000001</v>
      </c>
      <c r="F365" s="9">
        <f>6.0354 * CHOOSE(CONTROL!$C$32, $C$9, 100%, $E$9)</f>
        <v>6.0354000000000001</v>
      </c>
      <c r="G365" s="9">
        <f>6.0386 * CHOOSE(CONTROL!$C$32, $C$9, 100%, $E$9)</f>
        <v>6.0385999999999997</v>
      </c>
      <c r="H365" s="9">
        <f>7.6876 * CHOOSE(CONTROL!$C$32, $C$9, 100%, $E$9)</f>
        <v>7.6875999999999998</v>
      </c>
      <c r="I365" s="9">
        <f>7.6909 * CHOOSE(CONTROL!$C$32, $C$9, 100%, $E$9)</f>
        <v>7.6909000000000001</v>
      </c>
      <c r="J365" s="9">
        <f>7.6876 * CHOOSE(CONTROL!$C$32, $C$9, 100%, $E$9)</f>
        <v>7.6875999999999998</v>
      </c>
      <c r="K365" s="9">
        <f>7.6909 * CHOOSE(CONTROL!$C$32, $C$9, 100%, $E$9)</f>
        <v>7.6909000000000001</v>
      </c>
      <c r="L365" s="9">
        <f>6.0354 * CHOOSE(CONTROL!$C$32, $C$9, 100%, $E$9)</f>
        <v>6.0354000000000001</v>
      </c>
      <c r="M365" s="9">
        <f>6.0386 * CHOOSE(CONTROL!$C$32, $C$9, 100%, $E$9)</f>
        <v>6.0385999999999997</v>
      </c>
      <c r="N365" s="9">
        <f>6.0354 * CHOOSE(CONTROL!$C$32, $C$9, 100%, $E$9)</f>
        <v>6.0354000000000001</v>
      </c>
      <c r="O365" s="9">
        <f>6.0386 * CHOOSE(CONTROL!$C$32, $C$9, 100%, $E$9)</f>
        <v>6.0385999999999997</v>
      </c>
    </row>
    <row r="366" spans="1:15" ht="15.75" x14ac:dyDescent="0.25">
      <c r="A366" s="14">
        <v>52017</v>
      </c>
      <c r="B366" s="10">
        <f>6.2687 * CHOOSE(CONTROL!$C$32, $C$9, 100%, $E$9)</f>
        <v>6.2686999999999999</v>
      </c>
      <c r="C366" s="10">
        <f>6.2687 * CHOOSE(CONTROL!$C$32, $C$9, 100%, $E$9)</f>
        <v>6.2686999999999999</v>
      </c>
      <c r="D366" s="10">
        <f>6.27 * CHOOSE(CONTROL!$C$32, $C$9, 100%, $E$9)</f>
        <v>6.27</v>
      </c>
      <c r="E366" s="9">
        <f>6.0718 * CHOOSE(CONTROL!$C$32, $C$9, 100%, $E$9)</f>
        <v>6.0717999999999996</v>
      </c>
      <c r="F366" s="9">
        <f>6.0718 * CHOOSE(CONTROL!$C$32, $C$9, 100%, $E$9)</f>
        <v>6.0717999999999996</v>
      </c>
      <c r="G366" s="9">
        <f>6.076 * CHOOSE(CONTROL!$C$32, $C$9, 100%, $E$9)</f>
        <v>6.0759999999999996</v>
      </c>
      <c r="H366" s="9">
        <f>7.6876 * CHOOSE(CONTROL!$C$32, $C$9, 100%, $E$9)</f>
        <v>7.6875999999999998</v>
      </c>
      <c r="I366" s="9">
        <f>7.6918 * CHOOSE(CONTROL!$C$32, $C$9, 100%, $E$9)</f>
        <v>7.6917999999999997</v>
      </c>
      <c r="J366" s="9">
        <f>7.6876 * CHOOSE(CONTROL!$C$32, $C$9, 100%, $E$9)</f>
        <v>7.6875999999999998</v>
      </c>
      <c r="K366" s="9">
        <f>7.6918 * CHOOSE(CONTROL!$C$32, $C$9, 100%, $E$9)</f>
        <v>7.6917999999999997</v>
      </c>
      <c r="L366" s="9">
        <f>6.0718 * CHOOSE(CONTROL!$C$32, $C$9, 100%, $E$9)</f>
        <v>6.0717999999999996</v>
      </c>
      <c r="M366" s="9">
        <f>6.076 * CHOOSE(CONTROL!$C$32, $C$9, 100%, $E$9)</f>
        <v>6.0759999999999996</v>
      </c>
      <c r="N366" s="9">
        <f>6.0718 * CHOOSE(CONTROL!$C$32, $C$9, 100%, $E$9)</f>
        <v>6.0717999999999996</v>
      </c>
      <c r="O366" s="9">
        <f>6.076 * CHOOSE(CONTROL!$C$32, $C$9, 100%, $E$9)</f>
        <v>6.0759999999999996</v>
      </c>
    </row>
    <row r="367" spans="1:15" ht="15.75" x14ac:dyDescent="0.25">
      <c r="A367" s="14">
        <v>52047</v>
      </c>
      <c r="B367" s="10">
        <f>6.2748 * CHOOSE(CONTROL!$C$32, $C$9, 100%, $E$9)</f>
        <v>6.2747999999999999</v>
      </c>
      <c r="C367" s="10">
        <f>6.2748 * CHOOSE(CONTROL!$C$32, $C$9, 100%, $E$9)</f>
        <v>6.2747999999999999</v>
      </c>
      <c r="D367" s="10">
        <f>6.2761 * CHOOSE(CONTROL!$C$32, $C$9, 100%, $E$9)</f>
        <v>6.2760999999999996</v>
      </c>
      <c r="E367" s="9">
        <f>6.0396 * CHOOSE(CONTROL!$C$32, $C$9, 100%, $E$9)</f>
        <v>6.0396000000000001</v>
      </c>
      <c r="F367" s="9">
        <f>6.0396 * CHOOSE(CONTROL!$C$32, $C$9, 100%, $E$9)</f>
        <v>6.0396000000000001</v>
      </c>
      <c r="G367" s="9">
        <f>6.0438 * CHOOSE(CONTROL!$C$32, $C$9, 100%, $E$9)</f>
        <v>6.0438000000000001</v>
      </c>
      <c r="H367" s="9">
        <f>7.6916 * CHOOSE(CONTROL!$C$32, $C$9, 100%, $E$9)</f>
        <v>7.6916000000000002</v>
      </c>
      <c r="I367" s="9">
        <f>7.6958 * CHOOSE(CONTROL!$C$32, $C$9, 100%, $E$9)</f>
        <v>7.6958000000000002</v>
      </c>
      <c r="J367" s="9">
        <f>7.6916 * CHOOSE(CONTROL!$C$32, $C$9, 100%, $E$9)</f>
        <v>7.6916000000000002</v>
      </c>
      <c r="K367" s="9">
        <f>7.6958 * CHOOSE(CONTROL!$C$32, $C$9, 100%, $E$9)</f>
        <v>7.6958000000000002</v>
      </c>
      <c r="L367" s="9">
        <f>6.0396 * CHOOSE(CONTROL!$C$32, $C$9, 100%, $E$9)</f>
        <v>6.0396000000000001</v>
      </c>
      <c r="M367" s="9">
        <f>6.0438 * CHOOSE(CONTROL!$C$32, $C$9, 100%, $E$9)</f>
        <v>6.0438000000000001</v>
      </c>
      <c r="N367" s="9">
        <f>6.0396 * CHOOSE(CONTROL!$C$32, $C$9, 100%, $E$9)</f>
        <v>6.0396000000000001</v>
      </c>
      <c r="O367" s="9">
        <f>6.0438 * CHOOSE(CONTROL!$C$32, $C$9, 100%, $E$9)</f>
        <v>6.0438000000000001</v>
      </c>
    </row>
    <row r="368" spans="1:15" ht="15.75" x14ac:dyDescent="0.25">
      <c r="A368" s="14">
        <v>52078</v>
      </c>
      <c r="B368" s="10">
        <f>6.3681 * CHOOSE(CONTROL!$C$32, $C$9, 100%, $E$9)</f>
        <v>6.3681000000000001</v>
      </c>
      <c r="C368" s="10">
        <f>6.3681 * CHOOSE(CONTROL!$C$32, $C$9, 100%, $E$9)</f>
        <v>6.3681000000000001</v>
      </c>
      <c r="D368" s="10">
        <f>6.3693 * CHOOSE(CONTROL!$C$32, $C$9, 100%, $E$9)</f>
        <v>6.3693</v>
      </c>
      <c r="E368" s="9">
        <f>6.1126 * CHOOSE(CONTROL!$C$32, $C$9, 100%, $E$9)</f>
        <v>6.1125999999999996</v>
      </c>
      <c r="F368" s="9">
        <f>6.1126 * CHOOSE(CONTROL!$C$32, $C$9, 100%, $E$9)</f>
        <v>6.1125999999999996</v>
      </c>
      <c r="G368" s="9">
        <f>6.1168 * CHOOSE(CONTROL!$C$32, $C$9, 100%, $E$9)</f>
        <v>6.1167999999999996</v>
      </c>
      <c r="H368" s="9">
        <f>7.8098 * CHOOSE(CONTROL!$C$32, $C$9, 100%, $E$9)</f>
        <v>7.8098000000000001</v>
      </c>
      <c r="I368" s="9">
        <f>7.814 * CHOOSE(CONTROL!$C$32, $C$9, 100%, $E$9)</f>
        <v>7.8140000000000001</v>
      </c>
      <c r="J368" s="9">
        <f>7.8098 * CHOOSE(CONTROL!$C$32, $C$9, 100%, $E$9)</f>
        <v>7.8098000000000001</v>
      </c>
      <c r="K368" s="9">
        <f>7.814 * CHOOSE(CONTROL!$C$32, $C$9, 100%, $E$9)</f>
        <v>7.8140000000000001</v>
      </c>
      <c r="L368" s="9">
        <f>6.1126 * CHOOSE(CONTROL!$C$32, $C$9, 100%, $E$9)</f>
        <v>6.1125999999999996</v>
      </c>
      <c r="M368" s="9">
        <f>6.1168 * CHOOSE(CONTROL!$C$32, $C$9, 100%, $E$9)</f>
        <v>6.1167999999999996</v>
      </c>
      <c r="N368" s="9">
        <f>6.1126 * CHOOSE(CONTROL!$C$32, $C$9, 100%, $E$9)</f>
        <v>6.1125999999999996</v>
      </c>
      <c r="O368" s="9">
        <f>6.1168 * CHOOSE(CONTROL!$C$32, $C$9, 100%, $E$9)</f>
        <v>6.1167999999999996</v>
      </c>
    </row>
    <row r="369" spans="1:15" ht="15.75" x14ac:dyDescent="0.25">
      <c r="A369" s="14">
        <v>52109</v>
      </c>
      <c r="B369" s="10">
        <f>6.3747 * CHOOSE(CONTROL!$C$32, $C$9, 100%, $E$9)</f>
        <v>6.3746999999999998</v>
      </c>
      <c r="C369" s="10">
        <f>6.3747 * CHOOSE(CONTROL!$C$32, $C$9, 100%, $E$9)</f>
        <v>6.3746999999999998</v>
      </c>
      <c r="D369" s="10">
        <f>6.376 * CHOOSE(CONTROL!$C$32, $C$9, 100%, $E$9)</f>
        <v>6.3760000000000003</v>
      </c>
      <c r="E369" s="9">
        <f>6.0081 * CHOOSE(CONTROL!$C$32, $C$9, 100%, $E$9)</f>
        <v>6.0080999999999998</v>
      </c>
      <c r="F369" s="9">
        <f>6.0081 * CHOOSE(CONTROL!$C$32, $C$9, 100%, $E$9)</f>
        <v>6.0080999999999998</v>
      </c>
      <c r="G369" s="9">
        <f>6.0123 * CHOOSE(CONTROL!$C$32, $C$9, 100%, $E$9)</f>
        <v>6.0122999999999998</v>
      </c>
      <c r="H369" s="9">
        <f>7.8142 * CHOOSE(CONTROL!$C$32, $C$9, 100%, $E$9)</f>
        <v>7.8141999999999996</v>
      </c>
      <c r="I369" s="9">
        <f>7.8184 * CHOOSE(CONTROL!$C$32, $C$9, 100%, $E$9)</f>
        <v>7.8183999999999996</v>
      </c>
      <c r="J369" s="9">
        <f>7.8142 * CHOOSE(CONTROL!$C$32, $C$9, 100%, $E$9)</f>
        <v>7.8141999999999996</v>
      </c>
      <c r="K369" s="9">
        <f>7.8184 * CHOOSE(CONTROL!$C$32, $C$9, 100%, $E$9)</f>
        <v>7.8183999999999996</v>
      </c>
      <c r="L369" s="9">
        <f>6.0081 * CHOOSE(CONTROL!$C$32, $C$9, 100%, $E$9)</f>
        <v>6.0080999999999998</v>
      </c>
      <c r="M369" s="9">
        <f>6.0123 * CHOOSE(CONTROL!$C$32, $C$9, 100%, $E$9)</f>
        <v>6.0122999999999998</v>
      </c>
      <c r="N369" s="9">
        <f>6.0081 * CHOOSE(CONTROL!$C$32, $C$9, 100%, $E$9)</f>
        <v>6.0080999999999998</v>
      </c>
      <c r="O369" s="9">
        <f>6.0123 * CHOOSE(CONTROL!$C$32, $C$9, 100%, $E$9)</f>
        <v>6.0122999999999998</v>
      </c>
    </row>
    <row r="370" spans="1:15" ht="15.75" x14ac:dyDescent="0.25">
      <c r="A370" s="14">
        <v>52139</v>
      </c>
      <c r="B370" s="10">
        <f>6.3717 * CHOOSE(CONTROL!$C$32, $C$9, 100%, $E$9)</f>
        <v>6.3716999999999997</v>
      </c>
      <c r="C370" s="10">
        <f>6.3717 * CHOOSE(CONTROL!$C$32, $C$9, 100%, $E$9)</f>
        <v>6.3716999999999997</v>
      </c>
      <c r="D370" s="10">
        <f>6.3729 * CHOOSE(CONTROL!$C$32, $C$9, 100%, $E$9)</f>
        <v>6.3728999999999996</v>
      </c>
      <c r="E370" s="9">
        <f>5.9938 * CHOOSE(CONTROL!$C$32, $C$9, 100%, $E$9)</f>
        <v>5.9938000000000002</v>
      </c>
      <c r="F370" s="9">
        <f>5.9938 * CHOOSE(CONTROL!$C$32, $C$9, 100%, $E$9)</f>
        <v>5.9938000000000002</v>
      </c>
      <c r="G370" s="9">
        <f>5.998 * CHOOSE(CONTROL!$C$32, $C$9, 100%, $E$9)</f>
        <v>5.9980000000000002</v>
      </c>
      <c r="H370" s="9">
        <f>7.8122 * CHOOSE(CONTROL!$C$32, $C$9, 100%, $E$9)</f>
        <v>7.8121999999999998</v>
      </c>
      <c r="I370" s="9">
        <f>7.8164 * CHOOSE(CONTROL!$C$32, $C$9, 100%, $E$9)</f>
        <v>7.8163999999999998</v>
      </c>
      <c r="J370" s="9">
        <f>7.8122 * CHOOSE(CONTROL!$C$32, $C$9, 100%, $E$9)</f>
        <v>7.8121999999999998</v>
      </c>
      <c r="K370" s="9">
        <f>7.8164 * CHOOSE(CONTROL!$C$32, $C$9, 100%, $E$9)</f>
        <v>7.8163999999999998</v>
      </c>
      <c r="L370" s="9">
        <f>5.9938 * CHOOSE(CONTROL!$C$32, $C$9, 100%, $E$9)</f>
        <v>5.9938000000000002</v>
      </c>
      <c r="M370" s="9">
        <f>5.998 * CHOOSE(CONTROL!$C$32, $C$9, 100%, $E$9)</f>
        <v>5.9980000000000002</v>
      </c>
      <c r="N370" s="9">
        <f>5.9938 * CHOOSE(CONTROL!$C$32, $C$9, 100%, $E$9)</f>
        <v>5.9938000000000002</v>
      </c>
      <c r="O370" s="9">
        <f>5.998 * CHOOSE(CONTROL!$C$32, $C$9, 100%, $E$9)</f>
        <v>5.9980000000000002</v>
      </c>
    </row>
    <row r="371" spans="1:15" ht="15.75" x14ac:dyDescent="0.25">
      <c r="A371" s="14">
        <v>52170</v>
      </c>
      <c r="B371" s="10">
        <f>6.3764 * CHOOSE(CONTROL!$C$32, $C$9, 100%, $E$9)</f>
        <v>6.3764000000000003</v>
      </c>
      <c r="C371" s="10">
        <f>6.3764 * CHOOSE(CONTROL!$C$32, $C$9, 100%, $E$9)</f>
        <v>6.3764000000000003</v>
      </c>
      <c r="D371" s="10">
        <f>6.3773 * CHOOSE(CONTROL!$C$32, $C$9, 100%, $E$9)</f>
        <v>6.3773</v>
      </c>
      <c r="E371" s="9">
        <f>6.0289 * CHOOSE(CONTROL!$C$32, $C$9, 100%, $E$9)</f>
        <v>6.0289000000000001</v>
      </c>
      <c r="F371" s="9">
        <f>6.0289 * CHOOSE(CONTROL!$C$32, $C$9, 100%, $E$9)</f>
        <v>6.0289000000000001</v>
      </c>
      <c r="G371" s="9">
        <f>6.0322 * CHOOSE(CONTROL!$C$32, $C$9, 100%, $E$9)</f>
        <v>6.0321999999999996</v>
      </c>
      <c r="H371" s="9">
        <f>7.8144 * CHOOSE(CONTROL!$C$32, $C$9, 100%, $E$9)</f>
        <v>7.8144</v>
      </c>
      <c r="I371" s="9">
        <f>7.8176 * CHOOSE(CONTROL!$C$32, $C$9, 100%, $E$9)</f>
        <v>7.8175999999999997</v>
      </c>
      <c r="J371" s="9">
        <f>7.8144 * CHOOSE(CONTROL!$C$32, $C$9, 100%, $E$9)</f>
        <v>7.8144</v>
      </c>
      <c r="K371" s="9">
        <f>7.8176 * CHOOSE(CONTROL!$C$32, $C$9, 100%, $E$9)</f>
        <v>7.8175999999999997</v>
      </c>
      <c r="L371" s="9">
        <f>6.0289 * CHOOSE(CONTROL!$C$32, $C$9, 100%, $E$9)</f>
        <v>6.0289000000000001</v>
      </c>
      <c r="M371" s="9">
        <f>6.0322 * CHOOSE(CONTROL!$C$32, $C$9, 100%, $E$9)</f>
        <v>6.0321999999999996</v>
      </c>
      <c r="N371" s="9">
        <f>6.0289 * CHOOSE(CONTROL!$C$32, $C$9, 100%, $E$9)</f>
        <v>6.0289000000000001</v>
      </c>
      <c r="O371" s="9">
        <f>6.0322 * CHOOSE(CONTROL!$C$32, $C$9, 100%, $E$9)</f>
        <v>6.0321999999999996</v>
      </c>
    </row>
    <row r="372" spans="1:15" ht="15.75" x14ac:dyDescent="0.25">
      <c r="A372" s="14">
        <v>52200</v>
      </c>
      <c r="B372" s="10">
        <f>6.3794 * CHOOSE(CONTROL!$C$32, $C$9, 100%, $E$9)</f>
        <v>6.3794000000000004</v>
      </c>
      <c r="C372" s="10">
        <f>6.3794 * CHOOSE(CONTROL!$C$32, $C$9, 100%, $E$9)</f>
        <v>6.3794000000000004</v>
      </c>
      <c r="D372" s="10">
        <f>6.3804 * CHOOSE(CONTROL!$C$32, $C$9, 100%, $E$9)</f>
        <v>6.3803999999999998</v>
      </c>
      <c r="E372" s="9">
        <f>6.0553 * CHOOSE(CONTROL!$C$32, $C$9, 100%, $E$9)</f>
        <v>6.0552999999999999</v>
      </c>
      <c r="F372" s="9">
        <f>6.0553 * CHOOSE(CONTROL!$C$32, $C$9, 100%, $E$9)</f>
        <v>6.0552999999999999</v>
      </c>
      <c r="G372" s="9">
        <f>6.0585 * CHOOSE(CONTROL!$C$32, $C$9, 100%, $E$9)</f>
        <v>6.0585000000000004</v>
      </c>
      <c r="H372" s="9">
        <f>7.8164 * CHOOSE(CONTROL!$C$32, $C$9, 100%, $E$9)</f>
        <v>7.8163999999999998</v>
      </c>
      <c r="I372" s="9">
        <f>7.8196 * CHOOSE(CONTROL!$C$32, $C$9, 100%, $E$9)</f>
        <v>7.8196000000000003</v>
      </c>
      <c r="J372" s="9">
        <f>7.8164 * CHOOSE(CONTROL!$C$32, $C$9, 100%, $E$9)</f>
        <v>7.8163999999999998</v>
      </c>
      <c r="K372" s="9">
        <f>7.8196 * CHOOSE(CONTROL!$C$32, $C$9, 100%, $E$9)</f>
        <v>7.8196000000000003</v>
      </c>
      <c r="L372" s="9">
        <f>6.0553 * CHOOSE(CONTROL!$C$32, $C$9, 100%, $E$9)</f>
        <v>6.0552999999999999</v>
      </c>
      <c r="M372" s="9">
        <f>6.0585 * CHOOSE(CONTROL!$C$32, $C$9, 100%, $E$9)</f>
        <v>6.0585000000000004</v>
      </c>
      <c r="N372" s="9">
        <f>6.0553 * CHOOSE(CONTROL!$C$32, $C$9, 100%, $E$9)</f>
        <v>6.0552999999999999</v>
      </c>
      <c r="O372" s="9">
        <f>6.0585 * CHOOSE(CONTROL!$C$32, $C$9, 100%, $E$9)</f>
        <v>6.0585000000000004</v>
      </c>
    </row>
    <row r="373" spans="1:15" ht="15.75" x14ac:dyDescent="0.25">
      <c r="A373" s="14">
        <v>52231</v>
      </c>
      <c r="B373" s="10">
        <f>6.3794 * CHOOSE(CONTROL!$C$32, $C$9, 100%, $E$9)</f>
        <v>6.3794000000000004</v>
      </c>
      <c r="C373" s="10">
        <f>6.3794 * CHOOSE(CONTROL!$C$32, $C$9, 100%, $E$9)</f>
        <v>6.3794000000000004</v>
      </c>
      <c r="D373" s="10">
        <f>6.3804 * CHOOSE(CONTROL!$C$32, $C$9, 100%, $E$9)</f>
        <v>6.3803999999999998</v>
      </c>
      <c r="E373" s="9">
        <f>5.9947 * CHOOSE(CONTROL!$C$32, $C$9, 100%, $E$9)</f>
        <v>5.9946999999999999</v>
      </c>
      <c r="F373" s="9">
        <f>5.9947 * CHOOSE(CONTROL!$C$32, $C$9, 100%, $E$9)</f>
        <v>5.9946999999999999</v>
      </c>
      <c r="G373" s="9">
        <f>5.9979 * CHOOSE(CONTROL!$C$32, $C$9, 100%, $E$9)</f>
        <v>5.9978999999999996</v>
      </c>
      <c r="H373" s="9">
        <f>7.8164 * CHOOSE(CONTROL!$C$32, $C$9, 100%, $E$9)</f>
        <v>7.8163999999999998</v>
      </c>
      <c r="I373" s="9">
        <f>7.8196 * CHOOSE(CONTROL!$C$32, $C$9, 100%, $E$9)</f>
        <v>7.8196000000000003</v>
      </c>
      <c r="J373" s="9">
        <f>7.8164 * CHOOSE(CONTROL!$C$32, $C$9, 100%, $E$9)</f>
        <v>7.8163999999999998</v>
      </c>
      <c r="K373" s="9">
        <f>7.8196 * CHOOSE(CONTROL!$C$32, $C$9, 100%, $E$9)</f>
        <v>7.8196000000000003</v>
      </c>
      <c r="L373" s="9">
        <f>5.9947 * CHOOSE(CONTROL!$C$32, $C$9, 100%, $E$9)</f>
        <v>5.9946999999999999</v>
      </c>
      <c r="M373" s="9">
        <f>5.9979 * CHOOSE(CONTROL!$C$32, $C$9, 100%, $E$9)</f>
        <v>5.9978999999999996</v>
      </c>
      <c r="N373" s="9">
        <f>5.9947 * CHOOSE(CONTROL!$C$32, $C$9, 100%, $E$9)</f>
        <v>5.9946999999999999</v>
      </c>
      <c r="O373" s="9">
        <f>5.9979 * CHOOSE(CONTROL!$C$32, $C$9, 100%, $E$9)</f>
        <v>5.9978999999999996</v>
      </c>
    </row>
    <row r="374" spans="1:15" ht="15.75" x14ac:dyDescent="0.25">
      <c r="A374" s="14">
        <v>52262</v>
      </c>
      <c r="B374" s="10">
        <f>6.4334 * CHOOSE(CONTROL!$C$32, $C$9, 100%, $E$9)</f>
        <v>6.4333999999999998</v>
      </c>
      <c r="C374" s="10">
        <f>6.4334 * CHOOSE(CONTROL!$C$32, $C$9, 100%, $E$9)</f>
        <v>6.4333999999999998</v>
      </c>
      <c r="D374" s="10">
        <f>6.4343 * CHOOSE(CONTROL!$C$32, $C$9, 100%, $E$9)</f>
        <v>6.4343000000000004</v>
      </c>
      <c r="E374" s="9">
        <f>6.0794 * CHOOSE(CONTROL!$C$32, $C$9, 100%, $E$9)</f>
        <v>6.0793999999999997</v>
      </c>
      <c r="F374" s="9">
        <f>6.0794 * CHOOSE(CONTROL!$C$32, $C$9, 100%, $E$9)</f>
        <v>6.0793999999999997</v>
      </c>
      <c r="G374" s="9">
        <f>6.0826 * CHOOSE(CONTROL!$C$32, $C$9, 100%, $E$9)</f>
        <v>6.0826000000000002</v>
      </c>
      <c r="H374" s="9">
        <f>7.875 * CHOOSE(CONTROL!$C$32, $C$9, 100%, $E$9)</f>
        <v>7.875</v>
      </c>
      <c r="I374" s="9">
        <f>7.8783 * CHOOSE(CONTROL!$C$32, $C$9, 100%, $E$9)</f>
        <v>7.8783000000000003</v>
      </c>
      <c r="J374" s="9">
        <f>7.875 * CHOOSE(CONTROL!$C$32, $C$9, 100%, $E$9)</f>
        <v>7.875</v>
      </c>
      <c r="K374" s="9">
        <f>7.8783 * CHOOSE(CONTROL!$C$32, $C$9, 100%, $E$9)</f>
        <v>7.8783000000000003</v>
      </c>
      <c r="L374" s="9">
        <f>6.0794 * CHOOSE(CONTROL!$C$32, $C$9, 100%, $E$9)</f>
        <v>6.0793999999999997</v>
      </c>
      <c r="M374" s="9">
        <f>6.0826 * CHOOSE(CONTROL!$C$32, $C$9, 100%, $E$9)</f>
        <v>6.0826000000000002</v>
      </c>
      <c r="N374" s="9">
        <f>6.0794 * CHOOSE(CONTROL!$C$32, $C$9, 100%, $E$9)</f>
        <v>6.0793999999999997</v>
      </c>
      <c r="O374" s="9">
        <f>6.0826 * CHOOSE(CONTROL!$C$32, $C$9, 100%, $E$9)</f>
        <v>6.0826000000000002</v>
      </c>
    </row>
    <row r="375" spans="1:15" ht="15.75" x14ac:dyDescent="0.25">
      <c r="A375" s="14">
        <v>52290</v>
      </c>
      <c r="B375" s="10">
        <f>6.4303 * CHOOSE(CONTROL!$C$32, $C$9, 100%, $E$9)</f>
        <v>6.4302999999999999</v>
      </c>
      <c r="C375" s="10">
        <f>6.4303 * CHOOSE(CONTROL!$C$32, $C$9, 100%, $E$9)</f>
        <v>6.4302999999999999</v>
      </c>
      <c r="D375" s="10">
        <f>6.4313 * CHOOSE(CONTROL!$C$32, $C$9, 100%, $E$9)</f>
        <v>6.4313000000000002</v>
      </c>
      <c r="E375" s="9">
        <f>5.9592 * CHOOSE(CONTROL!$C$32, $C$9, 100%, $E$9)</f>
        <v>5.9592000000000001</v>
      </c>
      <c r="F375" s="9">
        <f>5.9592 * CHOOSE(CONTROL!$C$32, $C$9, 100%, $E$9)</f>
        <v>5.9592000000000001</v>
      </c>
      <c r="G375" s="9">
        <f>5.9624 * CHOOSE(CONTROL!$C$32, $C$9, 100%, $E$9)</f>
        <v>5.9623999999999997</v>
      </c>
      <c r="H375" s="9">
        <f>7.873 * CHOOSE(CONTROL!$C$32, $C$9, 100%, $E$9)</f>
        <v>7.8730000000000002</v>
      </c>
      <c r="I375" s="9">
        <f>7.8763 * CHOOSE(CONTROL!$C$32, $C$9, 100%, $E$9)</f>
        <v>7.8762999999999996</v>
      </c>
      <c r="J375" s="9">
        <f>7.873 * CHOOSE(CONTROL!$C$32, $C$9, 100%, $E$9)</f>
        <v>7.8730000000000002</v>
      </c>
      <c r="K375" s="9">
        <f>7.8763 * CHOOSE(CONTROL!$C$32, $C$9, 100%, $E$9)</f>
        <v>7.8762999999999996</v>
      </c>
      <c r="L375" s="9">
        <f>5.9592 * CHOOSE(CONTROL!$C$32, $C$9, 100%, $E$9)</f>
        <v>5.9592000000000001</v>
      </c>
      <c r="M375" s="9">
        <f>5.9624 * CHOOSE(CONTROL!$C$32, $C$9, 100%, $E$9)</f>
        <v>5.9623999999999997</v>
      </c>
      <c r="N375" s="9">
        <f>5.9592 * CHOOSE(CONTROL!$C$32, $C$9, 100%, $E$9)</f>
        <v>5.9592000000000001</v>
      </c>
      <c r="O375" s="9">
        <f>5.9624 * CHOOSE(CONTROL!$C$32, $C$9, 100%, $E$9)</f>
        <v>5.9623999999999997</v>
      </c>
    </row>
    <row r="376" spans="1:15" ht="15.75" x14ac:dyDescent="0.25">
      <c r="A376" s="14">
        <v>52321</v>
      </c>
      <c r="B376" s="10">
        <f>6.4273 * CHOOSE(CONTROL!$C$32, $C$9, 100%, $E$9)</f>
        <v>6.4272999999999998</v>
      </c>
      <c r="C376" s="10">
        <f>6.4273 * CHOOSE(CONTROL!$C$32, $C$9, 100%, $E$9)</f>
        <v>6.4272999999999998</v>
      </c>
      <c r="D376" s="10">
        <f>6.4282 * CHOOSE(CONTROL!$C$32, $C$9, 100%, $E$9)</f>
        <v>6.4282000000000004</v>
      </c>
      <c r="E376" s="9">
        <f>6.0501 * CHOOSE(CONTROL!$C$32, $C$9, 100%, $E$9)</f>
        <v>6.0500999999999996</v>
      </c>
      <c r="F376" s="9">
        <f>6.0501 * CHOOSE(CONTROL!$C$32, $C$9, 100%, $E$9)</f>
        <v>6.0500999999999996</v>
      </c>
      <c r="G376" s="9">
        <f>6.0534 * CHOOSE(CONTROL!$C$32, $C$9, 100%, $E$9)</f>
        <v>6.0533999999999999</v>
      </c>
      <c r="H376" s="9">
        <f>7.871 * CHOOSE(CONTROL!$C$32, $C$9, 100%, $E$9)</f>
        <v>7.8710000000000004</v>
      </c>
      <c r="I376" s="9">
        <f>7.8743 * CHOOSE(CONTROL!$C$32, $C$9, 100%, $E$9)</f>
        <v>7.8742999999999999</v>
      </c>
      <c r="J376" s="9">
        <f>7.871 * CHOOSE(CONTROL!$C$32, $C$9, 100%, $E$9)</f>
        <v>7.8710000000000004</v>
      </c>
      <c r="K376" s="9">
        <f>7.8743 * CHOOSE(CONTROL!$C$32, $C$9, 100%, $E$9)</f>
        <v>7.8742999999999999</v>
      </c>
      <c r="L376" s="9">
        <f>6.0501 * CHOOSE(CONTROL!$C$32, $C$9, 100%, $E$9)</f>
        <v>6.0500999999999996</v>
      </c>
      <c r="M376" s="9">
        <f>6.0534 * CHOOSE(CONTROL!$C$32, $C$9, 100%, $E$9)</f>
        <v>6.0533999999999999</v>
      </c>
      <c r="N376" s="9">
        <f>6.0501 * CHOOSE(CONTROL!$C$32, $C$9, 100%, $E$9)</f>
        <v>6.0500999999999996</v>
      </c>
      <c r="O376" s="9">
        <f>6.0534 * CHOOSE(CONTROL!$C$32, $C$9, 100%, $E$9)</f>
        <v>6.0533999999999999</v>
      </c>
    </row>
    <row r="377" spans="1:15" ht="15.75" x14ac:dyDescent="0.25">
      <c r="A377" s="14">
        <v>52351</v>
      </c>
      <c r="B377" s="10">
        <f>6.4275 * CHOOSE(CONTROL!$C$32, $C$9, 100%, $E$9)</f>
        <v>6.4275000000000002</v>
      </c>
      <c r="C377" s="10">
        <f>6.4275 * CHOOSE(CONTROL!$C$32, $C$9, 100%, $E$9)</f>
        <v>6.4275000000000002</v>
      </c>
      <c r="D377" s="10">
        <f>6.4284 * CHOOSE(CONTROL!$C$32, $C$9, 100%, $E$9)</f>
        <v>6.4283999999999999</v>
      </c>
      <c r="E377" s="9">
        <f>6.1458 * CHOOSE(CONTROL!$C$32, $C$9, 100%, $E$9)</f>
        <v>6.1458000000000004</v>
      </c>
      <c r="F377" s="9">
        <f>6.1458 * CHOOSE(CONTROL!$C$32, $C$9, 100%, $E$9)</f>
        <v>6.1458000000000004</v>
      </c>
      <c r="G377" s="9">
        <f>6.1491 * CHOOSE(CONTROL!$C$32, $C$9, 100%, $E$9)</f>
        <v>6.1490999999999998</v>
      </c>
      <c r="H377" s="9">
        <f>7.8709 * CHOOSE(CONTROL!$C$32, $C$9, 100%, $E$9)</f>
        <v>7.8708999999999998</v>
      </c>
      <c r="I377" s="9">
        <f>7.8742 * CHOOSE(CONTROL!$C$32, $C$9, 100%, $E$9)</f>
        <v>7.8742000000000001</v>
      </c>
      <c r="J377" s="9">
        <f>7.8709 * CHOOSE(CONTROL!$C$32, $C$9, 100%, $E$9)</f>
        <v>7.8708999999999998</v>
      </c>
      <c r="K377" s="9">
        <f>7.8742 * CHOOSE(CONTROL!$C$32, $C$9, 100%, $E$9)</f>
        <v>7.8742000000000001</v>
      </c>
      <c r="L377" s="9">
        <f>6.1458 * CHOOSE(CONTROL!$C$32, $C$9, 100%, $E$9)</f>
        <v>6.1458000000000004</v>
      </c>
      <c r="M377" s="9">
        <f>6.1491 * CHOOSE(CONTROL!$C$32, $C$9, 100%, $E$9)</f>
        <v>6.1490999999999998</v>
      </c>
      <c r="N377" s="9">
        <f>6.1458 * CHOOSE(CONTROL!$C$32, $C$9, 100%, $E$9)</f>
        <v>6.1458000000000004</v>
      </c>
      <c r="O377" s="9">
        <f>6.1491 * CHOOSE(CONTROL!$C$32, $C$9, 100%, $E$9)</f>
        <v>6.1490999999999998</v>
      </c>
    </row>
    <row r="378" spans="1:15" ht="15.75" x14ac:dyDescent="0.25">
      <c r="A378" s="14">
        <v>52382</v>
      </c>
      <c r="B378" s="10">
        <f>6.4275 * CHOOSE(CONTROL!$C$32, $C$9, 100%, $E$9)</f>
        <v>6.4275000000000002</v>
      </c>
      <c r="C378" s="10">
        <f>6.4275 * CHOOSE(CONTROL!$C$32, $C$9, 100%, $E$9)</f>
        <v>6.4275000000000002</v>
      </c>
      <c r="D378" s="10">
        <f>6.4287 * CHOOSE(CONTROL!$C$32, $C$9, 100%, $E$9)</f>
        <v>6.4287000000000001</v>
      </c>
      <c r="E378" s="9">
        <f>6.1833 * CHOOSE(CONTROL!$C$32, $C$9, 100%, $E$9)</f>
        <v>6.1833</v>
      </c>
      <c r="F378" s="9">
        <f>6.1833 * CHOOSE(CONTROL!$C$32, $C$9, 100%, $E$9)</f>
        <v>6.1833</v>
      </c>
      <c r="G378" s="9">
        <f>6.1875 * CHOOSE(CONTROL!$C$32, $C$9, 100%, $E$9)</f>
        <v>6.1875</v>
      </c>
      <c r="H378" s="9">
        <f>7.8709 * CHOOSE(CONTROL!$C$32, $C$9, 100%, $E$9)</f>
        <v>7.8708999999999998</v>
      </c>
      <c r="I378" s="9">
        <f>7.8751 * CHOOSE(CONTROL!$C$32, $C$9, 100%, $E$9)</f>
        <v>7.8750999999999998</v>
      </c>
      <c r="J378" s="9">
        <f>7.8709 * CHOOSE(CONTROL!$C$32, $C$9, 100%, $E$9)</f>
        <v>7.8708999999999998</v>
      </c>
      <c r="K378" s="9">
        <f>7.8751 * CHOOSE(CONTROL!$C$32, $C$9, 100%, $E$9)</f>
        <v>7.8750999999999998</v>
      </c>
      <c r="L378" s="9">
        <f>6.1833 * CHOOSE(CONTROL!$C$32, $C$9, 100%, $E$9)</f>
        <v>6.1833</v>
      </c>
      <c r="M378" s="9">
        <f>6.1875 * CHOOSE(CONTROL!$C$32, $C$9, 100%, $E$9)</f>
        <v>6.1875</v>
      </c>
      <c r="N378" s="9">
        <f>6.1833 * CHOOSE(CONTROL!$C$32, $C$9, 100%, $E$9)</f>
        <v>6.1833</v>
      </c>
      <c r="O378" s="9">
        <f>6.1875 * CHOOSE(CONTROL!$C$32, $C$9, 100%, $E$9)</f>
        <v>6.1875</v>
      </c>
    </row>
    <row r="379" spans="1:15" ht="15.75" x14ac:dyDescent="0.25">
      <c r="A379" s="14">
        <v>52412</v>
      </c>
      <c r="B379" s="10">
        <f>6.4336 * CHOOSE(CONTROL!$C$32, $C$9, 100%, $E$9)</f>
        <v>6.4336000000000002</v>
      </c>
      <c r="C379" s="10">
        <f>6.4336 * CHOOSE(CONTROL!$C$32, $C$9, 100%, $E$9)</f>
        <v>6.4336000000000002</v>
      </c>
      <c r="D379" s="10">
        <f>6.4348 * CHOOSE(CONTROL!$C$32, $C$9, 100%, $E$9)</f>
        <v>6.4348000000000001</v>
      </c>
      <c r="E379" s="9">
        <f>6.1501 * CHOOSE(CONTROL!$C$32, $C$9, 100%, $E$9)</f>
        <v>6.1501000000000001</v>
      </c>
      <c r="F379" s="9">
        <f>6.1501 * CHOOSE(CONTROL!$C$32, $C$9, 100%, $E$9)</f>
        <v>6.1501000000000001</v>
      </c>
      <c r="G379" s="9">
        <f>6.1543 * CHOOSE(CONTROL!$C$32, $C$9, 100%, $E$9)</f>
        <v>6.1543000000000001</v>
      </c>
      <c r="H379" s="9">
        <f>7.8749 * CHOOSE(CONTROL!$C$32, $C$9, 100%, $E$9)</f>
        <v>7.8749000000000002</v>
      </c>
      <c r="I379" s="9">
        <f>7.8791 * CHOOSE(CONTROL!$C$32, $C$9, 100%, $E$9)</f>
        <v>7.8791000000000002</v>
      </c>
      <c r="J379" s="9">
        <f>7.8749 * CHOOSE(CONTROL!$C$32, $C$9, 100%, $E$9)</f>
        <v>7.8749000000000002</v>
      </c>
      <c r="K379" s="9">
        <f>7.8791 * CHOOSE(CONTROL!$C$32, $C$9, 100%, $E$9)</f>
        <v>7.8791000000000002</v>
      </c>
      <c r="L379" s="9">
        <f>6.1501 * CHOOSE(CONTROL!$C$32, $C$9, 100%, $E$9)</f>
        <v>6.1501000000000001</v>
      </c>
      <c r="M379" s="9">
        <f>6.1543 * CHOOSE(CONTROL!$C$32, $C$9, 100%, $E$9)</f>
        <v>6.1543000000000001</v>
      </c>
      <c r="N379" s="9">
        <f>6.1501 * CHOOSE(CONTROL!$C$32, $C$9, 100%, $E$9)</f>
        <v>6.1501000000000001</v>
      </c>
      <c r="O379" s="9">
        <f>6.1543 * CHOOSE(CONTROL!$C$32, $C$9, 100%, $E$9)</f>
        <v>6.1543000000000001</v>
      </c>
    </row>
    <row r="380" spans="1:15" ht="15.75" x14ac:dyDescent="0.25">
      <c r="A380" s="14">
        <v>52443</v>
      </c>
      <c r="B380" s="10">
        <f>6.5288 * CHOOSE(CONTROL!$C$32, $C$9, 100%, $E$9)</f>
        <v>6.5288000000000004</v>
      </c>
      <c r="C380" s="10">
        <f>6.5288 * CHOOSE(CONTROL!$C$32, $C$9, 100%, $E$9)</f>
        <v>6.5288000000000004</v>
      </c>
      <c r="D380" s="10">
        <f>6.5301 * CHOOSE(CONTROL!$C$32, $C$9, 100%, $E$9)</f>
        <v>6.5301</v>
      </c>
      <c r="E380" s="9">
        <f>6.2238 * CHOOSE(CONTROL!$C$32, $C$9, 100%, $E$9)</f>
        <v>6.2237999999999998</v>
      </c>
      <c r="F380" s="9">
        <f>6.2238 * CHOOSE(CONTROL!$C$32, $C$9, 100%, $E$9)</f>
        <v>6.2237999999999998</v>
      </c>
      <c r="G380" s="9">
        <f>6.228 * CHOOSE(CONTROL!$C$32, $C$9, 100%, $E$9)</f>
        <v>6.2279999999999998</v>
      </c>
      <c r="H380" s="9">
        <f>7.9957 * CHOOSE(CONTROL!$C$32, $C$9, 100%, $E$9)</f>
        <v>7.9957000000000003</v>
      </c>
      <c r="I380" s="9">
        <f>7.9999 * CHOOSE(CONTROL!$C$32, $C$9, 100%, $E$9)</f>
        <v>7.9999000000000002</v>
      </c>
      <c r="J380" s="9">
        <f>7.9957 * CHOOSE(CONTROL!$C$32, $C$9, 100%, $E$9)</f>
        <v>7.9957000000000003</v>
      </c>
      <c r="K380" s="9">
        <f>7.9999 * CHOOSE(CONTROL!$C$32, $C$9, 100%, $E$9)</f>
        <v>7.9999000000000002</v>
      </c>
      <c r="L380" s="9">
        <f>6.2238 * CHOOSE(CONTROL!$C$32, $C$9, 100%, $E$9)</f>
        <v>6.2237999999999998</v>
      </c>
      <c r="M380" s="9">
        <f>6.228 * CHOOSE(CONTROL!$C$32, $C$9, 100%, $E$9)</f>
        <v>6.2279999999999998</v>
      </c>
      <c r="N380" s="9">
        <f>6.2238 * CHOOSE(CONTROL!$C$32, $C$9, 100%, $E$9)</f>
        <v>6.2237999999999998</v>
      </c>
      <c r="O380" s="9">
        <f>6.228 * CHOOSE(CONTROL!$C$32, $C$9, 100%, $E$9)</f>
        <v>6.2279999999999998</v>
      </c>
    </row>
    <row r="381" spans="1:15" ht="15.75" x14ac:dyDescent="0.25">
      <c r="A381" s="14">
        <v>52474</v>
      </c>
      <c r="B381" s="10">
        <f>6.5355 * CHOOSE(CONTROL!$C$32, $C$9, 100%, $E$9)</f>
        <v>6.5354999999999999</v>
      </c>
      <c r="C381" s="10">
        <f>6.5355 * CHOOSE(CONTROL!$C$32, $C$9, 100%, $E$9)</f>
        <v>6.5354999999999999</v>
      </c>
      <c r="D381" s="10">
        <f>6.5368 * CHOOSE(CONTROL!$C$32, $C$9, 100%, $E$9)</f>
        <v>6.5368000000000004</v>
      </c>
      <c r="E381" s="9">
        <f>6.116 * CHOOSE(CONTROL!$C$32, $C$9, 100%, $E$9)</f>
        <v>6.1159999999999997</v>
      </c>
      <c r="F381" s="9">
        <f>6.116 * CHOOSE(CONTROL!$C$32, $C$9, 100%, $E$9)</f>
        <v>6.1159999999999997</v>
      </c>
      <c r="G381" s="9">
        <f>6.1202 * CHOOSE(CONTROL!$C$32, $C$9, 100%, $E$9)</f>
        <v>6.1201999999999996</v>
      </c>
      <c r="H381" s="9">
        <f>8.0001 * CHOOSE(CONTROL!$C$32, $C$9, 100%, $E$9)</f>
        <v>8.0000999999999998</v>
      </c>
      <c r="I381" s="9">
        <f>8.0043 * CHOOSE(CONTROL!$C$32, $C$9, 100%, $E$9)</f>
        <v>8.0043000000000006</v>
      </c>
      <c r="J381" s="9">
        <f>8.0001 * CHOOSE(CONTROL!$C$32, $C$9, 100%, $E$9)</f>
        <v>8.0000999999999998</v>
      </c>
      <c r="K381" s="9">
        <f>8.0043 * CHOOSE(CONTROL!$C$32, $C$9, 100%, $E$9)</f>
        <v>8.0043000000000006</v>
      </c>
      <c r="L381" s="9">
        <f>6.116 * CHOOSE(CONTROL!$C$32, $C$9, 100%, $E$9)</f>
        <v>6.1159999999999997</v>
      </c>
      <c r="M381" s="9">
        <f>6.1202 * CHOOSE(CONTROL!$C$32, $C$9, 100%, $E$9)</f>
        <v>6.1201999999999996</v>
      </c>
      <c r="N381" s="9">
        <f>6.116 * CHOOSE(CONTROL!$C$32, $C$9, 100%, $E$9)</f>
        <v>6.1159999999999997</v>
      </c>
      <c r="O381" s="9">
        <f>6.1202 * CHOOSE(CONTROL!$C$32, $C$9, 100%, $E$9)</f>
        <v>6.1201999999999996</v>
      </c>
    </row>
    <row r="382" spans="1:15" ht="15.75" x14ac:dyDescent="0.25">
      <c r="A382" s="14">
        <v>52504</v>
      </c>
      <c r="B382" s="10">
        <f>6.5325 * CHOOSE(CONTROL!$C$32, $C$9, 100%, $E$9)</f>
        <v>6.5324999999999998</v>
      </c>
      <c r="C382" s="10">
        <f>6.5325 * CHOOSE(CONTROL!$C$32, $C$9, 100%, $E$9)</f>
        <v>6.5324999999999998</v>
      </c>
      <c r="D382" s="10">
        <f>6.5337 * CHOOSE(CONTROL!$C$32, $C$9, 100%, $E$9)</f>
        <v>6.5336999999999996</v>
      </c>
      <c r="E382" s="9">
        <f>6.1014 * CHOOSE(CONTROL!$C$32, $C$9, 100%, $E$9)</f>
        <v>6.1013999999999999</v>
      </c>
      <c r="F382" s="9">
        <f>6.1014 * CHOOSE(CONTROL!$C$32, $C$9, 100%, $E$9)</f>
        <v>6.1013999999999999</v>
      </c>
      <c r="G382" s="9">
        <f>6.1056 * CHOOSE(CONTROL!$C$32, $C$9, 100%, $E$9)</f>
        <v>6.1055999999999999</v>
      </c>
      <c r="H382" s="9">
        <f>7.9981 * CHOOSE(CONTROL!$C$32, $C$9, 100%, $E$9)</f>
        <v>7.9981</v>
      </c>
      <c r="I382" s="9">
        <f>8.0023 * CHOOSE(CONTROL!$C$32, $C$9, 100%, $E$9)</f>
        <v>8.0023</v>
      </c>
      <c r="J382" s="9">
        <f>7.9981 * CHOOSE(CONTROL!$C$32, $C$9, 100%, $E$9)</f>
        <v>7.9981</v>
      </c>
      <c r="K382" s="9">
        <f>8.0023 * CHOOSE(CONTROL!$C$32, $C$9, 100%, $E$9)</f>
        <v>8.0023</v>
      </c>
      <c r="L382" s="9">
        <f>6.1014 * CHOOSE(CONTROL!$C$32, $C$9, 100%, $E$9)</f>
        <v>6.1013999999999999</v>
      </c>
      <c r="M382" s="9">
        <f>6.1056 * CHOOSE(CONTROL!$C$32, $C$9, 100%, $E$9)</f>
        <v>6.1055999999999999</v>
      </c>
      <c r="N382" s="9">
        <f>6.1014 * CHOOSE(CONTROL!$C$32, $C$9, 100%, $E$9)</f>
        <v>6.1013999999999999</v>
      </c>
      <c r="O382" s="9">
        <f>6.1056 * CHOOSE(CONTROL!$C$32, $C$9, 100%, $E$9)</f>
        <v>6.1055999999999999</v>
      </c>
    </row>
    <row r="383" spans="1:15" ht="15.75" x14ac:dyDescent="0.25">
      <c r="A383" s="14">
        <v>52535</v>
      </c>
      <c r="B383" s="10">
        <f>6.5378 * CHOOSE(CONTROL!$C$32, $C$9, 100%, $E$9)</f>
        <v>6.5377999999999998</v>
      </c>
      <c r="C383" s="10">
        <f>6.5378 * CHOOSE(CONTROL!$C$32, $C$9, 100%, $E$9)</f>
        <v>6.5377999999999998</v>
      </c>
      <c r="D383" s="10">
        <f>6.5387 * CHOOSE(CONTROL!$C$32, $C$9, 100%, $E$9)</f>
        <v>6.5387000000000004</v>
      </c>
      <c r="E383" s="9">
        <f>6.1379 * CHOOSE(CONTROL!$C$32, $C$9, 100%, $E$9)</f>
        <v>6.1379000000000001</v>
      </c>
      <c r="F383" s="9">
        <f>6.1379 * CHOOSE(CONTROL!$C$32, $C$9, 100%, $E$9)</f>
        <v>6.1379000000000001</v>
      </c>
      <c r="G383" s="9">
        <f>6.1411 * CHOOSE(CONTROL!$C$32, $C$9, 100%, $E$9)</f>
        <v>6.1410999999999998</v>
      </c>
      <c r="H383" s="9">
        <f>8.0006 * CHOOSE(CONTROL!$C$32, $C$9, 100%, $E$9)</f>
        <v>8.0006000000000004</v>
      </c>
      <c r="I383" s="9">
        <f>8.0039 * CHOOSE(CONTROL!$C$32, $C$9, 100%, $E$9)</f>
        <v>8.0038999999999998</v>
      </c>
      <c r="J383" s="9">
        <f>8.0006 * CHOOSE(CONTROL!$C$32, $C$9, 100%, $E$9)</f>
        <v>8.0006000000000004</v>
      </c>
      <c r="K383" s="9">
        <f>8.0039 * CHOOSE(CONTROL!$C$32, $C$9, 100%, $E$9)</f>
        <v>8.0038999999999998</v>
      </c>
      <c r="L383" s="9">
        <f>6.1379 * CHOOSE(CONTROL!$C$32, $C$9, 100%, $E$9)</f>
        <v>6.1379000000000001</v>
      </c>
      <c r="M383" s="9">
        <f>6.1411 * CHOOSE(CONTROL!$C$32, $C$9, 100%, $E$9)</f>
        <v>6.1410999999999998</v>
      </c>
      <c r="N383" s="9">
        <f>6.1379 * CHOOSE(CONTROL!$C$32, $C$9, 100%, $E$9)</f>
        <v>6.1379000000000001</v>
      </c>
      <c r="O383" s="9">
        <f>6.1411 * CHOOSE(CONTROL!$C$32, $C$9, 100%, $E$9)</f>
        <v>6.1410999999999998</v>
      </c>
    </row>
    <row r="384" spans="1:15" ht="15.75" x14ac:dyDescent="0.25">
      <c r="A384" s="14">
        <v>52565</v>
      </c>
      <c r="B384" s="10">
        <f>6.5408 * CHOOSE(CONTROL!$C$32, $C$9, 100%, $E$9)</f>
        <v>6.5407999999999999</v>
      </c>
      <c r="C384" s="10">
        <f>6.5408 * CHOOSE(CONTROL!$C$32, $C$9, 100%, $E$9)</f>
        <v>6.5407999999999999</v>
      </c>
      <c r="D384" s="10">
        <f>6.5417 * CHOOSE(CONTROL!$C$32, $C$9, 100%, $E$9)</f>
        <v>6.5416999999999996</v>
      </c>
      <c r="E384" s="9">
        <f>6.165 * CHOOSE(CONTROL!$C$32, $C$9, 100%, $E$9)</f>
        <v>6.165</v>
      </c>
      <c r="F384" s="9">
        <f>6.165 * CHOOSE(CONTROL!$C$32, $C$9, 100%, $E$9)</f>
        <v>6.165</v>
      </c>
      <c r="G384" s="9">
        <f>6.1682 * CHOOSE(CONTROL!$C$32, $C$9, 100%, $E$9)</f>
        <v>6.1681999999999997</v>
      </c>
      <c r="H384" s="9">
        <f>8.0026 * CHOOSE(CONTROL!$C$32, $C$9, 100%, $E$9)</f>
        <v>8.0025999999999993</v>
      </c>
      <c r="I384" s="9">
        <f>8.0059 * CHOOSE(CONTROL!$C$32, $C$9, 100%, $E$9)</f>
        <v>8.0059000000000005</v>
      </c>
      <c r="J384" s="9">
        <f>8.0026 * CHOOSE(CONTROL!$C$32, $C$9, 100%, $E$9)</f>
        <v>8.0025999999999993</v>
      </c>
      <c r="K384" s="9">
        <f>8.0059 * CHOOSE(CONTROL!$C$32, $C$9, 100%, $E$9)</f>
        <v>8.0059000000000005</v>
      </c>
      <c r="L384" s="9">
        <f>6.165 * CHOOSE(CONTROL!$C$32, $C$9, 100%, $E$9)</f>
        <v>6.165</v>
      </c>
      <c r="M384" s="9">
        <f>6.1682 * CHOOSE(CONTROL!$C$32, $C$9, 100%, $E$9)</f>
        <v>6.1681999999999997</v>
      </c>
      <c r="N384" s="9">
        <f>6.165 * CHOOSE(CONTROL!$C$32, $C$9, 100%, $E$9)</f>
        <v>6.165</v>
      </c>
      <c r="O384" s="9">
        <f>6.1682 * CHOOSE(CONTROL!$C$32, $C$9, 100%, $E$9)</f>
        <v>6.1681999999999997</v>
      </c>
    </row>
    <row r="385" spans="1:15" ht="15.75" x14ac:dyDescent="0.25">
      <c r="A385" s="14">
        <v>52596</v>
      </c>
      <c r="B385" s="10">
        <f>6.5408 * CHOOSE(CONTROL!$C$32, $C$9, 100%, $E$9)</f>
        <v>6.5407999999999999</v>
      </c>
      <c r="C385" s="10">
        <f>6.5408 * CHOOSE(CONTROL!$C$32, $C$9, 100%, $E$9)</f>
        <v>6.5407999999999999</v>
      </c>
      <c r="D385" s="10">
        <f>6.5417 * CHOOSE(CONTROL!$C$32, $C$9, 100%, $E$9)</f>
        <v>6.5416999999999996</v>
      </c>
      <c r="E385" s="9">
        <f>6.1025 * CHOOSE(CONTROL!$C$32, $C$9, 100%, $E$9)</f>
        <v>6.1025</v>
      </c>
      <c r="F385" s="9">
        <f>6.1025 * CHOOSE(CONTROL!$C$32, $C$9, 100%, $E$9)</f>
        <v>6.1025</v>
      </c>
      <c r="G385" s="9">
        <f>6.1058 * CHOOSE(CONTROL!$C$32, $C$9, 100%, $E$9)</f>
        <v>6.1058000000000003</v>
      </c>
      <c r="H385" s="9">
        <f>8.0026 * CHOOSE(CONTROL!$C$32, $C$9, 100%, $E$9)</f>
        <v>8.0025999999999993</v>
      </c>
      <c r="I385" s="9">
        <f>8.0059 * CHOOSE(CONTROL!$C$32, $C$9, 100%, $E$9)</f>
        <v>8.0059000000000005</v>
      </c>
      <c r="J385" s="9">
        <f>8.0026 * CHOOSE(CONTROL!$C$32, $C$9, 100%, $E$9)</f>
        <v>8.0025999999999993</v>
      </c>
      <c r="K385" s="9">
        <f>8.0059 * CHOOSE(CONTROL!$C$32, $C$9, 100%, $E$9)</f>
        <v>8.0059000000000005</v>
      </c>
      <c r="L385" s="9">
        <f>6.1025 * CHOOSE(CONTROL!$C$32, $C$9, 100%, $E$9)</f>
        <v>6.1025</v>
      </c>
      <c r="M385" s="9">
        <f>6.1058 * CHOOSE(CONTROL!$C$32, $C$9, 100%, $E$9)</f>
        <v>6.1058000000000003</v>
      </c>
      <c r="N385" s="9">
        <f>6.1025 * CHOOSE(CONTROL!$C$32, $C$9, 100%, $E$9)</f>
        <v>6.1025</v>
      </c>
      <c r="O385" s="9">
        <f>6.1058 * CHOOSE(CONTROL!$C$32, $C$9, 100%, $E$9)</f>
        <v>6.1058000000000003</v>
      </c>
    </row>
    <row r="386" spans="1:15" ht="15.75" x14ac:dyDescent="0.25">
      <c r="A386" s="14">
        <v>52627</v>
      </c>
      <c r="B386" s="10">
        <f>6.596 * CHOOSE(CONTROL!$C$32, $C$9, 100%, $E$9)</f>
        <v>6.5960000000000001</v>
      </c>
      <c r="C386" s="10">
        <f>6.596 * CHOOSE(CONTROL!$C$32, $C$9, 100%, $E$9)</f>
        <v>6.5960000000000001</v>
      </c>
      <c r="D386" s="10">
        <f>6.5969 * CHOOSE(CONTROL!$C$32, $C$9, 100%, $E$9)</f>
        <v>6.5968999999999998</v>
      </c>
      <c r="E386" s="9">
        <f>6.1895 * CHOOSE(CONTROL!$C$32, $C$9, 100%, $E$9)</f>
        <v>6.1894999999999998</v>
      </c>
      <c r="F386" s="9">
        <f>6.1895 * CHOOSE(CONTROL!$C$32, $C$9, 100%, $E$9)</f>
        <v>6.1894999999999998</v>
      </c>
      <c r="G386" s="9">
        <f>6.1927 * CHOOSE(CONTROL!$C$32, $C$9, 100%, $E$9)</f>
        <v>6.1927000000000003</v>
      </c>
      <c r="H386" s="9">
        <f>8.0626 * CHOOSE(CONTROL!$C$32, $C$9, 100%, $E$9)</f>
        <v>8.0625999999999998</v>
      </c>
      <c r="I386" s="9">
        <f>8.0659 * CHOOSE(CONTROL!$C$32, $C$9, 100%, $E$9)</f>
        <v>8.0658999999999992</v>
      </c>
      <c r="J386" s="9">
        <f>8.0626 * CHOOSE(CONTROL!$C$32, $C$9, 100%, $E$9)</f>
        <v>8.0625999999999998</v>
      </c>
      <c r="K386" s="9">
        <f>8.0659 * CHOOSE(CONTROL!$C$32, $C$9, 100%, $E$9)</f>
        <v>8.0658999999999992</v>
      </c>
      <c r="L386" s="9">
        <f>6.1895 * CHOOSE(CONTROL!$C$32, $C$9, 100%, $E$9)</f>
        <v>6.1894999999999998</v>
      </c>
      <c r="M386" s="9">
        <f>6.1927 * CHOOSE(CONTROL!$C$32, $C$9, 100%, $E$9)</f>
        <v>6.1927000000000003</v>
      </c>
      <c r="N386" s="9">
        <f>6.1895 * CHOOSE(CONTROL!$C$32, $C$9, 100%, $E$9)</f>
        <v>6.1894999999999998</v>
      </c>
      <c r="O386" s="9">
        <f>6.1927 * CHOOSE(CONTROL!$C$32, $C$9, 100%, $E$9)</f>
        <v>6.1927000000000003</v>
      </c>
    </row>
    <row r="387" spans="1:15" ht="15.75" x14ac:dyDescent="0.25">
      <c r="A387" s="14">
        <v>52655</v>
      </c>
      <c r="B387" s="10">
        <f>6.5929 * CHOOSE(CONTROL!$C$32, $C$9, 100%, $E$9)</f>
        <v>6.5929000000000002</v>
      </c>
      <c r="C387" s="10">
        <f>6.5929 * CHOOSE(CONTROL!$C$32, $C$9, 100%, $E$9)</f>
        <v>6.5929000000000002</v>
      </c>
      <c r="D387" s="10">
        <f>6.5939 * CHOOSE(CONTROL!$C$32, $C$9, 100%, $E$9)</f>
        <v>6.5938999999999997</v>
      </c>
      <c r="E387" s="9">
        <f>6.0657 * CHOOSE(CONTROL!$C$32, $C$9, 100%, $E$9)</f>
        <v>6.0656999999999996</v>
      </c>
      <c r="F387" s="9">
        <f>6.0657 * CHOOSE(CONTROL!$C$32, $C$9, 100%, $E$9)</f>
        <v>6.0656999999999996</v>
      </c>
      <c r="G387" s="9">
        <f>6.069 * CHOOSE(CONTROL!$C$32, $C$9, 100%, $E$9)</f>
        <v>6.069</v>
      </c>
      <c r="H387" s="9">
        <f>8.0606 * CHOOSE(CONTROL!$C$32, $C$9, 100%, $E$9)</f>
        <v>8.0606000000000009</v>
      </c>
      <c r="I387" s="9">
        <f>8.0639 * CHOOSE(CONTROL!$C$32, $C$9, 100%, $E$9)</f>
        <v>8.0639000000000003</v>
      </c>
      <c r="J387" s="9">
        <f>8.0606 * CHOOSE(CONTROL!$C$32, $C$9, 100%, $E$9)</f>
        <v>8.0606000000000009</v>
      </c>
      <c r="K387" s="9">
        <f>8.0639 * CHOOSE(CONTROL!$C$32, $C$9, 100%, $E$9)</f>
        <v>8.0639000000000003</v>
      </c>
      <c r="L387" s="9">
        <f>6.0657 * CHOOSE(CONTROL!$C$32, $C$9, 100%, $E$9)</f>
        <v>6.0656999999999996</v>
      </c>
      <c r="M387" s="9">
        <f>6.069 * CHOOSE(CONTROL!$C$32, $C$9, 100%, $E$9)</f>
        <v>6.069</v>
      </c>
      <c r="N387" s="9">
        <f>6.0657 * CHOOSE(CONTROL!$C$32, $C$9, 100%, $E$9)</f>
        <v>6.0656999999999996</v>
      </c>
      <c r="O387" s="9">
        <f>6.069 * CHOOSE(CONTROL!$C$32, $C$9, 100%, $E$9)</f>
        <v>6.069</v>
      </c>
    </row>
    <row r="388" spans="1:15" ht="15.75" x14ac:dyDescent="0.25">
      <c r="A388" s="14">
        <v>52687</v>
      </c>
      <c r="B388" s="10">
        <f>6.5899 * CHOOSE(CONTROL!$C$32, $C$9, 100%, $E$9)</f>
        <v>6.5899000000000001</v>
      </c>
      <c r="C388" s="10">
        <f>6.5899 * CHOOSE(CONTROL!$C$32, $C$9, 100%, $E$9)</f>
        <v>6.5899000000000001</v>
      </c>
      <c r="D388" s="10">
        <f>6.5909 * CHOOSE(CONTROL!$C$32, $C$9, 100%, $E$9)</f>
        <v>6.5909000000000004</v>
      </c>
      <c r="E388" s="9">
        <f>6.1595 * CHOOSE(CONTROL!$C$32, $C$9, 100%, $E$9)</f>
        <v>6.1595000000000004</v>
      </c>
      <c r="F388" s="9">
        <f>6.1595 * CHOOSE(CONTROL!$C$32, $C$9, 100%, $E$9)</f>
        <v>6.1595000000000004</v>
      </c>
      <c r="G388" s="9">
        <f>6.1627 * CHOOSE(CONTROL!$C$32, $C$9, 100%, $E$9)</f>
        <v>6.1627000000000001</v>
      </c>
      <c r="H388" s="9">
        <f>8.0586 * CHOOSE(CONTROL!$C$32, $C$9, 100%, $E$9)</f>
        <v>8.0586000000000002</v>
      </c>
      <c r="I388" s="9">
        <f>8.0619 * CHOOSE(CONTROL!$C$32, $C$9, 100%, $E$9)</f>
        <v>8.0618999999999996</v>
      </c>
      <c r="J388" s="9">
        <f>8.0586 * CHOOSE(CONTROL!$C$32, $C$9, 100%, $E$9)</f>
        <v>8.0586000000000002</v>
      </c>
      <c r="K388" s="9">
        <f>8.0619 * CHOOSE(CONTROL!$C$32, $C$9, 100%, $E$9)</f>
        <v>8.0618999999999996</v>
      </c>
      <c r="L388" s="9">
        <f>6.1595 * CHOOSE(CONTROL!$C$32, $C$9, 100%, $E$9)</f>
        <v>6.1595000000000004</v>
      </c>
      <c r="M388" s="9">
        <f>6.1627 * CHOOSE(CONTROL!$C$32, $C$9, 100%, $E$9)</f>
        <v>6.1627000000000001</v>
      </c>
      <c r="N388" s="9">
        <f>6.1595 * CHOOSE(CONTROL!$C$32, $C$9, 100%, $E$9)</f>
        <v>6.1595000000000004</v>
      </c>
      <c r="O388" s="9">
        <f>6.1627 * CHOOSE(CONTROL!$C$32, $C$9, 100%, $E$9)</f>
        <v>6.1627000000000001</v>
      </c>
    </row>
    <row r="389" spans="1:15" ht="15.75" x14ac:dyDescent="0.25">
      <c r="A389" s="14">
        <v>52717</v>
      </c>
      <c r="B389" s="10">
        <f>6.5903 * CHOOSE(CONTROL!$C$32, $C$9, 100%, $E$9)</f>
        <v>6.5903</v>
      </c>
      <c r="C389" s="10">
        <f>6.5903 * CHOOSE(CONTROL!$C$32, $C$9, 100%, $E$9)</f>
        <v>6.5903</v>
      </c>
      <c r="D389" s="10">
        <f>6.5912 * CHOOSE(CONTROL!$C$32, $C$9, 100%, $E$9)</f>
        <v>6.5911999999999997</v>
      </c>
      <c r="E389" s="9">
        <f>6.2582 * CHOOSE(CONTROL!$C$32, $C$9, 100%, $E$9)</f>
        <v>6.2582000000000004</v>
      </c>
      <c r="F389" s="9">
        <f>6.2582 * CHOOSE(CONTROL!$C$32, $C$9, 100%, $E$9)</f>
        <v>6.2582000000000004</v>
      </c>
      <c r="G389" s="9">
        <f>6.2614 * CHOOSE(CONTROL!$C$32, $C$9, 100%, $E$9)</f>
        <v>6.2614000000000001</v>
      </c>
      <c r="H389" s="9">
        <f>8.0586 * CHOOSE(CONTROL!$C$32, $C$9, 100%, $E$9)</f>
        <v>8.0586000000000002</v>
      </c>
      <c r="I389" s="9">
        <f>8.0619 * CHOOSE(CONTROL!$C$32, $C$9, 100%, $E$9)</f>
        <v>8.0618999999999996</v>
      </c>
      <c r="J389" s="9">
        <f>8.0586 * CHOOSE(CONTROL!$C$32, $C$9, 100%, $E$9)</f>
        <v>8.0586000000000002</v>
      </c>
      <c r="K389" s="9">
        <f>8.0619 * CHOOSE(CONTROL!$C$32, $C$9, 100%, $E$9)</f>
        <v>8.0618999999999996</v>
      </c>
      <c r="L389" s="9">
        <f>6.2582 * CHOOSE(CONTROL!$C$32, $C$9, 100%, $E$9)</f>
        <v>6.2582000000000004</v>
      </c>
      <c r="M389" s="9">
        <f>6.2614 * CHOOSE(CONTROL!$C$32, $C$9, 100%, $E$9)</f>
        <v>6.2614000000000001</v>
      </c>
      <c r="N389" s="9">
        <f>6.2582 * CHOOSE(CONTROL!$C$32, $C$9, 100%, $E$9)</f>
        <v>6.2582000000000004</v>
      </c>
      <c r="O389" s="9">
        <f>6.2614 * CHOOSE(CONTROL!$C$32, $C$9, 100%, $E$9)</f>
        <v>6.2614000000000001</v>
      </c>
    </row>
    <row r="390" spans="1:15" ht="15.75" x14ac:dyDescent="0.25">
      <c r="A390" s="14">
        <v>52748</v>
      </c>
      <c r="B390" s="10">
        <f>6.5903 * CHOOSE(CONTROL!$C$32, $C$9, 100%, $E$9)</f>
        <v>6.5903</v>
      </c>
      <c r="C390" s="10">
        <f>6.5903 * CHOOSE(CONTROL!$C$32, $C$9, 100%, $E$9)</f>
        <v>6.5903</v>
      </c>
      <c r="D390" s="10">
        <f>6.5915 * CHOOSE(CONTROL!$C$32, $C$9, 100%, $E$9)</f>
        <v>6.5914999999999999</v>
      </c>
      <c r="E390" s="9">
        <f>6.2968 * CHOOSE(CONTROL!$C$32, $C$9, 100%, $E$9)</f>
        <v>6.2968000000000002</v>
      </c>
      <c r="F390" s="9">
        <f>6.2968 * CHOOSE(CONTROL!$C$32, $C$9, 100%, $E$9)</f>
        <v>6.2968000000000002</v>
      </c>
      <c r="G390" s="9">
        <f>6.301 * CHOOSE(CONTROL!$C$32, $C$9, 100%, $E$9)</f>
        <v>6.3010000000000002</v>
      </c>
      <c r="H390" s="9">
        <f>8.0586 * CHOOSE(CONTROL!$C$32, $C$9, 100%, $E$9)</f>
        <v>8.0586000000000002</v>
      </c>
      <c r="I390" s="9">
        <f>8.0628 * CHOOSE(CONTROL!$C$32, $C$9, 100%, $E$9)</f>
        <v>8.0627999999999993</v>
      </c>
      <c r="J390" s="9">
        <f>8.0586 * CHOOSE(CONTROL!$C$32, $C$9, 100%, $E$9)</f>
        <v>8.0586000000000002</v>
      </c>
      <c r="K390" s="9">
        <f>8.0628 * CHOOSE(CONTROL!$C$32, $C$9, 100%, $E$9)</f>
        <v>8.0627999999999993</v>
      </c>
      <c r="L390" s="9">
        <f>6.2968 * CHOOSE(CONTROL!$C$32, $C$9, 100%, $E$9)</f>
        <v>6.2968000000000002</v>
      </c>
      <c r="M390" s="9">
        <f>6.301 * CHOOSE(CONTROL!$C$32, $C$9, 100%, $E$9)</f>
        <v>6.3010000000000002</v>
      </c>
      <c r="N390" s="9">
        <f>6.2968 * CHOOSE(CONTROL!$C$32, $C$9, 100%, $E$9)</f>
        <v>6.2968000000000002</v>
      </c>
      <c r="O390" s="9">
        <f>6.301 * CHOOSE(CONTROL!$C$32, $C$9, 100%, $E$9)</f>
        <v>6.3010000000000002</v>
      </c>
    </row>
    <row r="391" spans="1:15" ht="15.75" x14ac:dyDescent="0.25">
      <c r="A391" s="14">
        <v>52778</v>
      </c>
      <c r="B391" s="10">
        <f>6.5963 * CHOOSE(CONTROL!$C$32, $C$9, 100%, $E$9)</f>
        <v>6.5963000000000003</v>
      </c>
      <c r="C391" s="10">
        <f>6.5963 * CHOOSE(CONTROL!$C$32, $C$9, 100%, $E$9)</f>
        <v>6.5963000000000003</v>
      </c>
      <c r="D391" s="10">
        <f>6.5976 * CHOOSE(CONTROL!$C$32, $C$9, 100%, $E$9)</f>
        <v>6.5975999999999999</v>
      </c>
      <c r="E391" s="9">
        <f>6.2624 * CHOOSE(CONTROL!$C$32, $C$9, 100%, $E$9)</f>
        <v>6.2624000000000004</v>
      </c>
      <c r="F391" s="9">
        <f>6.2624 * CHOOSE(CONTROL!$C$32, $C$9, 100%, $E$9)</f>
        <v>6.2624000000000004</v>
      </c>
      <c r="G391" s="9">
        <f>6.2666 * CHOOSE(CONTROL!$C$32, $C$9, 100%, $E$9)</f>
        <v>6.2666000000000004</v>
      </c>
      <c r="H391" s="9">
        <f>8.0626 * CHOOSE(CONTROL!$C$32, $C$9, 100%, $E$9)</f>
        <v>8.0625999999999998</v>
      </c>
      <c r="I391" s="9">
        <f>8.0668 * CHOOSE(CONTROL!$C$32, $C$9, 100%, $E$9)</f>
        <v>8.0668000000000006</v>
      </c>
      <c r="J391" s="9">
        <f>8.0626 * CHOOSE(CONTROL!$C$32, $C$9, 100%, $E$9)</f>
        <v>8.0625999999999998</v>
      </c>
      <c r="K391" s="9">
        <f>8.0668 * CHOOSE(CONTROL!$C$32, $C$9, 100%, $E$9)</f>
        <v>8.0668000000000006</v>
      </c>
      <c r="L391" s="9">
        <f>6.2624 * CHOOSE(CONTROL!$C$32, $C$9, 100%, $E$9)</f>
        <v>6.2624000000000004</v>
      </c>
      <c r="M391" s="9">
        <f>6.2666 * CHOOSE(CONTROL!$C$32, $C$9, 100%, $E$9)</f>
        <v>6.2666000000000004</v>
      </c>
      <c r="N391" s="9">
        <f>6.2624 * CHOOSE(CONTROL!$C$32, $C$9, 100%, $E$9)</f>
        <v>6.2624000000000004</v>
      </c>
      <c r="O391" s="9">
        <f>6.2666 * CHOOSE(CONTROL!$C$32, $C$9, 100%, $E$9)</f>
        <v>6.2666000000000004</v>
      </c>
    </row>
    <row r="392" spans="1:15" ht="15.75" x14ac:dyDescent="0.25">
      <c r="A392" s="14">
        <v>52809</v>
      </c>
      <c r="B392" s="10">
        <f>6.6936 * CHOOSE(CONTROL!$C$32, $C$9, 100%, $E$9)</f>
        <v>6.6936</v>
      </c>
      <c r="C392" s="10">
        <f>6.6936 * CHOOSE(CONTROL!$C$32, $C$9, 100%, $E$9)</f>
        <v>6.6936</v>
      </c>
      <c r="D392" s="10">
        <f>6.6949 * CHOOSE(CONTROL!$C$32, $C$9, 100%, $E$9)</f>
        <v>6.6948999999999996</v>
      </c>
      <c r="E392" s="9">
        <f>6.3375 * CHOOSE(CONTROL!$C$32, $C$9, 100%, $E$9)</f>
        <v>6.3375000000000004</v>
      </c>
      <c r="F392" s="9">
        <f>6.3375 * CHOOSE(CONTROL!$C$32, $C$9, 100%, $E$9)</f>
        <v>6.3375000000000004</v>
      </c>
      <c r="G392" s="9">
        <f>6.3417 * CHOOSE(CONTROL!$C$32, $C$9, 100%, $E$9)</f>
        <v>6.3417000000000003</v>
      </c>
      <c r="H392" s="9">
        <f>8.186 * CHOOSE(CONTROL!$C$32, $C$9, 100%, $E$9)</f>
        <v>8.1859999999999999</v>
      </c>
      <c r="I392" s="9">
        <f>8.1902 * CHOOSE(CONTROL!$C$32, $C$9, 100%, $E$9)</f>
        <v>8.1902000000000008</v>
      </c>
      <c r="J392" s="9">
        <f>8.186 * CHOOSE(CONTROL!$C$32, $C$9, 100%, $E$9)</f>
        <v>8.1859999999999999</v>
      </c>
      <c r="K392" s="9">
        <f>8.1902 * CHOOSE(CONTROL!$C$32, $C$9, 100%, $E$9)</f>
        <v>8.1902000000000008</v>
      </c>
      <c r="L392" s="9">
        <f>6.3375 * CHOOSE(CONTROL!$C$32, $C$9, 100%, $E$9)</f>
        <v>6.3375000000000004</v>
      </c>
      <c r="M392" s="9">
        <f>6.3417 * CHOOSE(CONTROL!$C$32, $C$9, 100%, $E$9)</f>
        <v>6.3417000000000003</v>
      </c>
      <c r="N392" s="9">
        <f>6.3375 * CHOOSE(CONTROL!$C$32, $C$9, 100%, $E$9)</f>
        <v>6.3375000000000004</v>
      </c>
      <c r="O392" s="9">
        <f>6.3417 * CHOOSE(CONTROL!$C$32, $C$9, 100%, $E$9)</f>
        <v>6.3417000000000003</v>
      </c>
    </row>
    <row r="393" spans="1:15" ht="15.75" x14ac:dyDescent="0.25">
      <c r="A393" s="14">
        <v>52840</v>
      </c>
      <c r="B393" s="10">
        <f>6.7003 * CHOOSE(CONTROL!$C$32, $C$9, 100%, $E$9)</f>
        <v>6.7003000000000004</v>
      </c>
      <c r="C393" s="10">
        <f>6.7003 * CHOOSE(CONTROL!$C$32, $C$9, 100%, $E$9)</f>
        <v>6.7003000000000004</v>
      </c>
      <c r="D393" s="10">
        <f>6.7016 * CHOOSE(CONTROL!$C$32, $C$9, 100%, $E$9)</f>
        <v>6.7016</v>
      </c>
      <c r="E393" s="9">
        <f>6.2263 * CHOOSE(CONTROL!$C$32, $C$9, 100%, $E$9)</f>
        <v>6.2263000000000002</v>
      </c>
      <c r="F393" s="9">
        <f>6.2263 * CHOOSE(CONTROL!$C$32, $C$9, 100%, $E$9)</f>
        <v>6.2263000000000002</v>
      </c>
      <c r="G393" s="9">
        <f>6.2305 * CHOOSE(CONTROL!$C$32, $C$9, 100%, $E$9)</f>
        <v>6.2305000000000001</v>
      </c>
      <c r="H393" s="9">
        <f>8.1904 * CHOOSE(CONTROL!$C$32, $C$9, 100%, $E$9)</f>
        <v>8.1904000000000003</v>
      </c>
      <c r="I393" s="9">
        <f>8.1946 * CHOOSE(CONTROL!$C$32, $C$9, 100%, $E$9)</f>
        <v>8.1945999999999994</v>
      </c>
      <c r="J393" s="9">
        <f>8.1904 * CHOOSE(CONTROL!$C$32, $C$9, 100%, $E$9)</f>
        <v>8.1904000000000003</v>
      </c>
      <c r="K393" s="9">
        <f>8.1946 * CHOOSE(CONTROL!$C$32, $C$9, 100%, $E$9)</f>
        <v>8.1945999999999994</v>
      </c>
      <c r="L393" s="9">
        <f>6.2263 * CHOOSE(CONTROL!$C$32, $C$9, 100%, $E$9)</f>
        <v>6.2263000000000002</v>
      </c>
      <c r="M393" s="9">
        <f>6.2305 * CHOOSE(CONTROL!$C$32, $C$9, 100%, $E$9)</f>
        <v>6.2305000000000001</v>
      </c>
      <c r="N393" s="9">
        <f>6.2263 * CHOOSE(CONTROL!$C$32, $C$9, 100%, $E$9)</f>
        <v>6.2263000000000002</v>
      </c>
      <c r="O393" s="9">
        <f>6.2305 * CHOOSE(CONTROL!$C$32, $C$9, 100%, $E$9)</f>
        <v>6.2305000000000001</v>
      </c>
    </row>
    <row r="394" spans="1:15" ht="15.75" x14ac:dyDescent="0.25">
      <c r="A394" s="14">
        <v>52870</v>
      </c>
      <c r="B394" s="10">
        <f>6.6973 * CHOOSE(CONTROL!$C$32, $C$9, 100%, $E$9)</f>
        <v>6.6973000000000003</v>
      </c>
      <c r="C394" s="10">
        <f>6.6973 * CHOOSE(CONTROL!$C$32, $C$9, 100%, $E$9)</f>
        <v>6.6973000000000003</v>
      </c>
      <c r="D394" s="10">
        <f>6.6985 * CHOOSE(CONTROL!$C$32, $C$9, 100%, $E$9)</f>
        <v>6.6985000000000001</v>
      </c>
      <c r="E394" s="9">
        <f>6.2113 * CHOOSE(CONTROL!$C$32, $C$9, 100%, $E$9)</f>
        <v>6.2112999999999996</v>
      </c>
      <c r="F394" s="9">
        <f>6.2113 * CHOOSE(CONTROL!$C$32, $C$9, 100%, $E$9)</f>
        <v>6.2112999999999996</v>
      </c>
      <c r="G394" s="9">
        <f>6.2155 * CHOOSE(CONTROL!$C$32, $C$9, 100%, $E$9)</f>
        <v>6.2154999999999996</v>
      </c>
      <c r="H394" s="9">
        <f>8.1884 * CHOOSE(CONTROL!$C$32, $C$9, 100%, $E$9)</f>
        <v>8.1883999999999997</v>
      </c>
      <c r="I394" s="9">
        <f>8.1926 * CHOOSE(CONTROL!$C$32, $C$9, 100%, $E$9)</f>
        <v>8.1926000000000005</v>
      </c>
      <c r="J394" s="9">
        <f>8.1884 * CHOOSE(CONTROL!$C$32, $C$9, 100%, $E$9)</f>
        <v>8.1883999999999997</v>
      </c>
      <c r="K394" s="9">
        <f>8.1926 * CHOOSE(CONTROL!$C$32, $C$9, 100%, $E$9)</f>
        <v>8.1926000000000005</v>
      </c>
      <c r="L394" s="9">
        <f>6.2113 * CHOOSE(CONTROL!$C$32, $C$9, 100%, $E$9)</f>
        <v>6.2112999999999996</v>
      </c>
      <c r="M394" s="9">
        <f>6.2155 * CHOOSE(CONTROL!$C$32, $C$9, 100%, $E$9)</f>
        <v>6.2154999999999996</v>
      </c>
      <c r="N394" s="9">
        <f>6.2113 * CHOOSE(CONTROL!$C$32, $C$9, 100%, $E$9)</f>
        <v>6.2112999999999996</v>
      </c>
      <c r="O394" s="9">
        <f>6.2155 * CHOOSE(CONTROL!$C$32, $C$9, 100%, $E$9)</f>
        <v>6.2154999999999996</v>
      </c>
    </row>
    <row r="395" spans="1:15" ht="15.75" x14ac:dyDescent="0.25">
      <c r="A395" s="14">
        <v>52901</v>
      </c>
      <c r="B395" s="10">
        <f>6.7032 * CHOOSE(CONTROL!$C$32, $C$9, 100%, $E$9)</f>
        <v>6.7031999999999998</v>
      </c>
      <c r="C395" s="10">
        <f>6.7032 * CHOOSE(CONTROL!$C$32, $C$9, 100%, $E$9)</f>
        <v>6.7031999999999998</v>
      </c>
      <c r="D395" s="10">
        <f>6.7042 * CHOOSE(CONTROL!$C$32, $C$9, 100%, $E$9)</f>
        <v>6.7042000000000002</v>
      </c>
      <c r="E395" s="9">
        <f>6.2494 * CHOOSE(CONTROL!$C$32, $C$9, 100%, $E$9)</f>
        <v>6.2493999999999996</v>
      </c>
      <c r="F395" s="9">
        <f>6.2494 * CHOOSE(CONTROL!$C$32, $C$9, 100%, $E$9)</f>
        <v>6.2493999999999996</v>
      </c>
      <c r="G395" s="9">
        <f>6.2526 * CHOOSE(CONTROL!$C$32, $C$9, 100%, $E$9)</f>
        <v>6.2526000000000002</v>
      </c>
      <c r="H395" s="9">
        <f>8.1914 * CHOOSE(CONTROL!$C$32, $C$9, 100%, $E$9)</f>
        <v>8.1913999999999998</v>
      </c>
      <c r="I395" s="9">
        <f>8.1946 * CHOOSE(CONTROL!$C$32, $C$9, 100%, $E$9)</f>
        <v>8.1945999999999994</v>
      </c>
      <c r="J395" s="9">
        <f>8.1914 * CHOOSE(CONTROL!$C$32, $C$9, 100%, $E$9)</f>
        <v>8.1913999999999998</v>
      </c>
      <c r="K395" s="9">
        <f>8.1946 * CHOOSE(CONTROL!$C$32, $C$9, 100%, $E$9)</f>
        <v>8.1945999999999994</v>
      </c>
      <c r="L395" s="9">
        <f>6.2494 * CHOOSE(CONTROL!$C$32, $C$9, 100%, $E$9)</f>
        <v>6.2493999999999996</v>
      </c>
      <c r="M395" s="9">
        <f>6.2526 * CHOOSE(CONTROL!$C$32, $C$9, 100%, $E$9)</f>
        <v>6.2526000000000002</v>
      </c>
      <c r="N395" s="9">
        <f>6.2494 * CHOOSE(CONTROL!$C$32, $C$9, 100%, $E$9)</f>
        <v>6.2493999999999996</v>
      </c>
      <c r="O395" s="9">
        <f>6.2526 * CHOOSE(CONTROL!$C$32, $C$9, 100%, $E$9)</f>
        <v>6.2526000000000002</v>
      </c>
    </row>
    <row r="396" spans="1:15" ht="15.75" x14ac:dyDescent="0.25">
      <c r="A396" s="14">
        <v>52931</v>
      </c>
      <c r="B396" s="10">
        <f>6.7063 * CHOOSE(CONTROL!$C$32, $C$9, 100%, $E$9)</f>
        <v>6.7062999999999997</v>
      </c>
      <c r="C396" s="10">
        <f>6.7063 * CHOOSE(CONTROL!$C$32, $C$9, 100%, $E$9)</f>
        <v>6.7062999999999997</v>
      </c>
      <c r="D396" s="10">
        <f>6.7072 * CHOOSE(CONTROL!$C$32, $C$9, 100%, $E$9)</f>
        <v>6.7072000000000003</v>
      </c>
      <c r="E396" s="9">
        <f>6.2773 * CHOOSE(CONTROL!$C$32, $C$9, 100%, $E$9)</f>
        <v>6.2773000000000003</v>
      </c>
      <c r="F396" s="9">
        <f>6.2773 * CHOOSE(CONTROL!$C$32, $C$9, 100%, $E$9)</f>
        <v>6.2773000000000003</v>
      </c>
      <c r="G396" s="9">
        <f>6.2805 * CHOOSE(CONTROL!$C$32, $C$9, 100%, $E$9)</f>
        <v>6.2805</v>
      </c>
      <c r="H396" s="9">
        <f>8.1934 * CHOOSE(CONTROL!$C$32, $C$9, 100%, $E$9)</f>
        <v>8.1934000000000005</v>
      </c>
      <c r="I396" s="9">
        <f>8.1966 * CHOOSE(CONTROL!$C$32, $C$9, 100%, $E$9)</f>
        <v>8.1966000000000001</v>
      </c>
      <c r="J396" s="9">
        <f>8.1934 * CHOOSE(CONTROL!$C$32, $C$9, 100%, $E$9)</f>
        <v>8.1934000000000005</v>
      </c>
      <c r="K396" s="9">
        <f>8.1966 * CHOOSE(CONTROL!$C$32, $C$9, 100%, $E$9)</f>
        <v>8.1966000000000001</v>
      </c>
      <c r="L396" s="9">
        <f>6.2773 * CHOOSE(CONTROL!$C$32, $C$9, 100%, $E$9)</f>
        <v>6.2773000000000003</v>
      </c>
      <c r="M396" s="9">
        <f>6.2805 * CHOOSE(CONTROL!$C$32, $C$9, 100%, $E$9)</f>
        <v>6.2805</v>
      </c>
      <c r="N396" s="9">
        <f>6.2773 * CHOOSE(CONTROL!$C$32, $C$9, 100%, $E$9)</f>
        <v>6.2773000000000003</v>
      </c>
      <c r="O396" s="9">
        <f>6.2805 * CHOOSE(CONTROL!$C$32, $C$9, 100%, $E$9)</f>
        <v>6.2805</v>
      </c>
    </row>
    <row r="397" spans="1:15" ht="15.75" x14ac:dyDescent="0.25">
      <c r="A397" s="14">
        <v>52962</v>
      </c>
      <c r="B397" s="10">
        <f>6.7063 * CHOOSE(CONTROL!$C$32, $C$9, 100%, $E$9)</f>
        <v>6.7062999999999997</v>
      </c>
      <c r="C397" s="10">
        <f>6.7063 * CHOOSE(CONTROL!$C$32, $C$9, 100%, $E$9)</f>
        <v>6.7062999999999997</v>
      </c>
      <c r="D397" s="10">
        <f>6.7072 * CHOOSE(CONTROL!$C$32, $C$9, 100%, $E$9)</f>
        <v>6.7072000000000003</v>
      </c>
      <c r="E397" s="9">
        <f>6.2129 * CHOOSE(CONTROL!$C$32, $C$9, 100%, $E$9)</f>
        <v>6.2129000000000003</v>
      </c>
      <c r="F397" s="9">
        <f>6.2129 * CHOOSE(CONTROL!$C$32, $C$9, 100%, $E$9)</f>
        <v>6.2129000000000003</v>
      </c>
      <c r="G397" s="9">
        <f>6.2161 * CHOOSE(CONTROL!$C$32, $C$9, 100%, $E$9)</f>
        <v>6.2161</v>
      </c>
      <c r="H397" s="9">
        <f>8.1934 * CHOOSE(CONTROL!$C$32, $C$9, 100%, $E$9)</f>
        <v>8.1934000000000005</v>
      </c>
      <c r="I397" s="9">
        <f>8.1966 * CHOOSE(CONTROL!$C$32, $C$9, 100%, $E$9)</f>
        <v>8.1966000000000001</v>
      </c>
      <c r="J397" s="9">
        <f>8.1934 * CHOOSE(CONTROL!$C$32, $C$9, 100%, $E$9)</f>
        <v>8.1934000000000005</v>
      </c>
      <c r="K397" s="9">
        <f>8.1966 * CHOOSE(CONTROL!$C$32, $C$9, 100%, $E$9)</f>
        <v>8.1966000000000001</v>
      </c>
      <c r="L397" s="9">
        <f>6.2129 * CHOOSE(CONTROL!$C$32, $C$9, 100%, $E$9)</f>
        <v>6.2129000000000003</v>
      </c>
      <c r="M397" s="9">
        <f>6.2161 * CHOOSE(CONTROL!$C$32, $C$9, 100%, $E$9)</f>
        <v>6.2161</v>
      </c>
      <c r="N397" s="9">
        <f>6.2129 * CHOOSE(CONTROL!$C$32, $C$9, 100%, $E$9)</f>
        <v>6.2129000000000003</v>
      </c>
      <c r="O397" s="9">
        <f>6.2161 * CHOOSE(CONTROL!$C$32, $C$9, 100%, $E$9)</f>
        <v>6.2161</v>
      </c>
    </row>
    <row r="398" spans="1:15" ht="15.75" x14ac:dyDescent="0.25">
      <c r="A398" s="14">
        <v>52993</v>
      </c>
      <c r="B398" s="10">
        <f>6.7627 * CHOOSE(CONTROL!$C$32, $C$9, 100%, $E$9)</f>
        <v>6.7626999999999997</v>
      </c>
      <c r="C398" s="10">
        <f>6.7627 * CHOOSE(CONTROL!$C$32, $C$9, 100%, $E$9)</f>
        <v>6.7626999999999997</v>
      </c>
      <c r="D398" s="10">
        <f>6.7637 * CHOOSE(CONTROL!$C$32, $C$9, 100%, $E$9)</f>
        <v>6.7637</v>
      </c>
      <c r="E398" s="9">
        <f>6.302 * CHOOSE(CONTROL!$C$32, $C$9, 100%, $E$9)</f>
        <v>6.3019999999999996</v>
      </c>
      <c r="F398" s="9">
        <f>6.302 * CHOOSE(CONTROL!$C$32, $C$9, 100%, $E$9)</f>
        <v>6.3019999999999996</v>
      </c>
      <c r="G398" s="9">
        <f>6.3052 * CHOOSE(CONTROL!$C$32, $C$9, 100%, $E$9)</f>
        <v>6.3052000000000001</v>
      </c>
      <c r="H398" s="9">
        <f>8.2547 * CHOOSE(CONTROL!$C$32, $C$9, 100%, $E$9)</f>
        <v>8.2546999999999997</v>
      </c>
      <c r="I398" s="9">
        <f>8.2579 * CHOOSE(CONTROL!$C$32, $C$9, 100%, $E$9)</f>
        <v>8.2578999999999994</v>
      </c>
      <c r="J398" s="9">
        <f>8.2547 * CHOOSE(CONTROL!$C$32, $C$9, 100%, $E$9)</f>
        <v>8.2546999999999997</v>
      </c>
      <c r="K398" s="9">
        <f>8.2579 * CHOOSE(CONTROL!$C$32, $C$9, 100%, $E$9)</f>
        <v>8.2578999999999994</v>
      </c>
      <c r="L398" s="9">
        <f>6.302 * CHOOSE(CONTROL!$C$32, $C$9, 100%, $E$9)</f>
        <v>6.3019999999999996</v>
      </c>
      <c r="M398" s="9">
        <f>6.3052 * CHOOSE(CONTROL!$C$32, $C$9, 100%, $E$9)</f>
        <v>6.3052000000000001</v>
      </c>
      <c r="N398" s="9">
        <f>6.302 * CHOOSE(CONTROL!$C$32, $C$9, 100%, $E$9)</f>
        <v>6.3019999999999996</v>
      </c>
      <c r="O398" s="9">
        <f>6.3052 * CHOOSE(CONTROL!$C$32, $C$9, 100%, $E$9)</f>
        <v>6.3052000000000001</v>
      </c>
    </row>
    <row r="399" spans="1:15" ht="15.75" x14ac:dyDescent="0.25">
      <c r="A399" s="14">
        <v>53021</v>
      </c>
      <c r="B399" s="10">
        <f>6.7597 * CHOOSE(CONTROL!$C$32, $C$9, 100%, $E$9)</f>
        <v>6.7596999999999996</v>
      </c>
      <c r="C399" s="10">
        <f>6.7597 * CHOOSE(CONTROL!$C$32, $C$9, 100%, $E$9)</f>
        <v>6.7596999999999996</v>
      </c>
      <c r="D399" s="10">
        <f>6.7606 * CHOOSE(CONTROL!$C$32, $C$9, 100%, $E$9)</f>
        <v>6.7606000000000002</v>
      </c>
      <c r="E399" s="9">
        <f>6.1746 * CHOOSE(CONTROL!$C$32, $C$9, 100%, $E$9)</f>
        <v>6.1745999999999999</v>
      </c>
      <c r="F399" s="9">
        <f>6.1746 * CHOOSE(CONTROL!$C$32, $C$9, 100%, $E$9)</f>
        <v>6.1745999999999999</v>
      </c>
      <c r="G399" s="9">
        <f>6.1778 * CHOOSE(CONTROL!$C$32, $C$9, 100%, $E$9)</f>
        <v>6.1778000000000004</v>
      </c>
      <c r="H399" s="9">
        <f>8.2527 * CHOOSE(CONTROL!$C$32, $C$9, 100%, $E$9)</f>
        <v>8.2527000000000008</v>
      </c>
      <c r="I399" s="9">
        <f>8.2559 * CHOOSE(CONTROL!$C$32, $C$9, 100%, $E$9)</f>
        <v>8.2559000000000005</v>
      </c>
      <c r="J399" s="9">
        <f>8.2527 * CHOOSE(CONTROL!$C$32, $C$9, 100%, $E$9)</f>
        <v>8.2527000000000008</v>
      </c>
      <c r="K399" s="9">
        <f>8.2559 * CHOOSE(CONTROL!$C$32, $C$9, 100%, $E$9)</f>
        <v>8.2559000000000005</v>
      </c>
      <c r="L399" s="9">
        <f>6.1746 * CHOOSE(CONTROL!$C$32, $C$9, 100%, $E$9)</f>
        <v>6.1745999999999999</v>
      </c>
      <c r="M399" s="9">
        <f>6.1778 * CHOOSE(CONTROL!$C$32, $C$9, 100%, $E$9)</f>
        <v>6.1778000000000004</v>
      </c>
      <c r="N399" s="9">
        <f>6.1746 * CHOOSE(CONTROL!$C$32, $C$9, 100%, $E$9)</f>
        <v>6.1745999999999999</v>
      </c>
      <c r="O399" s="9">
        <f>6.1778 * CHOOSE(CONTROL!$C$32, $C$9, 100%, $E$9)</f>
        <v>6.1778000000000004</v>
      </c>
    </row>
    <row r="400" spans="1:15" ht="15.75" x14ac:dyDescent="0.25">
      <c r="A400" s="14">
        <v>53052</v>
      </c>
      <c r="B400" s="10">
        <f>6.7566 * CHOOSE(CONTROL!$C$32, $C$9, 100%, $E$9)</f>
        <v>6.7565999999999997</v>
      </c>
      <c r="C400" s="10">
        <f>6.7566 * CHOOSE(CONTROL!$C$32, $C$9, 100%, $E$9)</f>
        <v>6.7565999999999997</v>
      </c>
      <c r="D400" s="10">
        <f>6.7576 * CHOOSE(CONTROL!$C$32, $C$9, 100%, $E$9)</f>
        <v>6.7576000000000001</v>
      </c>
      <c r="E400" s="9">
        <f>6.2712 * CHOOSE(CONTROL!$C$32, $C$9, 100%, $E$9)</f>
        <v>6.2712000000000003</v>
      </c>
      <c r="F400" s="9">
        <f>6.2712 * CHOOSE(CONTROL!$C$32, $C$9, 100%, $E$9)</f>
        <v>6.2712000000000003</v>
      </c>
      <c r="G400" s="9">
        <f>6.2744 * CHOOSE(CONTROL!$C$32, $C$9, 100%, $E$9)</f>
        <v>6.2744</v>
      </c>
      <c r="H400" s="9">
        <f>8.2507 * CHOOSE(CONTROL!$C$32, $C$9, 100%, $E$9)</f>
        <v>8.2507000000000001</v>
      </c>
      <c r="I400" s="9">
        <f>8.2539 * CHOOSE(CONTROL!$C$32, $C$9, 100%, $E$9)</f>
        <v>8.2538999999999998</v>
      </c>
      <c r="J400" s="9">
        <f>8.2507 * CHOOSE(CONTROL!$C$32, $C$9, 100%, $E$9)</f>
        <v>8.2507000000000001</v>
      </c>
      <c r="K400" s="9">
        <f>8.2539 * CHOOSE(CONTROL!$C$32, $C$9, 100%, $E$9)</f>
        <v>8.2538999999999998</v>
      </c>
      <c r="L400" s="9">
        <f>6.2712 * CHOOSE(CONTROL!$C$32, $C$9, 100%, $E$9)</f>
        <v>6.2712000000000003</v>
      </c>
      <c r="M400" s="9">
        <f>6.2744 * CHOOSE(CONTROL!$C$32, $C$9, 100%, $E$9)</f>
        <v>6.2744</v>
      </c>
      <c r="N400" s="9">
        <f>6.2712 * CHOOSE(CONTROL!$C$32, $C$9, 100%, $E$9)</f>
        <v>6.2712000000000003</v>
      </c>
      <c r="O400" s="9">
        <f>6.2744 * CHOOSE(CONTROL!$C$32, $C$9, 100%, $E$9)</f>
        <v>6.2744</v>
      </c>
    </row>
    <row r="401" spans="1:15" ht="15.75" x14ac:dyDescent="0.25">
      <c r="A401" s="14">
        <v>53082</v>
      </c>
      <c r="B401" s="10">
        <f>6.7572 * CHOOSE(CONTROL!$C$32, $C$9, 100%, $E$9)</f>
        <v>6.7572000000000001</v>
      </c>
      <c r="C401" s="10">
        <f>6.7572 * CHOOSE(CONTROL!$C$32, $C$9, 100%, $E$9)</f>
        <v>6.7572000000000001</v>
      </c>
      <c r="D401" s="10">
        <f>6.7581 * CHOOSE(CONTROL!$C$32, $C$9, 100%, $E$9)</f>
        <v>6.7580999999999998</v>
      </c>
      <c r="E401" s="9">
        <f>6.373 * CHOOSE(CONTROL!$C$32, $C$9, 100%, $E$9)</f>
        <v>6.3730000000000002</v>
      </c>
      <c r="F401" s="9">
        <f>6.373 * CHOOSE(CONTROL!$C$32, $C$9, 100%, $E$9)</f>
        <v>6.3730000000000002</v>
      </c>
      <c r="G401" s="9">
        <f>6.3762 * CHOOSE(CONTROL!$C$32, $C$9, 100%, $E$9)</f>
        <v>6.3761999999999999</v>
      </c>
      <c r="H401" s="9">
        <f>8.2508 * CHOOSE(CONTROL!$C$32, $C$9, 100%, $E$9)</f>
        <v>8.2507999999999999</v>
      </c>
      <c r="I401" s="9">
        <f>8.254 * CHOOSE(CONTROL!$C$32, $C$9, 100%, $E$9)</f>
        <v>8.2539999999999996</v>
      </c>
      <c r="J401" s="9">
        <f>8.2508 * CHOOSE(CONTROL!$C$32, $C$9, 100%, $E$9)</f>
        <v>8.2507999999999999</v>
      </c>
      <c r="K401" s="9">
        <f>8.254 * CHOOSE(CONTROL!$C$32, $C$9, 100%, $E$9)</f>
        <v>8.2539999999999996</v>
      </c>
      <c r="L401" s="9">
        <f>6.373 * CHOOSE(CONTROL!$C$32, $C$9, 100%, $E$9)</f>
        <v>6.3730000000000002</v>
      </c>
      <c r="M401" s="9">
        <f>6.3762 * CHOOSE(CONTROL!$C$32, $C$9, 100%, $E$9)</f>
        <v>6.3761999999999999</v>
      </c>
      <c r="N401" s="9">
        <f>6.373 * CHOOSE(CONTROL!$C$32, $C$9, 100%, $E$9)</f>
        <v>6.3730000000000002</v>
      </c>
      <c r="O401" s="9">
        <f>6.3762 * CHOOSE(CONTROL!$C$32, $C$9, 100%, $E$9)</f>
        <v>6.3761999999999999</v>
      </c>
    </row>
    <row r="402" spans="1:15" ht="15.75" x14ac:dyDescent="0.25">
      <c r="A402" s="14">
        <v>53113</v>
      </c>
      <c r="B402" s="10">
        <f>6.7572 * CHOOSE(CONTROL!$C$32, $C$9, 100%, $E$9)</f>
        <v>6.7572000000000001</v>
      </c>
      <c r="C402" s="10">
        <f>6.7572 * CHOOSE(CONTROL!$C$32, $C$9, 100%, $E$9)</f>
        <v>6.7572000000000001</v>
      </c>
      <c r="D402" s="10">
        <f>6.7584 * CHOOSE(CONTROL!$C$32, $C$9, 100%, $E$9)</f>
        <v>6.7584</v>
      </c>
      <c r="E402" s="9">
        <f>6.4128 * CHOOSE(CONTROL!$C$32, $C$9, 100%, $E$9)</f>
        <v>6.4127999999999998</v>
      </c>
      <c r="F402" s="9">
        <f>6.4128 * CHOOSE(CONTROL!$C$32, $C$9, 100%, $E$9)</f>
        <v>6.4127999999999998</v>
      </c>
      <c r="G402" s="9">
        <f>6.417 * CHOOSE(CONTROL!$C$32, $C$9, 100%, $E$9)</f>
        <v>6.4169999999999998</v>
      </c>
      <c r="H402" s="9">
        <f>8.2508 * CHOOSE(CONTROL!$C$32, $C$9, 100%, $E$9)</f>
        <v>8.2507999999999999</v>
      </c>
      <c r="I402" s="9">
        <f>8.255 * CHOOSE(CONTROL!$C$32, $C$9, 100%, $E$9)</f>
        <v>8.2550000000000008</v>
      </c>
      <c r="J402" s="9">
        <f>8.2508 * CHOOSE(CONTROL!$C$32, $C$9, 100%, $E$9)</f>
        <v>8.2507999999999999</v>
      </c>
      <c r="K402" s="9">
        <f>8.255 * CHOOSE(CONTROL!$C$32, $C$9, 100%, $E$9)</f>
        <v>8.2550000000000008</v>
      </c>
      <c r="L402" s="9">
        <f>6.4128 * CHOOSE(CONTROL!$C$32, $C$9, 100%, $E$9)</f>
        <v>6.4127999999999998</v>
      </c>
      <c r="M402" s="9">
        <f>6.417 * CHOOSE(CONTROL!$C$32, $C$9, 100%, $E$9)</f>
        <v>6.4169999999999998</v>
      </c>
      <c r="N402" s="9">
        <f>6.4128 * CHOOSE(CONTROL!$C$32, $C$9, 100%, $E$9)</f>
        <v>6.4127999999999998</v>
      </c>
      <c r="O402" s="9">
        <f>6.417 * CHOOSE(CONTROL!$C$32, $C$9, 100%, $E$9)</f>
        <v>6.4169999999999998</v>
      </c>
    </row>
    <row r="403" spans="1:15" ht="15.75" x14ac:dyDescent="0.25">
      <c r="A403" s="14">
        <v>53143</v>
      </c>
      <c r="B403" s="10">
        <f>6.7633 * CHOOSE(CONTROL!$C$32, $C$9, 100%, $E$9)</f>
        <v>6.7633000000000001</v>
      </c>
      <c r="C403" s="10">
        <f>6.7633 * CHOOSE(CONTROL!$C$32, $C$9, 100%, $E$9)</f>
        <v>6.7633000000000001</v>
      </c>
      <c r="D403" s="10">
        <f>6.7645 * CHOOSE(CONTROL!$C$32, $C$9, 100%, $E$9)</f>
        <v>6.7645</v>
      </c>
      <c r="E403" s="9">
        <f>6.3773 * CHOOSE(CONTROL!$C$32, $C$9, 100%, $E$9)</f>
        <v>6.3773</v>
      </c>
      <c r="F403" s="9">
        <f>6.3773 * CHOOSE(CONTROL!$C$32, $C$9, 100%, $E$9)</f>
        <v>6.3773</v>
      </c>
      <c r="G403" s="9">
        <f>6.3815 * CHOOSE(CONTROL!$C$32, $C$9, 100%, $E$9)</f>
        <v>6.3815</v>
      </c>
      <c r="H403" s="9">
        <f>8.2548 * CHOOSE(CONTROL!$C$32, $C$9, 100%, $E$9)</f>
        <v>8.2547999999999995</v>
      </c>
      <c r="I403" s="9">
        <f>8.259 * CHOOSE(CONTROL!$C$32, $C$9, 100%, $E$9)</f>
        <v>8.2590000000000003</v>
      </c>
      <c r="J403" s="9">
        <f>8.2548 * CHOOSE(CONTROL!$C$32, $C$9, 100%, $E$9)</f>
        <v>8.2547999999999995</v>
      </c>
      <c r="K403" s="9">
        <f>8.259 * CHOOSE(CONTROL!$C$32, $C$9, 100%, $E$9)</f>
        <v>8.2590000000000003</v>
      </c>
      <c r="L403" s="9">
        <f>6.3773 * CHOOSE(CONTROL!$C$32, $C$9, 100%, $E$9)</f>
        <v>6.3773</v>
      </c>
      <c r="M403" s="9">
        <f>6.3815 * CHOOSE(CONTROL!$C$32, $C$9, 100%, $E$9)</f>
        <v>6.3815</v>
      </c>
      <c r="N403" s="9">
        <f>6.3773 * CHOOSE(CONTROL!$C$32, $C$9, 100%, $E$9)</f>
        <v>6.3773</v>
      </c>
      <c r="O403" s="9">
        <f>6.3815 * CHOOSE(CONTROL!$C$32, $C$9, 100%, $E$9)</f>
        <v>6.3815</v>
      </c>
    </row>
    <row r="404" spans="1:15" ht="15.75" x14ac:dyDescent="0.25">
      <c r="A404" s="14">
        <v>53174</v>
      </c>
      <c r="B404" s="10">
        <f>6.8626 * CHOOSE(CONTROL!$C$32, $C$9, 100%, $E$9)</f>
        <v>6.8625999999999996</v>
      </c>
      <c r="C404" s="10">
        <f>6.8626 * CHOOSE(CONTROL!$C$32, $C$9, 100%, $E$9)</f>
        <v>6.8625999999999996</v>
      </c>
      <c r="D404" s="10">
        <f>6.8639 * CHOOSE(CONTROL!$C$32, $C$9, 100%, $E$9)</f>
        <v>6.8639000000000001</v>
      </c>
      <c r="E404" s="9">
        <f>6.4534 * CHOOSE(CONTROL!$C$32, $C$9, 100%, $E$9)</f>
        <v>6.4534000000000002</v>
      </c>
      <c r="F404" s="9">
        <f>6.4534 * CHOOSE(CONTROL!$C$32, $C$9, 100%, $E$9)</f>
        <v>6.4534000000000002</v>
      </c>
      <c r="G404" s="9">
        <f>6.4576 * CHOOSE(CONTROL!$C$32, $C$9, 100%, $E$9)</f>
        <v>6.4576000000000002</v>
      </c>
      <c r="H404" s="9">
        <f>8.3809 * CHOOSE(CONTROL!$C$32, $C$9, 100%, $E$9)</f>
        <v>8.3809000000000005</v>
      </c>
      <c r="I404" s="9">
        <f>8.3851 * CHOOSE(CONTROL!$C$32, $C$9, 100%, $E$9)</f>
        <v>8.3850999999999996</v>
      </c>
      <c r="J404" s="9">
        <f>8.3809 * CHOOSE(CONTROL!$C$32, $C$9, 100%, $E$9)</f>
        <v>8.3809000000000005</v>
      </c>
      <c r="K404" s="9">
        <f>8.3851 * CHOOSE(CONTROL!$C$32, $C$9, 100%, $E$9)</f>
        <v>8.3850999999999996</v>
      </c>
      <c r="L404" s="9">
        <f>6.4534 * CHOOSE(CONTROL!$C$32, $C$9, 100%, $E$9)</f>
        <v>6.4534000000000002</v>
      </c>
      <c r="M404" s="9">
        <f>6.4576 * CHOOSE(CONTROL!$C$32, $C$9, 100%, $E$9)</f>
        <v>6.4576000000000002</v>
      </c>
      <c r="N404" s="9">
        <f>6.4534 * CHOOSE(CONTROL!$C$32, $C$9, 100%, $E$9)</f>
        <v>6.4534000000000002</v>
      </c>
      <c r="O404" s="9">
        <f>6.4576 * CHOOSE(CONTROL!$C$32, $C$9, 100%, $E$9)</f>
        <v>6.4576000000000002</v>
      </c>
    </row>
    <row r="405" spans="1:15" ht="15.75" x14ac:dyDescent="0.25">
      <c r="A405" s="14">
        <v>53205</v>
      </c>
      <c r="B405" s="10">
        <f>6.8693 * CHOOSE(CONTROL!$C$32, $C$9, 100%, $E$9)</f>
        <v>6.8693</v>
      </c>
      <c r="C405" s="10">
        <f>6.8693 * CHOOSE(CONTROL!$C$32, $C$9, 100%, $E$9)</f>
        <v>6.8693</v>
      </c>
      <c r="D405" s="10">
        <f>6.8706 * CHOOSE(CONTROL!$C$32, $C$9, 100%, $E$9)</f>
        <v>6.8705999999999996</v>
      </c>
      <c r="E405" s="9">
        <f>6.3387 * CHOOSE(CONTROL!$C$32, $C$9, 100%, $E$9)</f>
        <v>6.3387000000000002</v>
      </c>
      <c r="F405" s="9">
        <f>6.3387 * CHOOSE(CONTROL!$C$32, $C$9, 100%, $E$9)</f>
        <v>6.3387000000000002</v>
      </c>
      <c r="G405" s="9">
        <f>6.3429 * CHOOSE(CONTROL!$C$32, $C$9, 100%, $E$9)</f>
        <v>6.3429000000000002</v>
      </c>
      <c r="H405" s="9">
        <f>8.3853 * CHOOSE(CONTROL!$C$32, $C$9, 100%, $E$9)</f>
        <v>8.3853000000000009</v>
      </c>
      <c r="I405" s="9">
        <f>8.3895 * CHOOSE(CONTROL!$C$32, $C$9, 100%, $E$9)</f>
        <v>8.3895</v>
      </c>
      <c r="J405" s="9">
        <f>8.3853 * CHOOSE(CONTROL!$C$32, $C$9, 100%, $E$9)</f>
        <v>8.3853000000000009</v>
      </c>
      <c r="K405" s="9">
        <f>8.3895 * CHOOSE(CONTROL!$C$32, $C$9, 100%, $E$9)</f>
        <v>8.3895</v>
      </c>
      <c r="L405" s="9">
        <f>6.3387 * CHOOSE(CONTROL!$C$32, $C$9, 100%, $E$9)</f>
        <v>6.3387000000000002</v>
      </c>
      <c r="M405" s="9">
        <f>6.3429 * CHOOSE(CONTROL!$C$32, $C$9, 100%, $E$9)</f>
        <v>6.3429000000000002</v>
      </c>
      <c r="N405" s="9">
        <f>6.3387 * CHOOSE(CONTROL!$C$32, $C$9, 100%, $E$9)</f>
        <v>6.3387000000000002</v>
      </c>
      <c r="O405" s="9">
        <f>6.3429 * CHOOSE(CONTROL!$C$32, $C$9, 100%, $E$9)</f>
        <v>6.3429000000000002</v>
      </c>
    </row>
    <row r="406" spans="1:15" ht="15.75" x14ac:dyDescent="0.25">
      <c r="A406" s="14">
        <v>53235</v>
      </c>
      <c r="B406" s="10">
        <f>6.8663 * CHOOSE(CONTROL!$C$32, $C$9, 100%, $E$9)</f>
        <v>6.8662999999999998</v>
      </c>
      <c r="C406" s="10">
        <f>6.8663 * CHOOSE(CONTROL!$C$32, $C$9, 100%, $E$9)</f>
        <v>6.8662999999999998</v>
      </c>
      <c r="D406" s="10">
        <f>6.8675 * CHOOSE(CONTROL!$C$32, $C$9, 100%, $E$9)</f>
        <v>6.8674999999999997</v>
      </c>
      <c r="E406" s="9">
        <f>6.3233 * CHOOSE(CONTROL!$C$32, $C$9, 100%, $E$9)</f>
        <v>6.3232999999999997</v>
      </c>
      <c r="F406" s="9">
        <f>6.3233 * CHOOSE(CONTROL!$C$32, $C$9, 100%, $E$9)</f>
        <v>6.3232999999999997</v>
      </c>
      <c r="G406" s="9">
        <f>6.3275 * CHOOSE(CONTROL!$C$32, $C$9, 100%, $E$9)</f>
        <v>6.3274999999999997</v>
      </c>
      <c r="H406" s="9">
        <f>8.3833 * CHOOSE(CONTROL!$C$32, $C$9, 100%, $E$9)</f>
        <v>8.3833000000000002</v>
      </c>
      <c r="I406" s="9">
        <f>8.3875 * CHOOSE(CONTROL!$C$32, $C$9, 100%, $E$9)</f>
        <v>8.3874999999999993</v>
      </c>
      <c r="J406" s="9">
        <f>8.3833 * CHOOSE(CONTROL!$C$32, $C$9, 100%, $E$9)</f>
        <v>8.3833000000000002</v>
      </c>
      <c r="K406" s="9">
        <f>8.3875 * CHOOSE(CONTROL!$C$32, $C$9, 100%, $E$9)</f>
        <v>8.3874999999999993</v>
      </c>
      <c r="L406" s="9">
        <f>6.3233 * CHOOSE(CONTROL!$C$32, $C$9, 100%, $E$9)</f>
        <v>6.3232999999999997</v>
      </c>
      <c r="M406" s="9">
        <f>6.3275 * CHOOSE(CONTROL!$C$32, $C$9, 100%, $E$9)</f>
        <v>6.3274999999999997</v>
      </c>
      <c r="N406" s="9">
        <f>6.3233 * CHOOSE(CONTROL!$C$32, $C$9, 100%, $E$9)</f>
        <v>6.3232999999999997</v>
      </c>
      <c r="O406" s="9">
        <f>6.3275 * CHOOSE(CONTROL!$C$32, $C$9, 100%, $E$9)</f>
        <v>6.3274999999999997</v>
      </c>
    </row>
    <row r="407" spans="1:15" ht="15.75" x14ac:dyDescent="0.25">
      <c r="A407" s="14">
        <v>53266</v>
      </c>
      <c r="B407" s="10">
        <f>6.8729 * CHOOSE(CONTROL!$C$32, $C$9, 100%, $E$9)</f>
        <v>6.8728999999999996</v>
      </c>
      <c r="C407" s="10">
        <f>6.8729 * CHOOSE(CONTROL!$C$32, $C$9, 100%, $E$9)</f>
        <v>6.8728999999999996</v>
      </c>
      <c r="D407" s="10">
        <f>6.8738 * CHOOSE(CONTROL!$C$32, $C$9, 100%, $E$9)</f>
        <v>6.8738000000000001</v>
      </c>
      <c r="E407" s="9">
        <f>6.3629 * CHOOSE(CONTROL!$C$32, $C$9, 100%, $E$9)</f>
        <v>6.3628999999999998</v>
      </c>
      <c r="F407" s="9">
        <f>6.3629 * CHOOSE(CONTROL!$C$32, $C$9, 100%, $E$9)</f>
        <v>6.3628999999999998</v>
      </c>
      <c r="G407" s="9">
        <f>6.3662 * CHOOSE(CONTROL!$C$32, $C$9, 100%, $E$9)</f>
        <v>6.3662000000000001</v>
      </c>
      <c r="H407" s="9">
        <f>8.3866 * CHOOSE(CONTROL!$C$32, $C$9, 100%, $E$9)</f>
        <v>8.3865999999999996</v>
      </c>
      <c r="I407" s="9">
        <f>8.3899 * CHOOSE(CONTROL!$C$32, $C$9, 100%, $E$9)</f>
        <v>8.3899000000000008</v>
      </c>
      <c r="J407" s="9">
        <f>8.3866 * CHOOSE(CONTROL!$C$32, $C$9, 100%, $E$9)</f>
        <v>8.3865999999999996</v>
      </c>
      <c r="K407" s="9">
        <f>8.3899 * CHOOSE(CONTROL!$C$32, $C$9, 100%, $E$9)</f>
        <v>8.3899000000000008</v>
      </c>
      <c r="L407" s="9">
        <f>6.3629 * CHOOSE(CONTROL!$C$32, $C$9, 100%, $E$9)</f>
        <v>6.3628999999999998</v>
      </c>
      <c r="M407" s="9">
        <f>6.3662 * CHOOSE(CONTROL!$C$32, $C$9, 100%, $E$9)</f>
        <v>6.3662000000000001</v>
      </c>
      <c r="N407" s="9">
        <f>6.3629 * CHOOSE(CONTROL!$C$32, $C$9, 100%, $E$9)</f>
        <v>6.3628999999999998</v>
      </c>
      <c r="O407" s="9">
        <f>6.3662 * CHOOSE(CONTROL!$C$32, $C$9, 100%, $E$9)</f>
        <v>6.3662000000000001</v>
      </c>
    </row>
    <row r="408" spans="1:15" ht="15.75" x14ac:dyDescent="0.25">
      <c r="A408" s="14">
        <v>53296</v>
      </c>
      <c r="B408" s="10">
        <f>6.8759 * CHOOSE(CONTROL!$C$32, $C$9, 100%, $E$9)</f>
        <v>6.8758999999999997</v>
      </c>
      <c r="C408" s="10">
        <f>6.8759 * CHOOSE(CONTROL!$C$32, $C$9, 100%, $E$9)</f>
        <v>6.8758999999999997</v>
      </c>
      <c r="D408" s="10">
        <f>6.8769 * CHOOSE(CONTROL!$C$32, $C$9, 100%, $E$9)</f>
        <v>6.8769</v>
      </c>
      <c r="E408" s="9">
        <f>6.3916 * CHOOSE(CONTROL!$C$32, $C$9, 100%, $E$9)</f>
        <v>6.3916000000000004</v>
      </c>
      <c r="F408" s="9">
        <f>6.3916 * CHOOSE(CONTROL!$C$32, $C$9, 100%, $E$9)</f>
        <v>6.3916000000000004</v>
      </c>
      <c r="G408" s="9">
        <f>6.3948 * CHOOSE(CONTROL!$C$32, $C$9, 100%, $E$9)</f>
        <v>6.3948</v>
      </c>
      <c r="H408" s="9">
        <f>8.3886 * CHOOSE(CONTROL!$C$32, $C$9, 100%, $E$9)</f>
        <v>8.3886000000000003</v>
      </c>
      <c r="I408" s="9">
        <f>8.3919 * CHOOSE(CONTROL!$C$32, $C$9, 100%, $E$9)</f>
        <v>8.3918999999999997</v>
      </c>
      <c r="J408" s="9">
        <f>8.3886 * CHOOSE(CONTROL!$C$32, $C$9, 100%, $E$9)</f>
        <v>8.3886000000000003</v>
      </c>
      <c r="K408" s="9">
        <f>8.3919 * CHOOSE(CONTROL!$C$32, $C$9, 100%, $E$9)</f>
        <v>8.3918999999999997</v>
      </c>
      <c r="L408" s="9">
        <f>6.3916 * CHOOSE(CONTROL!$C$32, $C$9, 100%, $E$9)</f>
        <v>6.3916000000000004</v>
      </c>
      <c r="M408" s="9">
        <f>6.3948 * CHOOSE(CONTROL!$C$32, $C$9, 100%, $E$9)</f>
        <v>6.3948</v>
      </c>
      <c r="N408" s="9">
        <f>6.3916 * CHOOSE(CONTROL!$C$32, $C$9, 100%, $E$9)</f>
        <v>6.3916000000000004</v>
      </c>
      <c r="O408" s="9">
        <f>6.3948 * CHOOSE(CONTROL!$C$32, $C$9, 100%, $E$9)</f>
        <v>6.3948</v>
      </c>
    </row>
    <row r="409" spans="1:15" ht="15.75" x14ac:dyDescent="0.25">
      <c r="A409" s="14">
        <v>53327</v>
      </c>
      <c r="B409" s="10">
        <f>6.8759 * CHOOSE(CONTROL!$C$32, $C$9, 100%, $E$9)</f>
        <v>6.8758999999999997</v>
      </c>
      <c r="C409" s="10">
        <f>6.8759 * CHOOSE(CONTROL!$C$32, $C$9, 100%, $E$9)</f>
        <v>6.8758999999999997</v>
      </c>
      <c r="D409" s="10">
        <f>6.8769 * CHOOSE(CONTROL!$C$32, $C$9, 100%, $E$9)</f>
        <v>6.8769</v>
      </c>
      <c r="E409" s="9">
        <f>6.3253 * CHOOSE(CONTROL!$C$32, $C$9, 100%, $E$9)</f>
        <v>6.3253000000000004</v>
      </c>
      <c r="F409" s="9">
        <f>6.3253 * CHOOSE(CONTROL!$C$32, $C$9, 100%, $E$9)</f>
        <v>6.3253000000000004</v>
      </c>
      <c r="G409" s="9">
        <f>6.3285 * CHOOSE(CONTROL!$C$32, $C$9, 100%, $E$9)</f>
        <v>6.3285</v>
      </c>
      <c r="H409" s="9">
        <f>8.3886 * CHOOSE(CONTROL!$C$32, $C$9, 100%, $E$9)</f>
        <v>8.3886000000000003</v>
      </c>
      <c r="I409" s="9">
        <f>8.3919 * CHOOSE(CONTROL!$C$32, $C$9, 100%, $E$9)</f>
        <v>8.3918999999999997</v>
      </c>
      <c r="J409" s="9">
        <f>8.3886 * CHOOSE(CONTROL!$C$32, $C$9, 100%, $E$9)</f>
        <v>8.3886000000000003</v>
      </c>
      <c r="K409" s="9">
        <f>8.3919 * CHOOSE(CONTROL!$C$32, $C$9, 100%, $E$9)</f>
        <v>8.3918999999999997</v>
      </c>
      <c r="L409" s="9">
        <f>6.3253 * CHOOSE(CONTROL!$C$32, $C$9, 100%, $E$9)</f>
        <v>6.3253000000000004</v>
      </c>
      <c r="M409" s="9">
        <f>6.3285 * CHOOSE(CONTROL!$C$32, $C$9, 100%, $E$9)</f>
        <v>6.3285</v>
      </c>
      <c r="N409" s="9">
        <f>6.3253 * CHOOSE(CONTROL!$C$32, $C$9, 100%, $E$9)</f>
        <v>6.3253000000000004</v>
      </c>
      <c r="O409" s="9">
        <f>6.3285 * CHOOSE(CONTROL!$C$32, $C$9, 100%, $E$9)</f>
        <v>6.3285</v>
      </c>
    </row>
    <row r="410" spans="1:15" ht="15.75" x14ac:dyDescent="0.25">
      <c r="A410" s="14">
        <v>53358</v>
      </c>
      <c r="B410" s="10">
        <f>6.9337 * CHOOSE(CONTROL!$C$32, $C$9, 100%, $E$9)</f>
        <v>6.9337</v>
      </c>
      <c r="C410" s="10">
        <f>6.9337 * CHOOSE(CONTROL!$C$32, $C$9, 100%, $E$9)</f>
        <v>6.9337</v>
      </c>
      <c r="D410" s="10">
        <f>6.9346 * CHOOSE(CONTROL!$C$32, $C$9, 100%, $E$9)</f>
        <v>6.9345999999999997</v>
      </c>
      <c r="E410" s="9">
        <f>6.4166 * CHOOSE(CONTROL!$C$32, $C$9, 100%, $E$9)</f>
        <v>6.4165999999999999</v>
      </c>
      <c r="F410" s="9">
        <f>6.4166 * CHOOSE(CONTROL!$C$32, $C$9, 100%, $E$9)</f>
        <v>6.4165999999999999</v>
      </c>
      <c r="G410" s="9">
        <f>6.4199 * CHOOSE(CONTROL!$C$32, $C$9, 100%, $E$9)</f>
        <v>6.4199000000000002</v>
      </c>
      <c r="H410" s="9">
        <f>8.4514 * CHOOSE(CONTROL!$C$32, $C$9, 100%, $E$9)</f>
        <v>8.4513999999999996</v>
      </c>
      <c r="I410" s="9">
        <f>8.4546 * CHOOSE(CONTROL!$C$32, $C$9, 100%, $E$9)</f>
        <v>8.4545999999999992</v>
      </c>
      <c r="J410" s="9">
        <f>8.4514 * CHOOSE(CONTROL!$C$32, $C$9, 100%, $E$9)</f>
        <v>8.4513999999999996</v>
      </c>
      <c r="K410" s="9">
        <f>8.4546 * CHOOSE(CONTROL!$C$32, $C$9, 100%, $E$9)</f>
        <v>8.4545999999999992</v>
      </c>
      <c r="L410" s="9">
        <f>6.4166 * CHOOSE(CONTROL!$C$32, $C$9, 100%, $E$9)</f>
        <v>6.4165999999999999</v>
      </c>
      <c r="M410" s="9">
        <f>6.4199 * CHOOSE(CONTROL!$C$32, $C$9, 100%, $E$9)</f>
        <v>6.4199000000000002</v>
      </c>
      <c r="N410" s="9">
        <f>6.4166 * CHOOSE(CONTROL!$C$32, $C$9, 100%, $E$9)</f>
        <v>6.4165999999999999</v>
      </c>
      <c r="O410" s="9">
        <f>6.4199 * CHOOSE(CONTROL!$C$32, $C$9, 100%, $E$9)</f>
        <v>6.4199000000000002</v>
      </c>
    </row>
    <row r="411" spans="1:15" ht="15.75" x14ac:dyDescent="0.25">
      <c r="A411" s="14">
        <v>53386</v>
      </c>
      <c r="B411" s="10">
        <f>6.9307 * CHOOSE(CONTROL!$C$32, $C$9, 100%, $E$9)</f>
        <v>6.9306999999999999</v>
      </c>
      <c r="C411" s="10">
        <f>6.9307 * CHOOSE(CONTROL!$C$32, $C$9, 100%, $E$9)</f>
        <v>6.9306999999999999</v>
      </c>
      <c r="D411" s="10">
        <f>6.9316 * CHOOSE(CONTROL!$C$32, $C$9, 100%, $E$9)</f>
        <v>6.9316000000000004</v>
      </c>
      <c r="E411" s="9">
        <f>6.2855 * CHOOSE(CONTROL!$C$32, $C$9, 100%, $E$9)</f>
        <v>6.2854999999999999</v>
      </c>
      <c r="F411" s="9">
        <f>6.2855 * CHOOSE(CONTROL!$C$32, $C$9, 100%, $E$9)</f>
        <v>6.2854999999999999</v>
      </c>
      <c r="G411" s="9">
        <f>6.2887 * CHOOSE(CONTROL!$C$32, $C$9, 100%, $E$9)</f>
        <v>6.2887000000000004</v>
      </c>
      <c r="H411" s="9">
        <f>8.4494 * CHOOSE(CONTROL!$C$32, $C$9, 100%, $E$9)</f>
        <v>8.4494000000000007</v>
      </c>
      <c r="I411" s="9">
        <f>8.4526 * CHOOSE(CONTROL!$C$32, $C$9, 100%, $E$9)</f>
        <v>8.4526000000000003</v>
      </c>
      <c r="J411" s="9">
        <f>8.4494 * CHOOSE(CONTROL!$C$32, $C$9, 100%, $E$9)</f>
        <v>8.4494000000000007</v>
      </c>
      <c r="K411" s="9">
        <f>8.4526 * CHOOSE(CONTROL!$C$32, $C$9, 100%, $E$9)</f>
        <v>8.4526000000000003</v>
      </c>
      <c r="L411" s="9">
        <f>6.2855 * CHOOSE(CONTROL!$C$32, $C$9, 100%, $E$9)</f>
        <v>6.2854999999999999</v>
      </c>
      <c r="M411" s="9">
        <f>6.2887 * CHOOSE(CONTROL!$C$32, $C$9, 100%, $E$9)</f>
        <v>6.2887000000000004</v>
      </c>
      <c r="N411" s="9">
        <f>6.2855 * CHOOSE(CONTROL!$C$32, $C$9, 100%, $E$9)</f>
        <v>6.2854999999999999</v>
      </c>
      <c r="O411" s="9">
        <f>6.2887 * CHOOSE(CONTROL!$C$32, $C$9, 100%, $E$9)</f>
        <v>6.2887000000000004</v>
      </c>
    </row>
    <row r="412" spans="1:15" ht="15.75" x14ac:dyDescent="0.25">
      <c r="A412" s="14">
        <v>53417</v>
      </c>
      <c r="B412" s="10">
        <f>6.9276 * CHOOSE(CONTROL!$C$32, $C$9, 100%, $E$9)</f>
        <v>6.9276</v>
      </c>
      <c r="C412" s="10">
        <f>6.9276 * CHOOSE(CONTROL!$C$32, $C$9, 100%, $E$9)</f>
        <v>6.9276</v>
      </c>
      <c r="D412" s="10">
        <f>6.9286 * CHOOSE(CONTROL!$C$32, $C$9, 100%, $E$9)</f>
        <v>6.9286000000000003</v>
      </c>
      <c r="E412" s="9">
        <f>6.3851 * CHOOSE(CONTROL!$C$32, $C$9, 100%, $E$9)</f>
        <v>6.3851000000000004</v>
      </c>
      <c r="F412" s="9">
        <f>6.3851 * CHOOSE(CONTROL!$C$32, $C$9, 100%, $E$9)</f>
        <v>6.3851000000000004</v>
      </c>
      <c r="G412" s="9">
        <f>6.3883 * CHOOSE(CONTROL!$C$32, $C$9, 100%, $E$9)</f>
        <v>6.3883000000000001</v>
      </c>
      <c r="H412" s="9">
        <f>8.4474 * CHOOSE(CONTROL!$C$32, $C$9, 100%, $E$9)</f>
        <v>8.4474</v>
      </c>
      <c r="I412" s="9">
        <f>8.4506 * CHOOSE(CONTROL!$C$32, $C$9, 100%, $E$9)</f>
        <v>8.4505999999999997</v>
      </c>
      <c r="J412" s="9">
        <f>8.4474 * CHOOSE(CONTROL!$C$32, $C$9, 100%, $E$9)</f>
        <v>8.4474</v>
      </c>
      <c r="K412" s="9">
        <f>8.4506 * CHOOSE(CONTROL!$C$32, $C$9, 100%, $E$9)</f>
        <v>8.4505999999999997</v>
      </c>
      <c r="L412" s="9">
        <f>6.3851 * CHOOSE(CONTROL!$C$32, $C$9, 100%, $E$9)</f>
        <v>6.3851000000000004</v>
      </c>
      <c r="M412" s="9">
        <f>6.3883 * CHOOSE(CONTROL!$C$32, $C$9, 100%, $E$9)</f>
        <v>6.3883000000000001</v>
      </c>
      <c r="N412" s="9">
        <f>6.3851 * CHOOSE(CONTROL!$C$32, $C$9, 100%, $E$9)</f>
        <v>6.3851000000000004</v>
      </c>
      <c r="O412" s="9">
        <f>6.3883 * CHOOSE(CONTROL!$C$32, $C$9, 100%, $E$9)</f>
        <v>6.3883000000000001</v>
      </c>
    </row>
    <row r="413" spans="1:15" ht="15.75" x14ac:dyDescent="0.25">
      <c r="A413" s="14">
        <v>53447</v>
      </c>
      <c r="B413" s="10">
        <f>6.9283 * CHOOSE(CONTROL!$C$32, $C$9, 100%, $E$9)</f>
        <v>6.9283000000000001</v>
      </c>
      <c r="C413" s="10">
        <f>6.9283 * CHOOSE(CONTROL!$C$32, $C$9, 100%, $E$9)</f>
        <v>6.9283000000000001</v>
      </c>
      <c r="D413" s="10">
        <f>6.9293 * CHOOSE(CONTROL!$C$32, $C$9, 100%, $E$9)</f>
        <v>6.9292999999999996</v>
      </c>
      <c r="E413" s="9">
        <f>6.4901 * CHOOSE(CONTROL!$C$32, $C$9, 100%, $E$9)</f>
        <v>6.4901</v>
      </c>
      <c r="F413" s="9">
        <f>6.4901 * CHOOSE(CONTROL!$C$32, $C$9, 100%, $E$9)</f>
        <v>6.4901</v>
      </c>
      <c r="G413" s="9">
        <f>6.4933 * CHOOSE(CONTROL!$C$32, $C$9, 100%, $E$9)</f>
        <v>6.4932999999999996</v>
      </c>
      <c r="H413" s="9">
        <f>8.4476 * CHOOSE(CONTROL!$C$32, $C$9, 100%, $E$9)</f>
        <v>8.4475999999999996</v>
      </c>
      <c r="I413" s="9">
        <f>8.4508 * CHOOSE(CONTROL!$C$32, $C$9, 100%, $E$9)</f>
        <v>8.4507999999999992</v>
      </c>
      <c r="J413" s="9">
        <f>8.4476 * CHOOSE(CONTROL!$C$32, $C$9, 100%, $E$9)</f>
        <v>8.4475999999999996</v>
      </c>
      <c r="K413" s="9">
        <f>8.4508 * CHOOSE(CONTROL!$C$32, $C$9, 100%, $E$9)</f>
        <v>8.4507999999999992</v>
      </c>
      <c r="L413" s="9">
        <f>6.4901 * CHOOSE(CONTROL!$C$32, $C$9, 100%, $E$9)</f>
        <v>6.4901</v>
      </c>
      <c r="M413" s="9">
        <f>6.4933 * CHOOSE(CONTROL!$C$32, $C$9, 100%, $E$9)</f>
        <v>6.4932999999999996</v>
      </c>
      <c r="N413" s="9">
        <f>6.4901 * CHOOSE(CONTROL!$C$32, $C$9, 100%, $E$9)</f>
        <v>6.4901</v>
      </c>
      <c r="O413" s="9">
        <f>6.4933 * CHOOSE(CONTROL!$C$32, $C$9, 100%, $E$9)</f>
        <v>6.4932999999999996</v>
      </c>
    </row>
    <row r="414" spans="1:15" ht="15.75" x14ac:dyDescent="0.25">
      <c r="A414" s="14">
        <v>53478</v>
      </c>
      <c r="B414" s="10">
        <f>6.9283 * CHOOSE(CONTROL!$C$32, $C$9, 100%, $E$9)</f>
        <v>6.9283000000000001</v>
      </c>
      <c r="C414" s="10">
        <f>6.9283 * CHOOSE(CONTROL!$C$32, $C$9, 100%, $E$9)</f>
        <v>6.9283000000000001</v>
      </c>
      <c r="D414" s="10">
        <f>6.9296 * CHOOSE(CONTROL!$C$32, $C$9, 100%, $E$9)</f>
        <v>6.9295999999999998</v>
      </c>
      <c r="E414" s="9">
        <f>6.531 * CHOOSE(CONTROL!$C$32, $C$9, 100%, $E$9)</f>
        <v>6.5309999999999997</v>
      </c>
      <c r="F414" s="9">
        <f>6.531 * CHOOSE(CONTROL!$C$32, $C$9, 100%, $E$9)</f>
        <v>6.5309999999999997</v>
      </c>
      <c r="G414" s="9">
        <f>6.5352 * CHOOSE(CONTROL!$C$32, $C$9, 100%, $E$9)</f>
        <v>6.5351999999999997</v>
      </c>
      <c r="H414" s="9">
        <f>8.4476 * CHOOSE(CONTROL!$C$32, $C$9, 100%, $E$9)</f>
        <v>8.4475999999999996</v>
      </c>
      <c r="I414" s="9">
        <f>8.4518 * CHOOSE(CONTROL!$C$32, $C$9, 100%, $E$9)</f>
        <v>8.4518000000000004</v>
      </c>
      <c r="J414" s="9">
        <f>8.4476 * CHOOSE(CONTROL!$C$32, $C$9, 100%, $E$9)</f>
        <v>8.4475999999999996</v>
      </c>
      <c r="K414" s="9">
        <f>8.4518 * CHOOSE(CONTROL!$C$32, $C$9, 100%, $E$9)</f>
        <v>8.4518000000000004</v>
      </c>
      <c r="L414" s="9">
        <f>6.531 * CHOOSE(CONTROL!$C$32, $C$9, 100%, $E$9)</f>
        <v>6.5309999999999997</v>
      </c>
      <c r="M414" s="9">
        <f>6.5352 * CHOOSE(CONTROL!$C$32, $C$9, 100%, $E$9)</f>
        <v>6.5351999999999997</v>
      </c>
      <c r="N414" s="9">
        <f>6.531 * CHOOSE(CONTROL!$C$32, $C$9, 100%, $E$9)</f>
        <v>6.5309999999999997</v>
      </c>
      <c r="O414" s="9">
        <f>6.5352 * CHOOSE(CONTROL!$C$32, $C$9, 100%, $E$9)</f>
        <v>6.5351999999999997</v>
      </c>
    </row>
    <row r="415" spans="1:15" ht="15.75" x14ac:dyDescent="0.25">
      <c r="A415" s="14">
        <v>53508</v>
      </c>
      <c r="B415" s="10">
        <f>6.9344 * CHOOSE(CONTROL!$C$32, $C$9, 100%, $E$9)</f>
        <v>6.9344000000000001</v>
      </c>
      <c r="C415" s="10">
        <f>6.9344 * CHOOSE(CONTROL!$C$32, $C$9, 100%, $E$9)</f>
        <v>6.9344000000000001</v>
      </c>
      <c r="D415" s="10">
        <f>6.9356 * CHOOSE(CONTROL!$C$32, $C$9, 100%, $E$9)</f>
        <v>6.9356</v>
      </c>
      <c r="E415" s="9">
        <f>6.4943 * CHOOSE(CONTROL!$C$32, $C$9, 100%, $E$9)</f>
        <v>6.4943</v>
      </c>
      <c r="F415" s="9">
        <f>6.4943 * CHOOSE(CONTROL!$C$32, $C$9, 100%, $E$9)</f>
        <v>6.4943</v>
      </c>
      <c r="G415" s="9">
        <f>6.4985 * CHOOSE(CONTROL!$C$32, $C$9, 100%, $E$9)</f>
        <v>6.4984999999999999</v>
      </c>
      <c r="H415" s="9">
        <f>8.4516 * CHOOSE(CONTROL!$C$32, $C$9, 100%, $E$9)</f>
        <v>8.4515999999999991</v>
      </c>
      <c r="I415" s="9">
        <f>8.4558 * CHOOSE(CONTROL!$C$32, $C$9, 100%, $E$9)</f>
        <v>8.4558</v>
      </c>
      <c r="J415" s="9">
        <f>8.4516 * CHOOSE(CONTROL!$C$32, $C$9, 100%, $E$9)</f>
        <v>8.4515999999999991</v>
      </c>
      <c r="K415" s="9">
        <f>8.4558 * CHOOSE(CONTROL!$C$32, $C$9, 100%, $E$9)</f>
        <v>8.4558</v>
      </c>
      <c r="L415" s="9">
        <f>6.4943 * CHOOSE(CONTROL!$C$32, $C$9, 100%, $E$9)</f>
        <v>6.4943</v>
      </c>
      <c r="M415" s="9">
        <f>6.4985 * CHOOSE(CONTROL!$C$32, $C$9, 100%, $E$9)</f>
        <v>6.4984999999999999</v>
      </c>
      <c r="N415" s="9">
        <f>6.4943 * CHOOSE(CONTROL!$C$32, $C$9, 100%, $E$9)</f>
        <v>6.4943</v>
      </c>
      <c r="O415" s="9">
        <f>6.4985 * CHOOSE(CONTROL!$C$32, $C$9, 100%, $E$9)</f>
        <v>6.4984999999999999</v>
      </c>
    </row>
    <row r="416" spans="1:15" ht="15.75" x14ac:dyDescent="0.25">
      <c r="A416" s="14">
        <v>53539</v>
      </c>
      <c r="B416" s="10">
        <f>7.0359 * CHOOSE(CONTROL!$C$32, $C$9, 100%, $E$9)</f>
        <v>7.0358999999999998</v>
      </c>
      <c r="C416" s="10">
        <f>7.0359 * CHOOSE(CONTROL!$C$32, $C$9, 100%, $E$9)</f>
        <v>7.0358999999999998</v>
      </c>
      <c r="D416" s="10">
        <f>7.0372 * CHOOSE(CONTROL!$C$32, $C$9, 100%, $E$9)</f>
        <v>7.0372000000000003</v>
      </c>
      <c r="E416" s="9">
        <f>6.5717 * CHOOSE(CONTROL!$C$32, $C$9, 100%, $E$9)</f>
        <v>6.5716999999999999</v>
      </c>
      <c r="F416" s="9">
        <f>6.5717 * CHOOSE(CONTROL!$C$32, $C$9, 100%, $E$9)</f>
        <v>6.5716999999999999</v>
      </c>
      <c r="G416" s="9">
        <f>6.5759 * CHOOSE(CONTROL!$C$32, $C$9, 100%, $E$9)</f>
        <v>6.5758999999999999</v>
      </c>
      <c r="H416" s="9">
        <f>8.5804 * CHOOSE(CONTROL!$C$32, $C$9, 100%, $E$9)</f>
        <v>8.5803999999999991</v>
      </c>
      <c r="I416" s="9">
        <f>8.5846 * CHOOSE(CONTROL!$C$32, $C$9, 100%, $E$9)</f>
        <v>8.5846</v>
      </c>
      <c r="J416" s="9">
        <f>8.5804 * CHOOSE(CONTROL!$C$32, $C$9, 100%, $E$9)</f>
        <v>8.5803999999999991</v>
      </c>
      <c r="K416" s="9">
        <f>8.5846 * CHOOSE(CONTROL!$C$32, $C$9, 100%, $E$9)</f>
        <v>8.5846</v>
      </c>
      <c r="L416" s="9">
        <f>6.5717 * CHOOSE(CONTROL!$C$32, $C$9, 100%, $E$9)</f>
        <v>6.5716999999999999</v>
      </c>
      <c r="M416" s="9">
        <f>6.5759 * CHOOSE(CONTROL!$C$32, $C$9, 100%, $E$9)</f>
        <v>6.5758999999999999</v>
      </c>
      <c r="N416" s="9">
        <f>6.5717 * CHOOSE(CONTROL!$C$32, $C$9, 100%, $E$9)</f>
        <v>6.5716999999999999</v>
      </c>
      <c r="O416" s="9">
        <f>6.5759 * CHOOSE(CONTROL!$C$32, $C$9, 100%, $E$9)</f>
        <v>6.5758999999999999</v>
      </c>
    </row>
    <row r="417" spans="1:15" ht="15.75" x14ac:dyDescent="0.25">
      <c r="A417" s="14">
        <v>53570</v>
      </c>
      <c r="B417" s="10">
        <f>7.0426 * CHOOSE(CONTROL!$C$32, $C$9, 100%, $E$9)</f>
        <v>7.0426000000000002</v>
      </c>
      <c r="C417" s="10">
        <f>7.0426 * CHOOSE(CONTROL!$C$32, $C$9, 100%, $E$9)</f>
        <v>7.0426000000000002</v>
      </c>
      <c r="D417" s="10">
        <f>7.0439 * CHOOSE(CONTROL!$C$32, $C$9, 100%, $E$9)</f>
        <v>7.0438999999999998</v>
      </c>
      <c r="E417" s="9">
        <f>6.4535 * CHOOSE(CONTROL!$C$32, $C$9, 100%, $E$9)</f>
        <v>6.4535</v>
      </c>
      <c r="F417" s="9">
        <f>6.4535 * CHOOSE(CONTROL!$C$32, $C$9, 100%, $E$9)</f>
        <v>6.4535</v>
      </c>
      <c r="G417" s="9">
        <f>6.4577 * CHOOSE(CONTROL!$C$32, $C$9, 100%, $E$9)</f>
        <v>6.4577</v>
      </c>
      <c r="H417" s="9">
        <f>8.5848 * CHOOSE(CONTROL!$C$32, $C$9, 100%, $E$9)</f>
        <v>8.5847999999999995</v>
      </c>
      <c r="I417" s="9">
        <f>8.589 * CHOOSE(CONTROL!$C$32, $C$9, 100%, $E$9)</f>
        <v>8.5890000000000004</v>
      </c>
      <c r="J417" s="9">
        <f>8.5848 * CHOOSE(CONTROL!$C$32, $C$9, 100%, $E$9)</f>
        <v>8.5847999999999995</v>
      </c>
      <c r="K417" s="9">
        <f>8.589 * CHOOSE(CONTROL!$C$32, $C$9, 100%, $E$9)</f>
        <v>8.5890000000000004</v>
      </c>
      <c r="L417" s="9">
        <f>6.4535 * CHOOSE(CONTROL!$C$32, $C$9, 100%, $E$9)</f>
        <v>6.4535</v>
      </c>
      <c r="M417" s="9">
        <f>6.4577 * CHOOSE(CONTROL!$C$32, $C$9, 100%, $E$9)</f>
        <v>6.4577</v>
      </c>
      <c r="N417" s="9">
        <f>6.4535 * CHOOSE(CONTROL!$C$32, $C$9, 100%, $E$9)</f>
        <v>6.4535</v>
      </c>
      <c r="O417" s="9">
        <f>6.4577 * CHOOSE(CONTROL!$C$32, $C$9, 100%, $E$9)</f>
        <v>6.4577</v>
      </c>
    </row>
    <row r="418" spans="1:15" ht="15.75" x14ac:dyDescent="0.25">
      <c r="A418" s="14">
        <v>53600</v>
      </c>
      <c r="B418" s="10">
        <f>7.0396 * CHOOSE(CONTROL!$C$32, $C$9, 100%, $E$9)</f>
        <v>7.0396000000000001</v>
      </c>
      <c r="C418" s="10">
        <f>7.0396 * CHOOSE(CONTROL!$C$32, $C$9, 100%, $E$9)</f>
        <v>7.0396000000000001</v>
      </c>
      <c r="D418" s="10">
        <f>7.0408 * CHOOSE(CONTROL!$C$32, $C$9, 100%, $E$9)</f>
        <v>7.0407999999999999</v>
      </c>
      <c r="E418" s="9">
        <f>6.4377 * CHOOSE(CONTROL!$C$32, $C$9, 100%, $E$9)</f>
        <v>6.4377000000000004</v>
      </c>
      <c r="F418" s="9">
        <f>6.4377 * CHOOSE(CONTROL!$C$32, $C$9, 100%, $E$9)</f>
        <v>6.4377000000000004</v>
      </c>
      <c r="G418" s="9">
        <f>6.4419 * CHOOSE(CONTROL!$C$32, $C$9, 100%, $E$9)</f>
        <v>6.4419000000000004</v>
      </c>
      <c r="H418" s="9">
        <f>8.5828 * CHOOSE(CONTROL!$C$32, $C$9, 100%, $E$9)</f>
        <v>8.5828000000000007</v>
      </c>
      <c r="I418" s="9">
        <f>8.587 * CHOOSE(CONTROL!$C$32, $C$9, 100%, $E$9)</f>
        <v>8.5869999999999997</v>
      </c>
      <c r="J418" s="9">
        <f>8.5828 * CHOOSE(CONTROL!$C$32, $C$9, 100%, $E$9)</f>
        <v>8.5828000000000007</v>
      </c>
      <c r="K418" s="9">
        <f>8.587 * CHOOSE(CONTROL!$C$32, $C$9, 100%, $E$9)</f>
        <v>8.5869999999999997</v>
      </c>
      <c r="L418" s="9">
        <f>6.4377 * CHOOSE(CONTROL!$C$32, $C$9, 100%, $E$9)</f>
        <v>6.4377000000000004</v>
      </c>
      <c r="M418" s="9">
        <f>6.4419 * CHOOSE(CONTROL!$C$32, $C$9, 100%, $E$9)</f>
        <v>6.4419000000000004</v>
      </c>
      <c r="N418" s="9">
        <f>6.4377 * CHOOSE(CONTROL!$C$32, $C$9, 100%, $E$9)</f>
        <v>6.4377000000000004</v>
      </c>
      <c r="O418" s="9">
        <f>6.4419 * CHOOSE(CONTROL!$C$32, $C$9, 100%, $E$9)</f>
        <v>6.4419000000000004</v>
      </c>
    </row>
    <row r="419" spans="1:15" ht="15.75" x14ac:dyDescent="0.25">
      <c r="A419" s="14">
        <v>53631</v>
      </c>
      <c r="B419" s="10">
        <f>7.0468 * CHOOSE(CONTROL!$C$32, $C$9, 100%, $E$9)</f>
        <v>7.0468000000000002</v>
      </c>
      <c r="C419" s="10">
        <f>7.0468 * CHOOSE(CONTROL!$C$32, $C$9, 100%, $E$9)</f>
        <v>7.0468000000000002</v>
      </c>
      <c r="D419" s="10">
        <f>7.0478 * CHOOSE(CONTROL!$C$32, $C$9, 100%, $E$9)</f>
        <v>7.0477999999999996</v>
      </c>
      <c r="E419" s="9">
        <f>6.4789 * CHOOSE(CONTROL!$C$32, $C$9, 100%, $E$9)</f>
        <v>6.4789000000000003</v>
      </c>
      <c r="F419" s="9">
        <f>6.4789 * CHOOSE(CONTROL!$C$32, $C$9, 100%, $E$9)</f>
        <v>6.4789000000000003</v>
      </c>
      <c r="G419" s="9">
        <f>6.4821 * CHOOSE(CONTROL!$C$32, $C$9, 100%, $E$9)</f>
        <v>6.4821</v>
      </c>
      <c r="H419" s="9">
        <f>8.5866 * CHOOSE(CONTROL!$C$32, $C$9, 100%, $E$9)</f>
        <v>8.5866000000000007</v>
      </c>
      <c r="I419" s="9">
        <f>8.5898 * CHOOSE(CONTROL!$C$32, $C$9, 100%, $E$9)</f>
        <v>8.5898000000000003</v>
      </c>
      <c r="J419" s="9">
        <f>8.5866 * CHOOSE(CONTROL!$C$32, $C$9, 100%, $E$9)</f>
        <v>8.5866000000000007</v>
      </c>
      <c r="K419" s="9">
        <f>8.5898 * CHOOSE(CONTROL!$C$32, $C$9, 100%, $E$9)</f>
        <v>8.5898000000000003</v>
      </c>
      <c r="L419" s="9">
        <f>6.4789 * CHOOSE(CONTROL!$C$32, $C$9, 100%, $E$9)</f>
        <v>6.4789000000000003</v>
      </c>
      <c r="M419" s="9">
        <f>6.4821 * CHOOSE(CONTROL!$C$32, $C$9, 100%, $E$9)</f>
        <v>6.4821</v>
      </c>
      <c r="N419" s="9">
        <f>6.4789 * CHOOSE(CONTROL!$C$32, $C$9, 100%, $E$9)</f>
        <v>6.4789000000000003</v>
      </c>
      <c r="O419" s="9">
        <f>6.4821 * CHOOSE(CONTROL!$C$32, $C$9, 100%, $E$9)</f>
        <v>6.4821</v>
      </c>
    </row>
    <row r="420" spans="1:15" ht="15.75" x14ac:dyDescent="0.25">
      <c r="A420" s="14">
        <v>53661</v>
      </c>
      <c r="B420" s="10">
        <f>7.0499 * CHOOSE(CONTROL!$C$32, $C$9, 100%, $E$9)</f>
        <v>7.0499000000000001</v>
      </c>
      <c r="C420" s="10">
        <f>7.0499 * CHOOSE(CONTROL!$C$32, $C$9, 100%, $E$9)</f>
        <v>7.0499000000000001</v>
      </c>
      <c r="D420" s="10">
        <f>7.0508 * CHOOSE(CONTROL!$C$32, $C$9, 100%, $E$9)</f>
        <v>7.0507999999999997</v>
      </c>
      <c r="E420" s="9">
        <f>6.5083 * CHOOSE(CONTROL!$C$32, $C$9, 100%, $E$9)</f>
        <v>6.5083000000000002</v>
      </c>
      <c r="F420" s="9">
        <f>6.5083 * CHOOSE(CONTROL!$C$32, $C$9, 100%, $E$9)</f>
        <v>6.5083000000000002</v>
      </c>
      <c r="G420" s="9">
        <f>6.5115 * CHOOSE(CONTROL!$C$32, $C$9, 100%, $E$9)</f>
        <v>6.5114999999999998</v>
      </c>
      <c r="H420" s="9">
        <f>8.5886 * CHOOSE(CONTROL!$C$32, $C$9, 100%, $E$9)</f>
        <v>8.5885999999999996</v>
      </c>
      <c r="I420" s="9">
        <f>8.5918 * CHOOSE(CONTROL!$C$32, $C$9, 100%, $E$9)</f>
        <v>8.5917999999999992</v>
      </c>
      <c r="J420" s="9">
        <f>8.5886 * CHOOSE(CONTROL!$C$32, $C$9, 100%, $E$9)</f>
        <v>8.5885999999999996</v>
      </c>
      <c r="K420" s="9">
        <f>8.5918 * CHOOSE(CONTROL!$C$32, $C$9, 100%, $E$9)</f>
        <v>8.5917999999999992</v>
      </c>
      <c r="L420" s="9">
        <f>6.5083 * CHOOSE(CONTROL!$C$32, $C$9, 100%, $E$9)</f>
        <v>6.5083000000000002</v>
      </c>
      <c r="M420" s="9">
        <f>6.5115 * CHOOSE(CONTROL!$C$32, $C$9, 100%, $E$9)</f>
        <v>6.5114999999999998</v>
      </c>
      <c r="N420" s="9">
        <f>6.5083 * CHOOSE(CONTROL!$C$32, $C$9, 100%, $E$9)</f>
        <v>6.5083000000000002</v>
      </c>
      <c r="O420" s="9">
        <f>6.5115 * CHOOSE(CONTROL!$C$32, $C$9, 100%, $E$9)</f>
        <v>6.5114999999999998</v>
      </c>
    </row>
    <row r="421" spans="1:15" ht="15.75" x14ac:dyDescent="0.25">
      <c r="A421" s="14">
        <v>53692</v>
      </c>
      <c r="B421" s="10">
        <f>7.0499 * CHOOSE(CONTROL!$C$32, $C$9, 100%, $E$9)</f>
        <v>7.0499000000000001</v>
      </c>
      <c r="C421" s="10">
        <f>7.0499 * CHOOSE(CONTROL!$C$32, $C$9, 100%, $E$9)</f>
        <v>7.0499000000000001</v>
      </c>
      <c r="D421" s="10">
        <f>7.0508 * CHOOSE(CONTROL!$C$32, $C$9, 100%, $E$9)</f>
        <v>7.0507999999999997</v>
      </c>
      <c r="E421" s="9">
        <f>6.44 * CHOOSE(CONTROL!$C$32, $C$9, 100%, $E$9)</f>
        <v>6.44</v>
      </c>
      <c r="F421" s="9">
        <f>6.44 * CHOOSE(CONTROL!$C$32, $C$9, 100%, $E$9)</f>
        <v>6.44</v>
      </c>
      <c r="G421" s="9">
        <f>6.4433 * CHOOSE(CONTROL!$C$32, $C$9, 100%, $E$9)</f>
        <v>6.4432999999999998</v>
      </c>
      <c r="H421" s="9">
        <f>8.5886 * CHOOSE(CONTROL!$C$32, $C$9, 100%, $E$9)</f>
        <v>8.5885999999999996</v>
      </c>
      <c r="I421" s="9">
        <f>8.5918 * CHOOSE(CONTROL!$C$32, $C$9, 100%, $E$9)</f>
        <v>8.5917999999999992</v>
      </c>
      <c r="J421" s="9">
        <f>8.5886 * CHOOSE(CONTROL!$C$32, $C$9, 100%, $E$9)</f>
        <v>8.5885999999999996</v>
      </c>
      <c r="K421" s="9">
        <f>8.5918 * CHOOSE(CONTROL!$C$32, $C$9, 100%, $E$9)</f>
        <v>8.5917999999999992</v>
      </c>
      <c r="L421" s="9">
        <f>6.44 * CHOOSE(CONTROL!$C$32, $C$9, 100%, $E$9)</f>
        <v>6.44</v>
      </c>
      <c r="M421" s="9">
        <f>6.4433 * CHOOSE(CONTROL!$C$32, $C$9, 100%, $E$9)</f>
        <v>6.4432999999999998</v>
      </c>
      <c r="N421" s="9">
        <f>6.44 * CHOOSE(CONTROL!$C$32, $C$9, 100%, $E$9)</f>
        <v>6.44</v>
      </c>
      <c r="O421" s="9">
        <f>6.4433 * CHOOSE(CONTROL!$C$32, $C$9, 100%, $E$9)</f>
        <v>6.4432999999999998</v>
      </c>
    </row>
    <row r="422" spans="1:15" ht="15.75" x14ac:dyDescent="0.25">
      <c r="A422" s="14">
        <v>53723</v>
      </c>
      <c r="B422" s="10">
        <f>7.109 * CHOOSE(CONTROL!$C$32, $C$9, 100%, $E$9)</f>
        <v>7.109</v>
      </c>
      <c r="C422" s="10">
        <f>7.109 * CHOOSE(CONTROL!$C$32, $C$9, 100%, $E$9)</f>
        <v>7.109</v>
      </c>
      <c r="D422" s="10">
        <f>7.1099 * CHOOSE(CONTROL!$C$32, $C$9, 100%, $E$9)</f>
        <v>7.1098999999999997</v>
      </c>
      <c r="E422" s="9">
        <f>6.5337 * CHOOSE(CONTROL!$C$32, $C$9, 100%, $E$9)</f>
        <v>6.5336999999999996</v>
      </c>
      <c r="F422" s="9">
        <f>6.5337 * CHOOSE(CONTROL!$C$32, $C$9, 100%, $E$9)</f>
        <v>6.5336999999999996</v>
      </c>
      <c r="G422" s="9">
        <f>6.5369 * CHOOSE(CONTROL!$C$32, $C$9, 100%, $E$9)</f>
        <v>6.5369000000000002</v>
      </c>
      <c r="H422" s="9">
        <f>8.6528 * CHOOSE(CONTROL!$C$32, $C$9, 100%, $E$9)</f>
        <v>8.6527999999999992</v>
      </c>
      <c r="I422" s="9">
        <f>8.656 * CHOOSE(CONTROL!$C$32, $C$9, 100%, $E$9)</f>
        <v>8.6560000000000006</v>
      </c>
      <c r="J422" s="9">
        <f>8.6528 * CHOOSE(CONTROL!$C$32, $C$9, 100%, $E$9)</f>
        <v>8.6527999999999992</v>
      </c>
      <c r="K422" s="9">
        <f>8.656 * CHOOSE(CONTROL!$C$32, $C$9, 100%, $E$9)</f>
        <v>8.6560000000000006</v>
      </c>
      <c r="L422" s="9">
        <f>6.5337 * CHOOSE(CONTROL!$C$32, $C$9, 100%, $E$9)</f>
        <v>6.5336999999999996</v>
      </c>
      <c r="M422" s="9">
        <f>6.5369 * CHOOSE(CONTROL!$C$32, $C$9, 100%, $E$9)</f>
        <v>6.5369000000000002</v>
      </c>
      <c r="N422" s="9">
        <f>6.5337 * CHOOSE(CONTROL!$C$32, $C$9, 100%, $E$9)</f>
        <v>6.5336999999999996</v>
      </c>
      <c r="O422" s="9">
        <f>6.5369 * CHOOSE(CONTROL!$C$32, $C$9, 100%, $E$9)</f>
        <v>6.5369000000000002</v>
      </c>
    </row>
    <row r="423" spans="1:15" ht="15.75" x14ac:dyDescent="0.25">
      <c r="A423" s="14">
        <v>53751</v>
      </c>
      <c r="B423" s="10">
        <f>7.106 * CHOOSE(CONTROL!$C$32, $C$9, 100%, $E$9)</f>
        <v>7.1059999999999999</v>
      </c>
      <c r="C423" s="10">
        <f>7.106 * CHOOSE(CONTROL!$C$32, $C$9, 100%, $E$9)</f>
        <v>7.1059999999999999</v>
      </c>
      <c r="D423" s="10">
        <f>7.1069 * CHOOSE(CONTROL!$C$32, $C$9, 100%, $E$9)</f>
        <v>7.1069000000000004</v>
      </c>
      <c r="E423" s="9">
        <f>6.3987 * CHOOSE(CONTROL!$C$32, $C$9, 100%, $E$9)</f>
        <v>6.3986999999999998</v>
      </c>
      <c r="F423" s="9">
        <f>6.3987 * CHOOSE(CONTROL!$C$32, $C$9, 100%, $E$9)</f>
        <v>6.3986999999999998</v>
      </c>
      <c r="G423" s="9">
        <f>6.4019 * CHOOSE(CONTROL!$C$32, $C$9, 100%, $E$9)</f>
        <v>6.4019000000000004</v>
      </c>
      <c r="H423" s="9">
        <f>8.6508 * CHOOSE(CONTROL!$C$32, $C$9, 100%, $E$9)</f>
        <v>8.6508000000000003</v>
      </c>
      <c r="I423" s="9">
        <f>8.654 * CHOOSE(CONTROL!$C$32, $C$9, 100%, $E$9)</f>
        <v>8.6539999999999999</v>
      </c>
      <c r="J423" s="9">
        <f>8.6508 * CHOOSE(CONTROL!$C$32, $C$9, 100%, $E$9)</f>
        <v>8.6508000000000003</v>
      </c>
      <c r="K423" s="9">
        <f>8.654 * CHOOSE(CONTROL!$C$32, $C$9, 100%, $E$9)</f>
        <v>8.6539999999999999</v>
      </c>
      <c r="L423" s="9">
        <f>6.3987 * CHOOSE(CONTROL!$C$32, $C$9, 100%, $E$9)</f>
        <v>6.3986999999999998</v>
      </c>
      <c r="M423" s="9">
        <f>6.4019 * CHOOSE(CONTROL!$C$32, $C$9, 100%, $E$9)</f>
        <v>6.4019000000000004</v>
      </c>
      <c r="N423" s="9">
        <f>6.3987 * CHOOSE(CONTROL!$C$32, $C$9, 100%, $E$9)</f>
        <v>6.3986999999999998</v>
      </c>
      <c r="O423" s="9">
        <f>6.4019 * CHOOSE(CONTROL!$C$32, $C$9, 100%, $E$9)</f>
        <v>6.4019000000000004</v>
      </c>
    </row>
    <row r="424" spans="1:15" ht="15.75" x14ac:dyDescent="0.25">
      <c r="A424" s="14">
        <v>53782</v>
      </c>
      <c r="B424" s="10">
        <f>7.1029 * CHOOSE(CONTROL!$C$32, $C$9, 100%, $E$9)</f>
        <v>7.1029</v>
      </c>
      <c r="C424" s="10">
        <f>7.1029 * CHOOSE(CONTROL!$C$32, $C$9, 100%, $E$9)</f>
        <v>7.1029</v>
      </c>
      <c r="D424" s="10">
        <f>7.1039 * CHOOSE(CONTROL!$C$32, $C$9, 100%, $E$9)</f>
        <v>7.1039000000000003</v>
      </c>
      <c r="E424" s="9">
        <f>6.5013 * CHOOSE(CONTROL!$C$32, $C$9, 100%, $E$9)</f>
        <v>6.5012999999999996</v>
      </c>
      <c r="F424" s="9">
        <f>6.5013 * CHOOSE(CONTROL!$C$32, $C$9, 100%, $E$9)</f>
        <v>6.5012999999999996</v>
      </c>
      <c r="G424" s="9">
        <f>6.5045 * CHOOSE(CONTROL!$C$32, $C$9, 100%, $E$9)</f>
        <v>6.5045000000000002</v>
      </c>
      <c r="H424" s="9">
        <f>8.6488 * CHOOSE(CONTROL!$C$32, $C$9, 100%, $E$9)</f>
        <v>8.6487999999999996</v>
      </c>
      <c r="I424" s="9">
        <f>8.652 * CHOOSE(CONTROL!$C$32, $C$9, 100%, $E$9)</f>
        <v>8.6519999999999992</v>
      </c>
      <c r="J424" s="9">
        <f>8.6488 * CHOOSE(CONTROL!$C$32, $C$9, 100%, $E$9)</f>
        <v>8.6487999999999996</v>
      </c>
      <c r="K424" s="9">
        <f>8.652 * CHOOSE(CONTROL!$C$32, $C$9, 100%, $E$9)</f>
        <v>8.6519999999999992</v>
      </c>
      <c r="L424" s="9">
        <f>6.5013 * CHOOSE(CONTROL!$C$32, $C$9, 100%, $E$9)</f>
        <v>6.5012999999999996</v>
      </c>
      <c r="M424" s="9">
        <f>6.5045 * CHOOSE(CONTROL!$C$32, $C$9, 100%, $E$9)</f>
        <v>6.5045000000000002</v>
      </c>
      <c r="N424" s="9">
        <f>6.5013 * CHOOSE(CONTROL!$C$32, $C$9, 100%, $E$9)</f>
        <v>6.5012999999999996</v>
      </c>
      <c r="O424" s="9">
        <f>6.5045 * CHOOSE(CONTROL!$C$32, $C$9, 100%, $E$9)</f>
        <v>6.5045000000000002</v>
      </c>
    </row>
    <row r="425" spans="1:15" ht="15.75" x14ac:dyDescent="0.25">
      <c r="A425" s="14">
        <v>53812</v>
      </c>
      <c r="B425" s="10">
        <f>7.1038 * CHOOSE(CONTROL!$C$32, $C$9, 100%, $E$9)</f>
        <v>7.1037999999999997</v>
      </c>
      <c r="C425" s="10">
        <f>7.1038 * CHOOSE(CONTROL!$C$32, $C$9, 100%, $E$9)</f>
        <v>7.1037999999999997</v>
      </c>
      <c r="D425" s="10">
        <f>7.1048 * CHOOSE(CONTROL!$C$32, $C$9, 100%, $E$9)</f>
        <v>7.1048</v>
      </c>
      <c r="E425" s="9">
        <f>6.6096 * CHOOSE(CONTROL!$C$32, $C$9, 100%, $E$9)</f>
        <v>6.6096000000000004</v>
      </c>
      <c r="F425" s="9">
        <f>6.6096 * CHOOSE(CONTROL!$C$32, $C$9, 100%, $E$9)</f>
        <v>6.6096000000000004</v>
      </c>
      <c r="G425" s="9">
        <f>6.6128 * CHOOSE(CONTROL!$C$32, $C$9, 100%, $E$9)</f>
        <v>6.6128</v>
      </c>
      <c r="H425" s="9">
        <f>8.6491 * CHOOSE(CONTROL!$C$32, $C$9, 100%, $E$9)</f>
        <v>8.6491000000000007</v>
      </c>
      <c r="I425" s="9">
        <f>8.6523 * CHOOSE(CONTROL!$C$32, $C$9, 100%, $E$9)</f>
        <v>8.6523000000000003</v>
      </c>
      <c r="J425" s="9">
        <f>8.6491 * CHOOSE(CONTROL!$C$32, $C$9, 100%, $E$9)</f>
        <v>8.6491000000000007</v>
      </c>
      <c r="K425" s="9">
        <f>8.6523 * CHOOSE(CONTROL!$C$32, $C$9, 100%, $E$9)</f>
        <v>8.6523000000000003</v>
      </c>
      <c r="L425" s="9">
        <f>6.6096 * CHOOSE(CONTROL!$C$32, $C$9, 100%, $E$9)</f>
        <v>6.6096000000000004</v>
      </c>
      <c r="M425" s="9">
        <f>6.6128 * CHOOSE(CONTROL!$C$32, $C$9, 100%, $E$9)</f>
        <v>6.6128</v>
      </c>
      <c r="N425" s="9">
        <f>6.6096 * CHOOSE(CONTROL!$C$32, $C$9, 100%, $E$9)</f>
        <v>6.6096000000000004</v>
      </c>
      <c r="O425" s="9">
        <f>6.6128 * CHOOSE(CONTROL!$C$32, $C$9, 100%, $E$9)</f>
        <v>6.6128</v>
      </c>
    </row>
    <row r="426" spans="1:15" ht="15.75" x14ac:dyDescent="0.25">
      <c r="A426" s="14">
        <v>53843</v>
      </c>
      <c r="B426" s="10">
        <f>7.1038 * CHOOSE(CONTROL!$C$32, $C$9, 100%, $E$9)</f>
        <v>7.1037999999999997</v>
      </c>
      <c r="C426" s="10">
        <f>7.1038 * CHOOSE(CONTROL!$C$32, $C$9, 100%, $E$9)</f>
        <v>7.1037999999999997</v>
      </c>
      <c r="D426" s="10">
        <f>7.105 * CHOOSE(CONTROL!$C$32, $C$9, 100%, $E$9)</f>
        <v>7.1050000000000004</v>
      </c>
      <c r="E426" s="9">
        <f>6.6518 * CHOOSE(CONTROL!$C$32, $C$9, 100%, $E$9)</f>
        <v>6.6517999999999997</v>
      </c>
      <c r="F426" s="9">
        <f>6.6518 * CHOOSE(CONTROL!$C$32, $C$9, 100%, $E$9)</f>
        <v>6.6517999999999997</v>
      </c>
      <c r="G426" s="9">
        <f>6.656 * CHOOSE(CONTROL!$C$32, $C$9, 100%, $E$9)</f>
        <v>6.6559999999999997</v>
      </c>
      <c r="H426" s="9">
        <f>8.6491 * CHOOSE(CONTROL!$C$32, $C$9, 100%, $E$9)</f>
        <v>8.6491000000000007</v>
      </c>
      <c r="I426" s="9">
        <f>8.6533 * CHOOSE(CONTROL!$C$32, $C$9, 100%, $E$9)</f>
        <v>8.6532999999999998</v>
      </c>
      <c r="J426" s="9">
        <f>8.6491 * CHOOSE(CONTROL!$C$32, $C$9, 100%, $E$9)</f>
        <v>8.6491000000000007</v>
      </c>
      <c r="K426" s="9">
        <f>8.6533 * CHOOSE(CONTROL!$C$32, $C$9, 100%, $E$9)</f>
        <v>8.6532999999999998</v>
      </c>
      <c r="L426" s="9">
        <f>6.6518 * CHOOSE(CONTROL!$C$32, $C$9, 100%, $E$9)</f>
        <v>6.6517999999999997</v>
      </c>
      <c r="M426" s="9">
        <f>6.656 * CHOOSE(CONTROL!$C$32, $C$9, 100%, $E$9)</f>
        <v>6.6559999999999997</v>
      </c>
      <c r="N426" s="9">
        <f>6.6518 * CHOOSE(CONTROL!$C$32, $C$9, 100%, $E$9)</f>
        <v>6.6517999999999997</v>
      </c>
      <c r="O426" s="9">
        <f>6.656 * CHOOSE(CONTROL!$C$32, $C$9, 100%, $E$9)</f>
        <v>6.6559999999999997</v>
      </c>
    </row>
    <row r="427" spans="1:15" ht="15.75" x14ac:dyDescent="0.25">
      <c r="A427" s="14">
        <v>53873</v>
      </c>
      <c r="B427" s="10">
        <f>7.1099 * CHOOSE(CONTROL!$C$32, $C$9, 100%, $E$9)</f>
        <v>7.1098999999999997</v>
      </c>
      <c r="C427" s="10">
        <f>7.1099 * CHOOSE(CONTROL!$C$32, $C$9, 100%, $E$9)</f>
        <v>7.1098999999999997</v>
      </c>
      <c r="D427" s="10">
        <f>7.1111 * CHOOSE(CONTROL!$C$32, $C$9, 100%, $E$9)</f>
        <v>7.1111000000000004</v>
      </c>
      <c r="E427" s="9">
        <f>6.6138 * CHOOSE(CONTROL!$C$32, $C$9, 100%, $E$9)</f>
        <v>6.6138000000000003</v>
      </c>
      <c r="F427" s="9">
        <f>6.6138 * CHOOSE(CONTROL!$C$32, $C$9, 100%, $E$9)</f>
        <v>6.6138000000000003</v>
      </c>
      <c r="G427" s="9">
        <f>6.618 * CHOOSE(CONTROL!$C$32, $C$9, 100%, $E$9)</f>
        <v>6.6180000000000003</v>
      </c>
      <c r="H427" s="9">
        <f>8.6531 * CHOOSE(CONTROL!$C$32, $C$9, 100%, $E$9)</f>
        <v>8.6531000000000002</v>
      </c>
      <c r="I427" s="9">
        <f>8.6573 * CHOOSE(CONTROL!$C$32, $C$9, 100%, $E$9)</f>
        <v>8.6572999999999993</v>
      </c>
      <c r="J427" s="9">
        <f>8.6531 * CHOOSE(CONTROL!$C$32, $C$9, 100%, $E$9)</f>
        <v>8.6531000000000002</v>
      </c>
      <c r="K427" s="9">
        <f>8.6573 * CHOOSE(CONTROL!$C$32, $C$9, 100%, $E$9)</f>
        <v>8.6572999999999993</v>
      </c>
      <c r="L427" s="9">
        <f>6.6138 * CHOOSE(CONTROL!$C$32, $C$9, 100%, $E$9)</f>
        <v>6.6138000000000003</v>
      </c>
      <c r="M427" s="9">
        <f>6.618 * CHOOSE(CONTROL!$C$32, $C$9, 100%, $E$9)</f>
        <v>6.6180000000000003</v>
      </c>
      <c r="N427" s="9">
        <f>6.6138 * CHOOSE(CONTROL!$C$32, $C$9, 100%, $E$9)</f>
        <v>6.6138000000000003</v>
      </c>
      <c r="O427" s="9">
        <f>6.618 * CHOOSE(CONTROL!$C$32, $C$9, 100%, $E$9)</f>
        <v>6.6180000000000003</v>
      </c>
    </row>
    <row r="428" spans="1:15" ht="15.75" x14ac:dyDescent="0.25">
      <c r="A428" s="14">
        <v>53904</v>
      </c>
      <c r="B428" s="10">
        <f>7.2136 * CHOOSE(CONTROL!$C$32, $C$9, 100%, $E$9)</f>
        <v>7.2135999999999996</v>
      </c>
      <c r="C428" s="10">
        <f>7.2136 * CHOOSE(CONTROL!$C$32, $C$9, 100%, $E$9)</f>
        <v>7.2135999999999996</v>
      </c>
      <c r="D428" s="10">
        <f>7.2149 * CHOOSE(CONTROL!$C$32, $C$9, 100%, $E$9)</f>
        <v>7.2149000000000001</v>
      </c>
      <c r="E428" s="9">
        <f>6.6924 * CHOOSE(CONTROL!$C$32, $C$9, 100%, $E$9)</f>
        <v>6.6924000000000001</v>
      </c>
      <c r="F428" s="9">
        <f>6.6924 * CHOOSE(CONTROL!$C$32, $C$9, 100%, $E$9)</f>
        <v>6.6924000000000001</v>
      </c>
      <c r="G428" s="9">
        <f>6.6966 * CHOOSE(CONTROL!$C$32, $C$9, 100%, $E$9)</f>
        <v>6.6966000000000001</v>
      </c>
      <c r="H428" s="9">
        <f>8.7847 * CHOOSE(CONTROL!$C$32, $C$9, 100%, $E$9)</f>
        <v>8.7847000000000008</v>
      </c>
      <c r="I428" s="9">
        <f>8.7889 * CHOOSE(CONTROL!$C$32, $C$9, 100%, $E$9)</f>
        <v>8.7888999999999999</v>
      </c>
      <c r="J428" s="9">
        <f>8.7847 * CHOOSE(CONTROL!$C$32, $C$9, 100%, $E$9)</f>
        <v>8.7847000000000008</v>
      </c>
      <c r="K428" s="9">
        <f>8.7889 * CHOOSE(CONTROL!$C$32, $C$9, 100%, $E$9)</f>
        <v>8.7888999999999999</v>
      </c>
      <c r="L428" s="9">
        <f>6.6924 * CHOOSE(CONTROL!$C$32, $C$9, 100%, $E$9)</f>
        <v>6.6924000000000001</v>
      </c>
      <c r="M428" s="9">
        <f>6.6966 * CHOOSE(CONTROL!$C$32, $C$9, 100%, $E$9)</f>
        <v>6.6966000000000001</v>
      </c>
      <c r="N428" s="9">
        <f>6.6924 * CHOOSE(CONTROL!$C$32, $C$9, 100%, $E$9)</f>
        <v>6.6924000000000001</v>
      </c>
      <c r="O428" s="9">
        <f>6.6966 * CHOOSE(CONTROL!$C$32, $C$9, 100%, $E$9)</f>
        <v>6.6966000000000001</v>
      </c>
    </row>
    <row r="429" spans="1:15" ht="15.75" x14ac:dyDescent="0.25">
      <c r="A429" s="14">
        <v>53935</v>
      </c>
      <c r="B429" s="10">
        <f>7.2203 * CHOOSE(CONTROL!$C$32, $C$9, 100%, $E$9)</f>
        <v>7.2202999999999999</v>
      </c>
      <c r="C429" s="10">
        <f>7.2203 * CHOOSE(CONTROL!$C$32, $C$9, 100%, $E$9)</f>
        <v>7.2202999999999999</v>
      </c>
      <c r="D429" s="10">
        <f>7.2215 * CHOOSE(CONTROL!$C$32, $C$9, 100%, $E$9)</f>
        <v>7.2214999999999998</v>
      </c>
      <c r="E429" s="9">
        <f>6.5705 * CHOOSE(CONTROL!$C$32, $C$9, 100%, $E$9)</f>
        <v>6.5705</v>
      </c>
      <c r="F429" s="9">
        <f>6.5705 * CHOOSE(CONTROL!$C$32, $C$9, 100%, $E$9)</f>
        <v>6.5705</v>
      </c>
      <c r="G429" s="9">
        <f>6.5747 * CHOOSE(CONTROL!$C$32, $C$9, 100%, $E$9)</f>
        <v>6.5747</v>
      </c>
      <c r="H429" s="9">
        <f>8.7891 * CHOOSE(CONTROL!$C$32, $C$9, 100%, $E$9)</f>
        <v>8.7890999999999995</v>
      </c>
      <c r="I429" s="9">
        <f>8.7933 * CHOOSE(CONTROL!$C$32, $C$9, 100%, $E$9)</f>
        <v>8.7933000000000003</v>
      </c>
      <c r="J429" s="9">
        <f>8.7891 * CHOOSE(CONTROL!$C$32, $C$9, 100%, $E$9)</f>
        <v>8.7890999999999995</v>
      </c>
      <c r="K429" s="9">
        <f>8.7933 * CHOOSE(CONTROL!$C$32, $C$9, 100%, $E$9)</f>
        <v>8.7933000000000003</v>
      </c>
      <c r="L429" s="9">
        <f>6.5705 * CHOOSE(CONTROL!$C$32, $C$9, 100%, $E$9)</f>
        <v>6.5705</v>
      </c>
      <c r="M429" s="9">
        <f>6.5747 * CHOOSE(CONTROL!$C$32, $C$9, 100%, $E$9)</f>
        <v>6.5747</v>
      </c>
      <c r="N429" s="9">
        <f>6.5705 * CHOOSE(CONTROL!$C$32, $C$9, 100%, $E$9)</f>
        <v>6.5705</v>
      </c>
      <c r="O429" s="9">
        <f>6.5747 * CHOOSE(CONTROL!$C$32, $C$9, 100%, $E$9)</f>
        <v>6.5747</v>
      </c>
    </row>
    <row r="430" spans="1:15" ht="15.75" x14ac:dyDescent="0.25">
      <c r="A430" s="14">
        <v>53965</v>
      </c>
      <c r="B430" s="10">
        <f>7.2173 * CHOOSE(CONTROL!$C$32, $C$9, 100%, $E$9)</f>
        <v>7.2172999999999998</v>
      </c>
      <c r="C430" s="10">
        <f>7.2173 * CHOOSE(CONTROL!$C$32, $C$9, 100%, $E$9)</f>
        <v>7.2172999999999998</v>
      </c>
      <c r="D430" s="10">
        <f>7.2185 * CHOOSE(CONTROL!$C$32, $C$9, 100%, $E$9)</f>
        <v>7.2184999999999997</v>
      </c>
      <c r="E430" s="9">
        <f>6.5543 * CHOOSE(CONTROL!$C$32, $C$9, 100%, $E$9)</f>
        <v>6.5542999999999996</v>
      </c>
      <c r="F430" s="9">
        <f>6.5543 * CHOOSE(CONTROL!$C$32, $C$9, 100%, $E$9)</f>
        <v>6.5542999999999996</v>
      </c>
      <c r="G430" s="9">
        <f>6.5585 * CHOOSE(CONTROL!$C$32, $C$9, 100%, $E$9)</f>
        <v>6.5585000000000004</v>
      </c>
      <c r="H430" s="9">
        <f>8.7871 * CHOOSE(CONTROL!$C$32, $C$9, 100%, $E$9)</f>
        <v>8.7871000000000006</v>
      </c>
      <c r="I430" s="9">
        <f>8.7913 * CHOOSE(CONTROL!$C$32, $C$9, 100%, $E$9)</f>
        <v>8.7912999999999997</v>
      </c>
      <c r="J430" s="9">
        <f>8.7871 * CHOOSE(CONTROL!$C$32, $C$9, 100%, $E$9)</f>
        <v>8.7871000000000006</v>
      </c>
      <c r="K430" s="9">
        <f>8.7913 * CHOOSE(CONTROL!$C$32, $C$9, 100%, $E$9)</f>
        <v>8.7912999999999997</v>
      </c>
      <c r="L430" s="9">
        <f>6.5543 * CHOOSE(CONTROL!$C$32, $C$9, 100%, $E$9)</f>
        <v>6.5542999999999996</v>
      </c>
      <c r="M430" s="9">
        <f>6.5585 * CHOOSE(CONTROL!$C$32, $C$9, 100%, $E$9)</f>
        <v>6.5585000000000004</v>
      </c>
      <c r="N430" s="9">
        <f>6.5543 * CHOOSE(CONTROL!$C$32, $C$9, 100%, $E$9)</f>
        <v>6.5542999999999996</v>
      </c>
      <c r="O430" s="9">
        <f>6.5585 * CHOOSE(CONTROL!$C$32, $C$9, 100%, $E$9)</f>
        <v>6.5585000000000004</v>
      </c>
    </row>
    <row r="431" spans="1:15" ht="15.75" x14ac:dyDescent="0.25">
      <c r="A431" s="14">
        <v>53996</v>
      </c>
      <c r="B431" s="10">
        <f>7.2252 * CHOOSE(CONTROL!$C$32, $C$9, 100%, $E$9)</f>
        <v>7.2252000000000001</v>
      </c>
      <c r="C431" s="10">
        <f>7.2252 * CHOOSE(CONTROL!$C$32, $C$9, 100%, $E$9)</f>
        <v>7.2252000000000001</v>
      </c>
      <c r="D431" s="10">
        <f>7.2262 * CHOOSE(CONTROL!$C$32, $C$9, 100%, $E$9)</f>
        <v>7.2262000000000004</v>
      </c>
      <c r="E431" s="9">
        <f>6.5971 * CHOOSE(CONTROL!$C$32, $C$9, 100%, $E$9)</f>
        <v>6.5971000000000002</v>
      </c>
      <c r="F431" s="9">
        <f>6.5971 * CHOOSE(CONTROL!$C$32, $C$9, 100%, $E$9)</f>
        <v>6.5971000000000002</v>
      </c>
      <c r="G431" s="9">
        <f>6.6003 * CHOOSE(CONTROL!$C$32, $C$9, 100%, $E$9)</f>
        <v>6.6002999999999998</v>
      </c>
      <c r="H431" s="9">
        <f>8.7913 * CHOOSE(CONTROL!$C$32, $C$9, 100%, $E$9)</f>
        <v>8.7912999999999997</v>
      </c>
      <c r="I431" s="9">
        <f>8.7946 * CHOOSE(CONTROL!$C$32, $C$9, 100%, $E$9)</f>
        <v>8.7946000000000009</v>
      </c>
      <c r="J431" s="9">
        <f>8.7913 * CHOOSE(CONTROL!$C$32, $C$9, 100%, $E$9)</f>
        <v>8.7912999999999997</v>
      </c>
      <c r="K431" s="9">
        <f>8.7946 * CHOOSE(CONTROL!$C$32, $C$9, 100%, $E$9)</f>
        <v>8.7946000000000009</v>
      </c>
      <c r="L431" s="9">
        <f>6.5971 * CHOOSE(CONTROL!$C$32, $C$9, 100%, $E$9)</f>
        <v>6.5971000000000002</v>
      </c>
      <c r="M431" s="9">
        <f>6.6003 * CHOOSE(CONTROL!$C$32, $C$9, 100%, $E$9)</f>
        <v>6.6002999999999998</v>
      </c>
      <c r="N431" s="9">
        <f>6.5971 * CHOOSE(CONTROL!$C$32, $C$9, 100%, $E$9)</f>
        <v>6.5971000000000002</v>
      </c>
      <c r="O431" s="9">
        <f>6.6003 * CHOOSE(CONTROL!$C$32, $C$9, 100%, $E$9)</f>
        <v>6.6002999999999998</v>
      </c>
    </row>
    <row r="432" spans="1:15" ht="15.75" x14ac:dyDescent="0.25">
      <c r="A432" s="14">
        <v>54026</v>
      </c>
      <c r="B432" s="10">
        <f>7.2282 * CHOOSE(CONTROL!$C$32, $C$9, 100%, $E$9)</f>
        <v>7.2282000000000002</v>
      </c>
      <c r="C432" s="10">
        <f>7.2282 * CHOOSE(CONTROL!$C$32, $C$9, 100%, $E$9)</f>
        <v>7.2282000000000002</v>
      </c>
      <c r="D432" s="10">
        <f>7.2292 * CHOOSE(CONTROL!$C$32, $C$9, 100%, $E$9)</f>
        <v>7.2291999999999996</v>
      </c>
      <c r="E432" s="9">
        <f>6.6274 * CHOOSE(CONTROL!$C$32, $C$9, 100%, $E$9)</f>
        <v>6.6273999999999997</v>
      </c>
      <c r="F432" s="9">
        <f>6.6274 * CHOOSE(CONTROL!$C$32, $C$9, 100%, $E$9)</f>
        <v>6.6273999999999997</v>
      </c>
      <c r="G432" s="9">
        <f>6.6306 * CHOOSE(CONTROL!$C$32, $C$9, 100%, $E$9)</f>
        <v>6.6306000000000003</v>
      </c>
      <c r="H432" s="9">
        <f>8.7933 * CHOOSE(CONTROL!$C$32, $C$9, 100%, $E$9)</f>
        <v>8.7933000000000003</v>
      </c>
      <c r="I432" s="9">
        <f>8.7966 * CHOOSE(CONTROL!$C$32, $C$9, 100%, $E$9)</f>
        <v>8.7965999999999998</v>
      </c>
      <c r="J432" s="9">
        <f>8.7933 * CHOOSE(CONTROL!$C$32, $C$9, 100%, $E$9)</f>
        <v>8.7933000000000003</v>
      </c>
      <c r="K432" s="9">
        <f>8.7966 * CHOOSE(CONTROL!$C$32, $C$9, 100%, $E$9)</f>
        <v>8.7965999999999998</v>
      </c>
      <c r="L432" s="9">
        <f>6.6274 * CHOOSE(CONTROL!$C$32, $C$9, 100%, $E$9)</f>
        <v>6.6273999999999997</v>
      </c>
      <c r="M432" s="9">
        <f>6.6306 * CHOOSE(CONTROL!$C$32, $C$9, 100%, $E$9)</f>
        <v>6.6306000000000003</v>
      </c>
      <c r="N432" s="9">
        <f>6.6274 * CHOOSE(CONTROL!$C$32, $C$9, 100%, $E$9)</f>
        <v>6.6273999999999997</v>
      </c>
      <c r="O432" s="9">
        <f>6.6306 * CHOOSE(CONTROL!$C$32, $C$9, 100%, $E$9)</f>
        <v>6.6306000000000003</v>
      </c>
    </row>
    <row r="433" spans="1:15" ht="15.75" x14ac:dyDescent="0.25">
      <c r="A433" s="14">
        <v>54057</v>
      </c>
      <c r="B433" s="10">
        <f>7.2282 * CHOOSE(CONTROL!$C$32, $C$9, 100%, $E$9)</f>
        <v>7.2282000000000002</v>
      </c>
      <c r="C433" s="10">
        <f>7.2282 * CHOOSE(CONTROL!$C$32, $C$9, 100%, $E$9)</f>
        <v>7.2282000000000002</v>
      </c>
      <c r="D433" s="10">
        <f>7.2292 * CHOOSE(CONTROL!$C$32, $C$9, 100%, $E$9)</f>
        <v>7.2291999999999996</v>
      </c>
      <c r="E433" s="9">
        <f>6.557 * CHOOSE(CONTROL!$C$32, $C$9, 100%, $E$9)</f>
        <v>6.5570000000000004</v>
      </c>
      <c r="F433" s="9">
        <f>6.557 * CHOOSE(CONTROL!$C$32, $C$9, 100%, $E$9)</f>
        <v>6.5570000000000004</v>
      </c>
      <c r="G433" s="9">
        <f>6.5603 * CHOOSE(CONTROL!$C$32, $C$9, 100%, $E$9)</f>
        <v>6.5602999999999998</v>
      </c>
      <c r="H433" s="9">
        <f>8.7933 * CHOOSE(CONTROL!$C$32, $C$9, 100%, $E$9)</f>
        <v>8.7933000000000003</v>
      </c>
      <c r="I433" s="9">
        <f>8.7966 * CHOOSE(CONTROL!$C$32, $C$9, 100%, $E$9)</f>
        <v>8.7965999999999998</v>
      </c>
      <c r="J433" s="9">
        <f>8.7933 * CHOOSE(CONTROL!$C$32, $C$9, 100%, $E$9)</f>
        <v>8.7933000000000003</v>
      </c>
      <c r="K433" s="9">
        <f>8.7966 * CHOOSE(CONTROL!$C$32, $C$9, 100%, $E$9)</f>
        <v>8.7965999999999998</v>
      </c>
      <c r="L433" s="9">
        <f>6.557 * CHOOSE(CONTROL!$C$32, $C$9, 100%, $E$9)</f>
        <v>6.5570000000000004</v>
      </c>
      <c r="M433" s="9">
        <f>6.5603 * CHOOSE(CONTROL!$C$32, $C$9, 100%, $E$9)</f>
        <v>6.5602999999999998</v>
      </c>
      <c r="N433" s="9">
        <f>6.557 * CHOOSE(CONTROL!$C$32, $C$9, 100%, $E$9)</f>
        <v>6.5570000000000004</v>
      </c>
      <c r="O433" s="9">
        <f>6.5603 * CHOOSE(CONTROL!$C$32, $C$9, 100%, $E$9)</f>
        <v>6.5602999999999998</v>
      </c>
    </row>
    <row r="434" spans="1:15" ht="15.75" x14ac:dyDescent="0.25">
      <c r="A434" s="14">
        <v>54088</v>
      </c>
      <c r="B434" s="10">
        <f>7.2887 * CHOOSE(CONTROL!$C$32, $C$9, 100%, $E$9)</f>
        <v>7.2887000000000004</v>
      </c>
      <c r="C434" s="10">
        <f>7.2887 * CHOOSE(CONTROL!$C$32, $C$9, 100%, $E$9)</f>
        <v>7.2887000000000004</v>
      </c>
      <c r="D434" s="10">
        <f>7.2897 * CHOOSE(CONTROL!$C$32, $C$9, 100%, $E$9)</f>
        <v>7.2896999999999998</v>
      </c>
      <c r="E434" s="9">
        <f>6.653 * CHOOSE(CONTROL!$C$32, $C$9, 100%, $E$9)</f>
        <v>6.6529999999999996</v>
      </c>
      <c r="F434" s="9">
        <f>6.653 * CHOOSE(CONTROL!$C$32, $C$9, 100%, $E$9)</f>
        <v>6.6529999999999996</v>
      </c>
      <c r="G434" s="9">
        <f>6.6563 * CHOOSE(CONTROL!$C$32, $C$9, 100%, $E$9)</f>
        <v>6.6562999999999999</v>
      </c>
      <c r="H434" s="9">
        <f>8.859 * CHOOSE(CONTROL!$C$32, $C$9, 100%, $E$9)</f>
        <v>8.859</v>
      </c>
      <c r="I434" s="9">
        <f>8.8622 * CHOOSE(CONTROL!$C$32, $C$9, 100%, $E$9)</f>
        <v>8.8621999999999996</v>
      </c>
      <c r="J434" s="9">
        <f>8.859 * CHOOSE(CONTROL!$C$32, $C$9, 100%, $E$9)</f>
        <v>8.859</v>
      </c>
      <c r="K434" s="9">
        <f>8.8622 * CHOOSE(CONTROL!$C$32, $C$9, 100%, $E$9)</f>
        <v>8.8621999999999996</v>
      </c>
      <c r="L434" s="9">
        <f>6.653 * CHOOSE(CONTROL!$C$32, $C$9, 100%, $E$9)</f>
        <v>6.6529999999999996</v>
      </c>
      <c r="M434" s="9">
        <f>6.6563 * CHOOSE(CONTROL!$C$32, $C$9, 100%, $E$9)</f>
        <v>6.6562999999999999</v>
      </c>
      <c r="N434" s="9">
        <f>6.653 * CHOOSE(CONTROL!$C$32, $C$9, 100%, $E$9)</f>
        <v>6.6529999999999996</v>
      </c>
      <c r="O434" s="9">
        <f>6.6563 * CHOOSE(CONTROL!$C$32, $C$9, 100%, $E$9)</f>
        <v>6.6562999999999999</v>
      </c>
    </row>
    <row r="435" spans="1:15" ht="15.75" x14ac:dyDescent="0.25">
      <c r="A435" s="14">
        <v>54116</v>
      </c>
      <c r="B435" s="10">
        <f>7.2857 * CHOOSE(CONTROL!$C$32, $C$9, 100%, $E$9)</f>
        <v>7.2857000000000003</v>
      </c>
      <c r="C435" s="10">
        <f>7.2857 * CHOOSE(CONTROL!$C$32, $C$9, 100%, $E$9)</f>
        <v>7.2857000000000003</v>
      </c>
      <c r="D435" s="10">
        <f>7.2867 * CHOOSE(CONTROL!$C$32, $C$9, 100%, $E$9)</f>
        <v>7.2866999999999997</v>
      </c>
      <c r="E435" s="9">
        <f>6.5141 * CHOOSE(CONTROL!$C$32, $C$9, 100%, $E$9)</f>
        <v>6.5141</v>
      </c>
      <c r="F435" s="9">
        <f>6.5141 * CHOOSE(CONTROL!$C$32, $C$9, 100%, $E$9)</f>
        <v>6.5141</v>
      </c>
      <c r="G435" s="9">
        <f>6.5173 * CHOOSE(CONTROL!$C$32, $C$9, 100%, $E$9)</f>
        <v>6.5172999999999996</v>
      </c>
      <c r="H435" s="9">
        <f>8.857 * CHOOSE(CONTROL!$C$32, $C$9, 100%, $E$9)</f>
        <v>8.8569999999999993</v>
      </c>
      <c r="I435" s="9">
        <f>8.8602 * CHOOSE(CONTROL!$C$32, $C$9, 100%, $E$9)</f>
        <v>8.8602000000000007</v>
      </c>
      <c r="J435" s="9">
        <f>8.857 * CHOOSE(CONTROL!$C$32, $C$9, 100%, $E$9)</f>
        <v>8.8569999999999993</v>
      </c>
      <c r="K435" s="9">
        <f>8.8602 * CHOOSE(CONTROL!$C$32, $C$9, 100%, $E$9)</f>
        <v>8.8602000000000007</v>
      </c>
      <c r="L435" s="9">
        <f>6.5141 * CHOOSE(CONTROL!$C$32, $C$9, 100%, $E$9)</f>
        <v>6.5141</v>
      </c>
      <c r="M435" s="9">
        <f>6.5173 * CHOOSE(CONTROL!$C$32, $C$9, 100%, $E$9)</f>
        <v>6.5172999999999996</v>
      </c>
      <c r="N435" s="9">
        <f>6.5141 * CHOOSE(CONTROL!$C$32, $C$9, 100%, $E$9)</f>
        <v>6.5141</v>
      </c>
      <c r="O435" s="9">
        <f>6.5173 * CHOOSE(CONTROL!$C$32, $C$9, 100%, $E$9)</f>
        <v>6.5172999999999996</v>
      </c>
    </row>
    <row r="436" spans="1:15" ht="15.75" x14ac:dyDescent="0.25">
      <c r="A436" s="14">
        <v>54148</v>
      </c>
      <c r="B436" s="10">
        <f>7.2827 * CHOOSE(CONTROL!$C$32, $C$9, 100%, $E$9)</f>
        <v>7.2827000000000002</v>
      </c>
      <c r="C436" s="10">
        <f>7.2827 * CHOOSE(CONTROL!$C$32, $C$9, 100%, $E$9)</f>
        <v>7.2827000000000002</v>
      </c>
      <c r="D436" s="10">
        <f>7.2836 * CHOOSE(CONTROL!$C$32, $C$9, 100%, $E$9)</f>
        <v>7.2835999999999999</v>
      </c>
      <c r="E436" s="9">
        <f>6.6198 * CHOOSE(CONTROL!$C$32, $C$9, 100%, $E$9)</f>
        <v>6.6197999999999997</v>
      </c>
      <c r="F436" s="9">
        <f>6.6198 * CHOOSE(CONTROL!$C$32, $C$9, 100%, $E$9)</f>
        <v>6.6197999999999997</v>
      </c>
      <c r="G436" s="9">
        <f>6.6231 * CHOOSE(CONTROL!$C$32, $C$9, 100%, $E$9)</f>
        <v>6.6231</v>
      </c>
      <c r="H436" s="9">
        <f>8.855 * CHOOSE(CONTROL!$C$32, $C$9, 100%, $E$9)</f>
        <v>8.8550000000000004</v>
      </c>
      <c r="I436" s="9">
        <f>8.8582 * CHOOSE(CONTROL!$C$32, $C$9, 100%, $E$9)</f>
        <v>8.8582000000000001</v>
      </c>
      <c r="J436" s="9">
        <f>8.855 * CHOOSE(CONTROL!$C$32, $C$9, 100%, $E$9)</f>
        <v>8.8550000000000004</v>
      </c>
      <c r="K436" s="9">
        <f>8.8582 * CHOOSE(CONTROL!$C$32, $C$9, 100%, $E$9)</f>
        <v>8.8582000000000001</v>
      </c>
      <c r="L436" s="9">
        <f>6.6198 * CHOOSE(CONTROL!$C$32, $C$9, 100%, $E$9)</f>
        <v>6.6197999999999997</v>
      </c>
      <c r="M436" s="9">
        <f>6.6231 * CHOOSE(CONTROL!$C$32, $C$9, 100%, $E$9)</f>
        <v>6.6231</v>
      </c>
      <c r="N436" s="9">
        <f>6.6198 * CHOOSE(CONTROL!$C$32, $C$9, 100%, $E$9)</f>
        <v>6.6197999999999997</v>
      </c>
      <c r="O436" s="9">
        <f>6.6231 * CHOOSE(CONTROL!$C$32, $C$9, 100%, $E$9)</f>
        <v>6.6231</v>
      </c>
    </row>
    <row r="437" spans="1:15" ht="15.75" x14ac:dyDescent="0.25">
      <c r="A437" s="14">
        <v>54178</v>
      </c>
      <c r="B437" s="10">
        <f>7.2837 * CHOOSE(CONTROL!$C$32, $C$9, 100%, $E$9)</f>
        <v>7.2836999999999996</v>
      </c>
      <c r="C437" s="10">
        <f>7.2837 * CHOOSE(CONTROL!$C$32, $C$9, 100%, $E$9)</f>
        <v>7.2836999999999996</v>
      </c>
      <c r="D437" s="10">
        <f>7.2847 * CHOOSE(CONTROL!$C$32, $C$9, 100%, $E$9)</f>
        <v>7.2847</v>
      </c>
      <c r="E437" s="9">
        <f>6.7315 * CHOOSE(CONTROL!$C$32, $C$9, 100%, $E$9)</f>
        <v>6.7314999999999996</v>
      </c>
      <c r="F437" s="9">
        <f>6.7315 * CHOOSE(CONTROL!$C$32, $C$9, 100%, $E$9)</f>
        <v>6.7314999999999996</v>
      </c>
      <c r="G437" s="9">
        <f>6.7347 * CHOOSE(CONTROL!$C$32, $C$9, 100%, $E$9)</f>
        <v>6.7347000000000001</v>
      </c>
      <c r="H437" s="9">
        <f>8.8554 * CHOOSE(CONTROL!$C$32, $C$9, 100%, $E$9)</f>
        <v>8.8553999999999995</v>
      </c>
      <c r="I437" s="9">
        <f>8.8586 * CHOOSE(CONTROL!$C$32, $C$9, 100%, $E$9)</f>
        <v>8.8585999999999991</v>
      </c>
      <c r="J437" s="9">
        <f>8.8554 * CHOOSE(CONTROL!$C$32, $C$9, 100%, $E$9)</f>
        <v>8.8553999999999995</v>
      </c>
      <c r="K437" s="9">
        <f>8.8586 * CHOOSE(CONTROL!$C$32, $C$9, 100%, $E$9)</f>
        <v>8.8585999999999991</v>
      </c>
      <c r="L437" s="9">
        <f>6.7315 * CHOOSE(CONTROL!$C$32, $C$9, 100%, $E$9)</f>
        <v>6.7314999999999996</v>
      </c>
      <c r="M437" s="9">
        <f>6.7347 * CHOOSE(CONTROL!$C$32, $C$9, 100%, $E$9)</f>
        <v>6.7347000000000001</v>
      </c>
      <c r="N437" s="9">
        <f>6.7315 * CHOOSE(CONTROL!$C$32, $C$9, 100%, $E$9)</f>
        <v>6.7314999999999996</v>
      </c>
      <c r="O437" s="9">
        <f>6.7347 * CHOOSE(CONTROL!$C$32, $C$9, 100%, $E$9)</f>
        <v>6.7347000000000001</v>
      </c>
    </row>
    <row r="438" spans="1:15" ht="15.75" x14ac:dyDescent="0.25">
      <c r="A438" s="14">
        <v>54209</v>
      </c>
      <c r="B438" s="10">
        <f>7.2837 * CHOOSE(CONTROL!$C$32, $C$9, 100%, $E$9)</f>
        <v>7.2836999999999996</v>
      </c>
      <c r="C438" s="10">
        <f>7.2837 * CHOOSE(CONTROL!$C$32, $C$9, 100%, $E$9)</f>
        <v>7.2836999999999996</v>
      </c>
      <c r="D438" s="10">
        <f>7.285 * CHOOSE(CONTROL!$C$32, $C$9, 100%, $E$9)</f>
        <v>7.2850000000000001</v>
      </c>
      <c r="E438" s="9">
        <f>6.7749 * CHOOSE(CONTROL!$C$32, $C$9, 100%, $E$9)</f>
        <v>6.7748999999999997</v>
      </c>
      <c r="F438" s="9">
        <f>6.7749 * CHOOSE(CONTROL!$C$32, $C$9, 100%, $E$9)</f>
        <v>6.7748999999999997</v>
      </c>
      <c r="G438" s="9">
        <f>6.7791 * CHOOSE(CONTROL!$C$32, $C$9, 100%, $E$9)</f>
        <v>6.7790999999999997</v>
      </c>
      <c r="H438" s="9">
        <f>8.8554 * CHOOSE(CONTROL!$C$32, $C$9, 100%, $E$9)</f>
        <v>8.8553999999999995</v>
      </c>
      <c r="I438" s="9">
        <f>8.8596 * CHOOSE(CONTROL!$C$32, $C$9, 100%, $E$9)</f>
        <v>8.8596000000000004</v>
      </c>
      <c r="J438" s="9">
        <f>8.8554 * CHOOSE(CONTROL!$C$32, $C$9, 100%, $E$9)</f>
        <v>8.8553999999999995</v>
      </c>
      <c r="K438" s="9">
        <f>8.8596 * CHOOSE(CONTROL!$C$32, $C$9, 100%, $E$9)</f>
        <v>8.8596000000000004</v>
      </c>
      <c r="L438" s="9">
        <f>6.7749 * CHOOSE(CONTROL!$C$32, $C$9, 100%, $E$9)</f>
        <v>6.7748999999999997</v>
      </c>
      <c r="M438" s="9">
        <f>6.7791 * CHOOSE(CONTROL!$C$32, $C$9, 100%, $E$9)</f>
        <v>6.7790999999999997</v>
      </c>
      <c r="N438" s="9">
        <f>6.7749 * CHOOSE(CONTROL!$C$32, $C$9, 100%, $E$9)</f>
        <v>6.7748999999999997</v>
      </c>
      <c r="O438" s="9">
        <f>6.7791 * CHOOSE(CONTROL!$C$32, $C$9, 100%, $E$9)</f>
        <v>6.7790999999999997</v>
      </c>
    </row>
    <row r="439" spans="1:15" ht="15.75" x14ac:dyDescent="0.25">
      <c r="A439" s="14">
        <v>54239</v>
      </c>
      <c r="B439" s="10">
        <f>7.2898 * CHOOSE(CONTROL!$C$32, $C$9, 100%, $E$9)</f>
        <v>7.2897999999999996</v>
      </c>
      <c r="C439" s="10">
        <f>7.2898 * CHOOSE(CONTROL!$C$32, $C$9, 100%, $E$9)</f>
        <v>7.2897999999999996</v>
      </c>
      <c r="D439" s="10">
        <f>7.2911 * CHOOSE(CONTROL!$C$32, $C$9, 100%, $E$9)</f>
        <v>7.2911000000000001</v>
      </c>
      <c r="E439" s="9">
        <f>6.7357 * CHOOSE(CONTROL!$C$32, $C$9, 100%, $E$9)</f>
        <v>6.7356999999999996</v>
      </c>
      <c r="F439" s="9">
        <f>6.7357 * CHOOSE(CONTROL!$C$32, $C$9, 100%, $E$9)</f>
        <v>6.7356999999999996</v>
      </c>
      <c r="G439" s="9">
        <f>6.7399 * CHOOSE(CONTROL!$C$32, $C$9, 100%, $E$9)</f>
        <v>6.7398999999999996</v>
      </c>
      <c r="H439" s="9">
        <f>8.8594 * CHOOSE(CONTROL!$C$32, $C$9, 100%, $E$9)</f>
        <v>8.8594000000000008</v>
      </c>
      <c r="I439" s="9">
        <f>8.8636 * CHOOSE(CONTROL!$C$32, $C$9, 100%, $E$9)</f>
        <v>8.8635999999999999</v>
      </c>
      <c r="J439" s="9">
        <f>8.8594 * CHOOSE(CONTROL!$C$32, $C$9, 100%, $E$9)</f>
        <v>8.8594000000000008</v>
      </c>
      <c r="K439" s="9">
        <f>8.8636 * CHOOSE(CONTROL!$C$32, $C$9, 100%, $E$9)</f>
        <v>8.8635999999999999</v>
      </c>
      <c r="L439" s="9">
        <f>6.7357 * CHOOSE(CONTROL!$C$32, $C$9, 100%, $E$9)</f>
        <v>6.7356999999999996</v>
      </c>
      <c r="M439" s="9">
        <f>6.7399 * CHOOSE(CONTROL!$C$32, $C$9, 100%, $E$9)</f>
        <v>6.7398999999999996</v>
      </c>
      <c r="N439" s="9">
        <f>6.7357 * CHOOSE(CONTROL!$C$32, $C$9, 100%, $E$9)</f>
        <v>6.7356999999999996</v>
      </c>
      <c r="O439" s="9">
        <f>6.7399 * CHOOSE(CONTROL!$C$32, $C$9, 100%, $E$9)</f>
        <v>6.7398999999999996</v>
      </c>
    </row>
    <row r="440" spans="1:15" ht="15.75" x14ac:dyDescent="0.25">
      <c r="A440" s="14">
        <v>54270</v>
      </c>
      <c r="B440" s="10">
        <f>7.3958 * CHOOSE(CONTROL!$C$32, $C$9, 100%, $E$9)</f>
        <v>7.3958000000000004</v>
      </c>
      <c r="C440" s="10">
        <f>7.3958 * CHOOSE(CONTROL!$C$32, $C$9, 100%, $E$9)</f>
        <v>7.3958000000000004</v>
      </c>
      <c r="D440" s="10">
        <f>7.397 * CHOOSE(CONTROL!$C$32, $C$9, 100%, $E$9)</f>
        <v>7.3970000000000002</v>
      </c>
      <c r="E440" s="9">
        <f>6.8156 * CHOOSE(CONTROL!$C$32, $C$9, 100%, $E$9)</f>
        <v>6.8155999999999999</v>
      </c>
      <c r="F440" s="9">
        <f>6.8156 * CHOOSE(CONTROL!$C$32, $C$9, 100%, $E$9)</f>
        <v>6.8155999999999999</v>
      </c>
      <c r="G440" s="9">
        <f>6.8198 * CHOOSE(CONTROL!$C$32, $C$9, 100%, $E$9)</f>
        <v>6.8197999999999999</v>
      </c>
      <c r="H440" s="9">
        <f>8.9939 * CHOOSE(CONTROL!$C$32, $C$9, 100%, $E$9)</f>
        <v>8.9939</v>
      </c>
      <c r="I440" s="9">
        <f>8.9981 * CHOOSE(CONTROL!$C$32, $C$9, 100%, $E$9)</f>
        <v>8.9981000000000009</v>
      </c>
      <c r="J440" s="9">
        <f>8.9939 * CHOOSE(CONTROL!$C$32, $C$9, 100%, $E$9)</f>
        <v>8.9939</v>
      </c>
      <c r="K440" s="9">
        <f>8.9981 * CHOOSE(CONTROL!$C$32, $C$9, 100%, $E$9)</f>
        <v>8.9981000000000009</v>
      </c>
      <c r="L440" s="9">
        <f>6.8156 * CHOOSE(CONTROL!$C$32, $C$9, 100%, $E$9)</f>
        <v>6.8155999999999999</v>
      </c>
      <c r="M440" s="9">
        <f>6.8198 * CHOOSE(CONTROL!$C$32, $C$9, 100%, $E$9)</f>
        <v>6.8197999999999999</v>
      </c>
      <c r="N440" s="9">
        <f>6.8156 * CHOOSE(CONTROL!$C$32, $C$9, 100%, $E$9)</f>
        <v>6.8155999999999999</v>
      </c>
      <c r="O440" s="9">
        <f>6.8198 * CHOOSE(CONTROL!$C$32, $C$9, 100%, $E$9)</f>
        <v>6.8197999999999999</v>
      </c>
    </row>
    <row r="441" spans="1:15" ht="15.75" x14ac:dyDescent="0.25">
      <c r="A441" s="14">
        <v>54301</v>
      </c>
      <c r="B441" s="10">
        <f>7.4025 * CHOOSE(CONTROL!$C$32, $C$9, 100%, $E$9)</f>
        <v>7.4024999999999999</v>
      </c>
      <c r="C441" s="10">
        <f>7.4025 * CHOOSE(CONTROL!$C$32, $C$9, 100%, $E$9)</f>
        <v>7.4024999999999999</v>
      </c>
      <c r="D441" s="10">
        <f>7.4037 * CHOOSE(CONTROL!$C$32, $C$9, 100%, $E$9)</f>
        <v>7.4036999999999997</v>
      </c>
      <c r="E441" s="9">
        <f>6.6899 * CHOOSE(CONTROL!$C$32, $C$9, 100%, $E$9)</f>
        <v>6.6898999999999997</v>
      </c>
      <c r="F441" s="9">
        <f>6.6899 * CHOOSE(CONTROL!$C$32, $C$9, 100%, $E$9)</f>
        <v>6.6898999999999997</v>
      </c>
      <c r="G441" s="9">
        <f>6.6941 * CHOOSE(CONTROL!$C$32, $C$9, 100%, $E$9)</f>
        <v>6.6940999999999997</v>
      </c>
      <c r="H441" s="9">
        <f>8.9983 * CHOOSE(CONTROL!$C$32, $C$9, 100%, $E$9)</f>
        <v>8.9983000000000004</v>
      </c>
      <c r="I441" s="9">
        <f>9.0025 * CHOOSE(CONTROL!$C$32, $C$9, 100%, $E$9)</f>
        <v>9.0024999999999995</v>
      </c>
      <c r="J441" s="9">
        <f>8.9983 * CHOOSE(CONTROL!$C$32, $C$9, 100%, $E$9)</f>
        <v>8.9983000000000004</v>
      </c>
      <c r="K441" s="9">
        <f>9.0025 * CHOOSE(CONTROL!$C$32, $C$9, 100%, $E$9)</f>
        <v>9.0024999999999995</v>
      </c>
      <c r="L441" s="9">
        <f>6.6899 * CHOOSE(CONTROL!$C$32, $C$9, 100%, $E$9)</f>
        <v>6.6898999999999997</v>
      </c>
      <c r="M441" s="9">
        <f>6.6941 * CHOOSE(CONTROL!$C$32, $C$9, 100%, $E$9)</f>
        <v>6.6940999999999997</v>
      </c>
      <c r="N441" s="9">
        <f>6.6899 * CHOOSE(CONTROL!$C$32, $C$9, 100%, $E$9)</f>
        <v>6.6898999999999997</v>
      </c>
      <c r="O441" s="9">
        <f>6.6941 * CHOOSE(CONTROL!$C$32, $C$9, 100%, $E$9)</f>
        <v>6.6940999999999997</v>
      </c>
    </row>
    <row r="442" spans="1:15" ht="15.75" x14ac:dyDescent="0.25">
      <c r="A442" s="14">
        <v>54331</v>
      </c>
      <c r="B442" s="10">
        <f>7.3994 * CHOOSE(CONTROL!$C$32, $C$9, 100%, $E$9)</f>
        <v>7.3994</v>
      </c>
      <c r="C442" s="10">
        <f>7.3994 * CHOOSE(CONTROL!$C$32, $C$9, 100%, $E$9)</f>
        <v>7.3994</v>
      </c>
      <c r="D442" s="10">
        <f>7.4007 * CHOOSE(CONTROL!$C$32, $C$9, 100%, $E$9)</f>
        <v>7.4006999999999996</v>
      </c>
      <c r="E442" s="9">
        <f>6.6732 * CHOOSE(CONTROL!$C$32, $C$9, 100%, $E$9)</f>
        <v>6.6731999999999996</v>
      </c>
      <c r="F442" s="9">
        <f>6.6732 * CHOOSE(CONTROL!$C$32, $C$9, 100%, $E$9)</f>
        <v>6.6731999999999996</v>
      </c>
      <c r="G442" s="9">
        <f>6.6774 * CHOOSE(CONTROL!$C$32, $C$9, 100%, $E$9)</f>
        <v>6.6773999999999996</v>
      </c>
      <c r="H442" s="9">
        <f>8.9963 * CHOOSE(CONTROL!$C$32, $C$9, 100%, $E$9)</f>
        <v>8.9962999999999997</v>
      </c>
      <c r="I442" s="9">
        <f>9.0005 * CHOOSE(CONTROL!$C$32, $C$9, 100%, $E$9)</f>
        <v>9.0005000000000006</v>
      </c>
      <c r="J442" s="9">
        <f>8.9963 * CHOOSE(CONTROL!$C$32, $C$9, 100%, $E$9)</f>
        <v>8.9962999999999997</v>
      </c>
      <c r="K442" s="9">
        <f>9.0005 * CHOOSE(CONTROL!$C$32, $C$9, 100%, $E$9)</f>
        <v>9.0005000000000006</v>
      </c>
      <c r="L442" s="9">
        <f>6.6732 * CHOOSE(CONTROL!$C$32, $C$9, 100%, $E$9)</f>
        <v>6.6731999999999996</v>
      </c>
      <c r="M442" s="9">
        <f>6.6774 * CHOOSE(CONTROL!$C$32, $C$9, 100%, $E$9)</f>
        <v>6.6773999999999996</v>
      </c>
      <c r="N442" s="9">
        <f>6.6732 * CHOOSE(CONTROL!$C$32, $C$9, 100%, $E$9)</f>
        <v>6.6731999999999996</v>
      </c>
      <c r="O442" s="9">
        <f>6.6774 * CHOOSE(CONTROL!$C$32, $C$9, 100%, $E$9)</f>
        <v>6.6773999999999996</v>
      </c>
    </row>
    <row r="443" spans="1:15" ht="15.75" x14ac:dyDescent="0.25">
      <c r="A443" s="14">
        <v>54362</v>
      </c>
      <c r="B443" s="10">
        <f>7.4081 * CHOOSE(CONTROL!$C$32, $C$9, 100%, $E$9)</f>
        <v>7.4081000000000001</v>
      </c>
      <c r="C443" s="10">
        <f>7.4081 * CHOOSE(CONTROL!$C$32, $C$9, 100%, $E$9)</f>
        <v>7.4081000000000001</v>
      </c>
      <c r="D443" s="10">
        <f>7.409 * CHOOSE(CONTROL!$C$32, $C$9, 100%, $E$9)</f>
        <v>7.4089999999999998</v>
      </c>
      <c r="E443" s="9">
        <f>6.7178 * CHOOSE(CONTROL!$C$32, $C$9, 100%, $E$9)</f>
        <v>6.7178000000000004</v>
      </c>
      <c r="F443" s="9">
        <f>6.7178 * CHOOSE(CONTROL!$C$32, $C$9, 100%, $E$9)</f>
        <v>6.7178000000000004</v>
      </c>
      <c r="G443" s="9">
        <f>6.721 * CHOOSE(CONTROL!$C$32, $C$9, 100%, $E$9)</f>
        <v>6.7210000000000001</v>
      </c>
      <c r="H443" s="9">
        <f>9.001 * CHOOSE(CONTROL!$C$32, $C$9, 100%, $E$9)</f>
        <v>9.0009999999999994</v>
      </c>
      <c r="I443" s="9">
        <f>9.0042 * CHOOSE(CONTROL!$C$32, $C$9, 100%, $E$9)</f>
        <v>9.0042000000000009</v>
      </c>
      <c r="J443" s="9">
        <f>9.001 * CHOOSE(CONTROL!$C$32, $C$9, 100%, $E$9)</f>
        <v>9.0009999999999994</v>
      </c>
      <c r="K443" s="9">
        <f>9.0042 * CHOOSE(CONTROL!$C$32, $C$9, 100%, $E$9)</f>
        <v>9.0042000000000009</v>
      </c>
      <c r="L443" s="9">
        <f>6.7178 * CHOOSE(CONTROL!$C$32, $C$9, 100%, $E$9)</f>
        <v>6.7178000000000004</v>
      </c>
      <c r="M443" s="9">
        <f>6.721 * CHOOSE(CONTROL!$C$32, $C$9, 100%, $E$9)</f>
        <v>6.7210000000000001</v>
      </c>
      <c r="N443" s="9">
        <f>6.7178 * CHOOSE(CONTROL!$C$32, $C$9, 100%, $E$9)</f>
        <v>6.7178000000000004</v>
      </c>
      <c r="O443" s="9">
        <f>6.721 * CHOOSE(CONTROL!$C$32, $C$9, 100%, $E$9)</f>
        <v>6.7210000000000001</v>
      </c>
    </row>
    <row r="444" spans="1:15" ht="15.75" x14ac:dyDescent="0.25">
      <c r="A444" s="14">
        <v>54392</v>
      </c>
      <c r="B444" s="10">
        <f>7.4111 * CHOOSE(CONTROL!$C$32, $C$9, 100%, $E$9)</f>
        <v>7.4111000000000002</v>
      </c>
      <c r="C444" s="10">
        <f>7.4111 * CHOOSE(CONTROL!$C$32, $C$9, 100%, $E$9)</f>
        <v>7.4111000000000002</v>
      </c>
      <c r="D444" s="10">
        <f>7.4121 * CHOOSE(CONTROL!$C$32, $C$9, 100%, $E$9)</f>
        <v>7.4120999999999997</v>
      </c>
      <c r="E444" s="9">
        <f>6.7489 * CHOOSE(CONTROL!$C$32, $C$9, 100%, $E$9)</f>
        <v>6.7488999999999999</v>
      </c>
      <c r="F444" s="9">
        <f>6.7489 * CHOOSE(CONTROL!$C$32, $C$9, 100%, $E$9)</f>
        <v>6.7488999999999999</v>
      </c>
      <c r="G444" s="9">
        <f>6.7521 * CHOOSE(CONTROL!$C$32, $C$9, 100%, $E$9)</f>
        <v>6.7521000000000004</v>
      </c>
      <c r="H444" s="9">
        <f>9.003 * CHOOSE(CONTROL!$C$32, $C$9, 100%, $E$9)</f>
        <v>9.0030000000000001</v>
      </c>
      <c r="I444" s="9">
        <f>9.0062 * CHOOSE(CONTROL!$C$32, $C$9, 100%, $E$9)</f>
        <v>9.0061999999999998</v>
      </c>
      <c r="J444" s="9">
        <f>9.003 * CHOOSE(CONTROL!$C$32, $C$9, 100%, $E$9)</f>
        <v>9.0030000000000001</v>
      </c>
      <c r="K444" s="9">
        <f>9.0062 * CHOOSE(CONTROL!$C$32, $C$9, 100%, $E$9)</f>
        <v>9.0061999999999998</v>
      </c>
      <c r="L444" s="9">
        <f>6.7489 * CHOOSE(CONTROL!$C$32, $C$9, 100%, $E$9)</f>
        <v>6.7488999999999999</v>
      </c>
      <c r="M444" s="9">
        <f>6.7521 * CHOOSE(CONTROL!$C$32, $C$9, 100%, $E$9)</f>
        <v>6.7521000000000004</v>
      </c>
      <c r="N444" s="9">
        <f>6.7489 * CHOOSE(CONTROL!$C$32, $C$9, 100%, $E$9)</f>
        <v>6.7488999999999999</v>
      </c>
      <c r="O444" s="9">
        <f>6.7521 * CHOOSE(CONTROL!$C$32, $C$9, 100%, $E$9)</f>
        <v>6.7521000000000004</v>
      </c>
    </row>
    <row r="445" spans="1:15" ht="15.75" x14ac:dyDescent="0.25">
      <c r="A445" s="14">
        <v>54423</v>
      </c>
      <c r="B445" s="10">
        <f>7.4111 * CHOOSE(CONTROL!$C$32, $C$9, 100%, $E$9)</f>
        <v>7.4111000000000002</v>
      </c>
      <c r="C445" s="10">
        <f>7.4111 * CHOOSE(CONTROL!$C$32, $C$9, 100%, $E$9)</f>
        <v>7.4111000000000002</v>
      </c>
      <c r="D445" s="10">
        <f>7.4121 * CHOOSE(CONTROL!$C$32, $C$9, 100%, $E$9)</f>
        <v>7.4120999999999997</v>
      </c>
      <c r="E445" s="9">
        <f>6.6764 * CHOOSE(CONTROL!$C$32, $C$9, 100%, $E$9)</f>
        <v>6.6764000000000001</v>
      </c>
      <c r="F445" s="9">
        <f>6.6764 * CHOOSE(CONTROL!$C$32, $C$9, 100%, $E$9)</f>
        <v>6.6764000000000001</v>
      </c>
      <c r="G445" s="9">
        <f>6.6797 * CHOOSE(CONTROL!$C$32, $C$9, 100%, $E$9)</f>
        <v>6.6797000000000004</v>
      </c>
      <c r="H445" s="9">
        <f>9.003 * CHOOSE(CONTROL!$C$32, $C$9, 100%, $E$9)</f>
        <v>9.0030000000000001</v>
      </c>
      <c r="I445" s="9">
        <f>9.0062 * CHOOSE(CONTROL!$C$32, $C$9, 100%, $E$9)</f>
        <v>9.0061999999999998</v>
      </c>
      <c r="J445" s="9">
        <f>9.003 * CHOOSE(CONTROL!$C$32, $C$9, 100%, $E$9)</f>
        <v>9.0030000000000001</v>
      </c>
      <c r="K445" s="9">
        <f>9.0062 * CHOOSE(CONTROL!$C$32, $C$9, 100%, $E$9)</f>
        <v>9.0061999999999998</v>
      </c>
      <c r="L445" s="9">
        <f>6.6764 * CHOOSE(CONTROL!$C$32, $C$9, 100%, $E$9)</f>
        <v>6.6764000000000001</v>
      </c>
      <c r="M445" s="9">
        <f>6.6797 * CHOOSE(CONTROL!$C$32, $C$9, 100%, $E$9)</f>
        <v>6.6797000000000004</v>
      </c>
      <c r="N445" s="9">
        <f>6.6764 * CHOOSE(CONTROL!$C$32, $C$9, 100%, $E$9)</f>
        <v>6.6764000000000001</v>
      </c>
      <c r="O445" s="9">
        <f>6.6797 * CHOOSE(CONTROL!$C$32, $C$9, 100%, $E$9)</f>
        <v>6.6797000000000004</v>
      </c>
    </row>
    <row r="446" spans="1:15" ht="15.75" x14ac:dyDescent="0.25">
      <c r="A446" s="14">
        <v>54454</v>
      </c>
      <c r="B446" s="10">
        <f>7.473 * CHOOSE(CONTROL!$C$32, $C$9, 100%, $E$9)</f>
        <v>7.4729999999999999</v>
      </c>
      <c r="C446" s="10">
        <f>7.473 * CHOOSE(CONTROL!$C$32, $C$9, 100%, $E$9)</f>
        <v>7.4729999999999999</v>
      </c>
      <c r="D446" s="10">
        <f>7.474 * CHOOSE(CONTROL!$C$32, $C$9, 100%, $E$9)</f>
        <v>7.4740000000000002</v>
      </c>
      <c r="E446" s="9">
        <f>6.7749 * CHOOSE(CONTROL!$C$32, $C$9, 100%, $E$9)</f>
        <v>6.7748999999999997</v>
      </c>
      <c r="F446" s="9">
        <f>6.7749 * CHOOSE(CONTROL!$C$32, $C$9, 100%, $E$9)</f>
        <v>6.7748999999999997</v>
      </c>
      <c r="G446" s="9">
        <f>6.7781 * CHOOSE(CONTROL!$C$32, $C$9, 100%, $E$9)</f>
        <v>6.7781000000000002</v>
      </c>
      <c r="H446" s="9">
        <f>9.0701 * CHOOSE(CONTROL!$C$32, $C$9, 100%, $E$9)</f>
        <v>9.0701000000000001</v>
      </c>
      <c r="I446" s="9">
        <f>9.0734 * CHOOSE(CONTROL!$C$32, $C$9, 100%, $E$9)</f>
        <v>9.0733999999999995</v>
      </c>
      <c r="J446" s="9">
        <f>9.0701 * CHOOSE(CONTROL!$C$32, $C$9, 100%, $E$9)</f>
        <v>9.0701000000000001</v>
      </c>
      <c r="K446" s="9">
        <f>9.0734 * CHOOSE(CONTROL!$C$32, $C$9, 100%, $E$9)</f>
        <v>9.0733999999999995</v>
      </c>
      <c r="L446" s="9">
        <f>6.7749 * CHOOSE(CONTROL!$C$32, $C$9, 100%, $E$9)</f>
        <v>6.7748999999999997</v>
      </c>
      <c r="M446" s="9">
        <f>6.7781 * CHOOSE(CONTROL!$C$32, $C$9, 100%, $E$9)</f>
        <v>6.7781000000000002</v>
      </c>
      <c r="N446" s="9">
        <f>6.7749 * CHOOSE(CONTROL!$C$32, $C$9, 100%, $E$9)</f>
        <v>6.7748999999999997</v>
      </c>
      <c r="O446" s="9">
        <f>6.7781 * CHOOSE(CONTROL!$C$32, $C$9, 100%, $E$9)</f>
        <v>6.7781000000000002</v>
      </c>
    </row>
    <row r="447" spans="1:15" ht="15.75" x14ac:dyDescent="0.25">
      <c r="A447" s="14">
        <v>54482</v>
      </c>
      <c r="B447" s="10">
        <f>7.47 * CHOOSE(CONTROL!$C$32, $C$9, 100%, $E$9)</f>
        <v>7.47</v>
      </c>
      <c r="C447" s="10">
        <f>7.47 * CHOOSE(CONTROL!$C$32, $C$9, 100%, $E$9)</f>
        <v>7.47</v>
      </c>
      <c r="D447" s="10">
        <f>7.471 * CHOOSE(CONTROL!$C$32, $C$9, 100%, $E$9)</f>
        <v>7.4710000000000001</v>
      </c>
      <c r="E447" s="9">
        <f>6.6318 * CHOOSE(CONTROL!$C$32, $C$9, 100%, $E$9)</f>
        <v>6.6318000000000001</v>
      </c>
      <c r="F447" s="9">
        <f>6.6318 * CHOOSE(CONTROL!$C$32, $C$9, 100%, $E$9)</f>
        <v>6.6318000000000001</v>
      </c>
      <c r="G447" s="9">
        <f>6.635 * CHOOSE(CONTROL!$C$32, $C$9, 100%, $E$9)</f>
        <v>6.6349999999999998</v>
      </c>
      <c r="H447" s="9">
        <f>9.0681 * CHOOSE(CONTROL!$C$32, $C$9, 100%, $E$9)</f>
        <v>9.0680999999999994</v>
      </c>
      <c r="I447" s="9">
        <f>9.0714 * CHOOSE(CONTROL!$C$32, $C$9, 100%, $E$9)</f>
        <v>9.0714000000000006</v>
      </c>
      <c r="J447" s="9">
        <f>9.0681 * CHOOSE(CONTROL!$C$32, $C$9, 100%, $E$9)</f>
        <v>9.0680999999999994</v>
      </c>
      <c r="K447" s="9">
        <f>9.0714 * CHOOSE(CONTROL!$C$32, $C$9, 100%, $E$9)</f>
        <v>9.0714000000000006</v>
      </c>
      <c r="L447" s="9">
        <f>6.6318 * CHOOSE(CONTROL!$C$32, $C$9, 100%, $E$9)</f>
        <v>6.6318000000000001</v>
      </c>
      <c r="M447" s="9">
        <f>6.635 * CHOOSE(CONTROL!$C$32, $C$9, 100%, $E$9)</f>
        <v>6.6349999999999998</v>
      </c>
      <c r="N447" s="9">
        <f>6.6318 * CHOOSE(CONTROL!$C$32, $C$9, 100%, $E$9)</f>
        <v>6.6318000000000001</v>
      </c>
      <c r="O447" s="9">
        <f>6.635 * CHOOSE(CONTROL!$C$32, $C$9, 100%, $E$9)</f>
        <v>6.6349999999999998</v>
      </c>
    </row>
    <row r="448" spans="1:15" ht="15.75" x14ac:dyDescent="0.25">
      <c r="A448" s="14">
        <v>54513</v>
      </c>
      <c r="B448" s="10">
        <f>7.467 * CHOOSE(CONTROL!$C$32, $C$9, 100%, $E$9)</f>
        <v>7.4669999999999996</v>
      </c>
      <c r="C448" s="10">
        <f>7.467 * CHOOSE(CONTROL!$C$32, $C$9, 100%, $E$9)</f>
        <v>7.4669999999999996</v>
      </c>
      <c r="D448" s="10">
        <f>7.4679 * CHOOSE(CONTROL!$C$32, $C$9, 100%, $E$9)</f>
        <v>7.4679000000000002</v>
      </c>
      <c r="E448" s="9">
        <f>6.7408 * CHOOSE(CONTROL!$C$32, $C$9, 100%, $E$9)</f>
        <v>6.7408000000000001</v>
      </c>
      <c r="F448" s="9">
        <f>6.7408 * CHOOSE(CONTROL!$C$32, $C$9, 100%, $E$9)</f>
        <v>6.7408000000000001</v>
      </c>
      <c r="G448" s="9">
        <f>6.744 * CHOOSE(CONTROL!$C$32, $C$9, 100%, $E$9)</f>
        <v>6.7439999999999998</v>
      </c>
      <c r="H448" s="9">
        <f>9.0661 * CHOOSE(CONTROL!$C$32, $C$9, 100%, $E$9)</f>
        <v>9.0661000000000005</v>
      </c>
      <c r="I448" s="9">
        <f>9.0694 * CHOOSE(CONTROL!$C$32, $C$9, 100%, $E$9)</f>
        <v>9.0693999999999999</v>
      </c>
      <c r="J448" s="9">
        <f>9.0661 * CHOOSE(CONTROL!$C$32, $C$9, 100%, $E$9)</f>
        <v>9.0661000000000005</v>
      </c>
      <c r="K448" s="9">
        <f>9.0694 * CHOOSE(CONTROL!$C$32, $C$9, 100%, $E$9)</f>
        <v>9.0693999999999999</v>
      </c>
      <c r="L448" s="9">
        <f>6.7408 * CHOOSE(CONTROL!$C$32, $C$9, 100%, $E$9)</f>
        <v>6.7408000000000001</v>
      </c>
      <c r="M448" s="9">
        <f>6.744 * CHOOSE(CONTROL!$C$32, $C$9, 100%, $E$9)</f>
        <v>6.7439999999999998</v>
      </c>
      <c r="N448" s="9">
        <f>6.7408 * CHOOSE(CONTROL!$C$32, $C$9, 100%, $E$9)</f>
        <v>6.7408000000000001</v>
      </c>
      <c r="O448" s="9">
        <f>6.744 * CHOOSE(CONTROL!$C$32, $C$9, 100%, $E$9)</f>
        <v>6.7439999999999998</v>
      </c>
    </row>
    <row r="449" spans="1:15" ht="15.75" x14ac:dyDescent="0.25">
      <c r="A449" s="14">
        <v>54543</v>
      </c>
      <c r="B449" s="10">
        <f>7.4682 * CHOOSE(CONTROL!$C$32, $C$9, 100%, $E$9)</f>
        <v>7.4682000000000004</v>
      </c>
      <c r="C449" s="10">
        <f>7.4682 * CHOOSE(CONTROL!$C$32, $C$9, 100%, $E$9)</f>
        <v>7.4682000000000004</v>
      </c>
      <c r="D449" s="10">
        <f>7.4692 * CHOOSE(CONTROL!$C$32, $C$9, 100%, $E$9)</f>
        <v>7.4691999999999998</v>
      </c>
      <c r="E449" s="9">
        <f>6.8559 * CHOOSE(CONTROL!$C$32, $C$9, 100%, $E$9)</f>
        <v>6.8559000000000001</v>
      </c>
      <c r="F449" s="9">
        <f>6.8559 * CHOOSE(CONTROL!$C$32, $C$9, 100%, $E$9)</f>
        <v>6.8559000000000001</v>
      </c>
      <c r="G449" s="9">
        <f>6.8591 * CHOOSE(CONTROL!$C$32, $C$9, 100%, $E$9)</f>
        <v>6.8590999999999998</v>
      </c>
      <c r="H449" s="9">
        <f>9.0667 * CHOOSE(CONTROL!$C$32, $C$9, 100%, $E$9)</f>
        <v>9.0667000000000009</v>
      </c>
      <c r="I449" s="9">
        <f>9.0699 * CHOOSE(CONTROL!$C$32, $C$9, 100%, $E$9)</f>
        <v>9.0699000000000005</v>
      </c>
      <c r="J449" s="9">
        <f>9.0667 * CHOOSE(CONTROL!$C$32, $C$9, 100%, $E$9)</f>
        <v>9.0667000000000009</v>
      </c>
      <c r="K449" s="9">
        <f>9.0699 * CHOOSE(CONTROL!$C$32, $C$9, 100%, $E$9)</f>
        <v>9.0699000000000005</v>
      </c>
      <c r="L449" s="9">
        <f>6.8559 * CHOOSE(CONTROL!$C$32, $C$9, 100%, $E$9)</f>
        <v>6.8559000000000001</v>
      </c>
      <c r="M449" s="9">
        <f>6.8591 * CHOOSE(CONTROL!$C$32, $C$9, 100%, $E$9)</f>
        <v>6.8590999999999998</v>
      </c>
      <c r="N449" s="9">
        <f>6.8559 * CHOOSE(CONTROL!$C$32, $C$9, 100%, $E$9)</f>
        <v>6.8559000000000001</v>
      </c>
      <c r="O449" s="9">
        <f>6.8591 * CHOOSE(CONTROL!$C$32, $C$9, 100%, $E$9)</f>
        <v>6.8590999999999998</v>
      </c>
    </row>
    <row r="450" spans="1:15" ht="15.75" x14ac:dyDescent="0.25">
      <c r="A450" s="14">
        <v>54574</v>
      </c>
      <c r="B450" s="10">
        <f>7.4682 * CHOOSE(CONTROL!$C$32, $C$9, 100%, $E$9)</f>
        <v>7.4682000000000004</v>
      </c>
      <c r="C450" s="10">
        <f>7.4682 * CHOOSE(CONTROL!$C$32, $C$9, 100%, $E$9)</f>
        <v>7.4682000000000004</v>
      </c>
      <c r="D450" s="10">
        <f>7.4695 * CHOOSE(CONTROL!$C$32, $C$9, 100%, $E$9)</f>
        <v>7.4695</v>
      </c>
      <c r="E450" s="9">
        <f>6.9007 * CHOOSE(CONTROL!$C$32, $C$9, 100%, $E$9)</f>
        <v>6.9006999999999996</v>
      </c>
      <c r="F450" s="9">
        <f>6.9007 * CHOOSE(CONTROL!$C$32, $C$9, 100%, $E$9)</f>
        <v>6.9006999999999996</v>
      </c>
      <c r="G450" s="9">
        <f>6.9049 * CHOOSE(CONTROL!$C$32, $C$9, 100%, $E$9)</f>
        <v>6.9048999999999996</v>
      </c>
      <c r="H450" s="9">
        <f>9.0667 * CHOOSE(CONTROL!$C$32, $C$9, 100%, $E$9)</f>
        <v>9.0667000000000009</v>
      </c>
      <c r="I450" s="9">
        <f>9.0709 * CHOOSE(CONTROL!$C$32, $C$9, 100%, $E$9)</f>
        <v>9.0709</v>
      </c>
      <c r="J450" s="9">
        <f>9.0667 * CHOOSE(CONTROL!$C$32, $C$9, 100%, $E$9)</f>
        <v>9.0667000000000009</v>
      </c>
      <c r="K450" s="9">
        <f>9.0709 * CHOOSE(CONTROL!$C$32, $C$9, 100%, $E$9)</f>
        <v>9.0709</v>
      </c>
      <c r="L450" s="9">
        <f>6.9007 * CHOOSE(CONTROL!$C$32, $C$9, 100%, $E$9)</f>
        <v>6.9006999999999996</v>
      </c>
      <c r="M450" s="9">
        <f>6.9049 * CHOOSE(CONTROL!$C$32, $C$9, 100%, $E$9)</f>
        <v>6.9048999999999996</v>
      </c>
      <c r="N450" s="9">
        <f>6.9007 * CHOOSE(CONTROL!$C$32, $C$9, 100%, $E$9)</f>
        <v>6.9006999999999996</v>
      </c>
      <c r="O450" s="9">
        <f>6.9049 * CHOOSE(CONTROL!$C$32, $C$9, 100%, $E$9)</f>
        <v>6.9048999999999996</v>
      </c>
    </row>
    <row r="451" spans="1:15" ht="15.75" x14ac:dyDescent="0.25">
      <c r="A451" s="14">
        <v>54604</v>
      </c>
      <c r="B451" s="10">
        <f>7.4743 * CHOOSE(CONTROL!$C$32, $C$9, 100%, $E$9)</f>
        <v>7.4743000000000004</v>
      </c>
      <c r="C451" s="10">
        <f>7.4743 * CHOOSE(CONTROL!$C$32, $C$9, 100%, $E$9)</f>
        <v>7.4743000000000004</v>
      </c>
      <c r="D451" s="10">
        <f>7.4755 * CHOOSE(CONTROL!$C$32, $C$9, 100%, $E$9)</f>
        <v>7.4755000000000003</v>
      </c>
      <c r="E451" s="9">
        <f>6.8601 * CHOOSE(CONTROL!$C$32, $C$9, 100%, $E$9)</f>
        <v>6.8601000000000001</v>
      </c>
      <c r="F451" s="9">
        <f>6.8601 * CHOOSE(CONTROL!$C$32, $C$9, 100%, $E$9)</f>
        <v>6.8601000000000001</v>
      </c>
      <c r="G451" s="9">
        <f>6.8644 * CHOOSE(CONTROL!$C$32, $C$9, 100%, $E$9)</f>
        <v>6.8643999999999998</v>
      </c>
      <c r="H451" s="9">
        <f>9.0707 * CHOOSE(CONTROL!$C$32, $C$9, 100%, $E$9)</f>
        <v>9.0707000000000004</v>
      </c>
      <c r="I451" s="9">
        <f>9.0749 * CHOOSE(CONTROL!$C$32, $C$9, 100%, $E$9)</f>
        <v>9.0748999999999995</v>
      </c>
      <c r="J451" s="9">
        <f>9.0707 * CHOOSE(CONTROL!$C$32, $C$9, 100%, $E$9)</f>
        <v>9.0707000000000004</v>
      </c>
      <c r="K451" s="9">
        <f>9.0749 * CHOOSE(CONTROL!$C$32, $C$9, 100%, $E$9)</f>
        <v>9.0748999999999995</v>
      </c>
      <c r="L451" s="9">
        <f>6.8601 * CHOOSE(CONTROL!$C$32, $C$9, 100%, $E$9)</f>
        <v>6.8601000000000001</v>
      </c>
      <c r="M451" s="9">
        <f>6.8644 * CHOOSE(CONTROL!$C$32, $C$9, 100%, $E$9)</f>
        <v>6.8643999999999998</v>
      </c>
      <c r="N451" s="9">
        <f>6.8601 * CHOOSE(CONTROL!$C$32, $C$9, 100%, $E$9)</f>
        <v>6.8601000000000001</v>
      </c>
      <c r="O451" s="9">
        <f>6.8644 * CHOOSE(CONTROL!$C$32, $C$9, 100%, $E$9)</f>
        <v>6.8643999999999998</v>
      </c>
    </row>
    <row r="452" spans="1:15" ht="15.75" x14ac:dyDescent="0.25">
      <c r="A452" s="14">
        <v>54635</v>
      </c>
      <c r="B452" s="10">
        <f>7.5826 * CHOOSE(CONTROL!$C$32, $C$9, 100%, $E$9)</f>
        <v>7.5826000000000002</v>
      </c>
      <c r="C452" s="10">
        <f>7.5826 * CHOOSE(CONTROL!$C$32, $C$9, 100%, $E$9)</f>
        <v>7.5826000000000002</v>
      </c>
      <c r="D452" s="10">
        <f>7.5838 * CHOOSE(CONTROL!$C$32, $C$9, 100%, $E$9)</f>
        <v>7.5838000000000001</v>
      </c>
      <c r="E452" s="9">
        <f>6.9412 * CHOOSE(CONTROL!$C$32, $C$9, 100%, $E$9)</f>
        <v>6.9412000000000003</v>
      </c>
      <c r="F452" s="9">
        <f>6.9412 * CHOOSE(CONTROL!$C$32, $C$9, 100%, $E$9)</f>
        <v>6.9412000000000003</v>
      </c>
      <c r="G452" s="9">
        <f>6.9455 * CHOOSE(CONTROL!$C$32, $C$9, 100%, $E$9)</f>
        <v>6.9455</v>
      </c>
      <c r="H452" s="9">
        <f>9.2082 * CHOOSE(CONTROL!$C$32, $C$9, 100%, $E$9)</f>
        <v>9.2081999999999997</v>
      </c>
      <c r="I452" s="9">
        <f>9.2124 * CHOOSE(CONTROL!$C$32, $C$9, 100%, $E$9)</f>
        <v>9.2124000000000006</v>
      </c>
      <c r="J452" s="9">
        <f>9.2082 * CHOOSE(CONTROL!$C$32, $C$9, 100%, $E$9)</f>
        <v>9.2081999999999997</v>
      </c>
      <c r="K452" s="9">
        <f>9.2124 * CHOOSE(CONTROL!$C$32, $C$9, 100%, $E$9)</f>
        <v>9.2124000000000006</v>
      </c>
      <c r="L452" s="9">
        <f>6.9412 * CHOOSE(CONTROL!$C$32, $C$9, 100%, $E$9)</f>
        <v>6.9412000000000003</v>
      </c>
      <c r="M452" s="9">
        <f>6.9455 * CHOOSE(CONTROL!$C$32, $C$9, 100%, $E$9)</f>
        <v>6.9455</v>
      </c>
      <c r="N452" s="9">
        <f>6.9412 * CHOOSE(CONTROL!$C$32, $C$9, 100%, $E$9)</f>
        <v>6.9412000000000003</v>
      </c>
      <c r="O452" s="9">
        <f>6.9455 * CHOOSE(CONTROL!$C$32, $C$9, 100%, $E$9)</f>
        <v>6.9455</v>
      </c>
    </row>
    <row r="453" spans="1:15" ht="15.75" x14ac:dyDescent="0.25">
      <c r="A453" s="14">
        <v>54666</v>
      </c>
      <c r="B453" s="10">
        <f>7.5893 * CHOOSE(CONTROL!$C$32, $C$9, 100%, $E$9)</f>
        <v>7.5892999999999997</v>
      </c>
      <c r="C453" s="10">
        <f>7.5893 * CHOOSE(CONTROL!$C$32, $C$9, 100%, $E$9)</f>
        <v>7.5892999999999997</v>
      </c>
      <c r="D453" s="10">
        <f>7.5905 * CHOOSE(CONTROL!$C$32, $C$9, 100%, $E$9)</f>
        <v>7.5904999999999996</v>
      </c>
      <c r="E453" s="9">
        <f>6.8116 * CHOOSE(CONTROL!$C$32, $C$9, 100%, $E$9)</f>
        <v>6.8116000000000003</v>
      </c>
      <c r="F453" s="9">
        <f>6.8116 * CHOOSE(CONTROL!$C$32, $C$9, 100%, $E$9)</f>
        <v>6.8116000000000003</v>
      </c>
      <c r="G453" s="9">
        <f>6.8158 * CHOOSE(CONTROL!$C$32, $C$9, 100%, $E$9)</f>
        <v>6.8158000000000003</v>
      </c>
      <c r="H453" s="9">
        <f>9.2126 * CHOOSE(CONTROL!$C$32, $C$9, 100%, $E$9)</f>
        <v>9.2126000000000001</v>
      </c>
      <c r="I453" s="9">
        <f>9.2168 * CHOOSE(CONTROL!$C$32, $C$9, 100%, $E$9)</f>
        <v>9.2167999999999992</v>
      </c>
      <c r="J453" s="9">
        <f>9.2126 * CHOOSE(CONTROL!$C$32, $C$9, 100%, $E$9)</f>
        <v>9.2126000000000001</v>
      </c>
      <c r="K453" s="9">
        <f>9.2168 * CHOOSE(CONTROL!$C$32, $C$9, 100%, $E$9)</f>
        <v>9.2167999999999992</v>
      </c>
      <c r="L453" s="9">
        <f>6.8116 * CHOOSE(CONTROL!$C$32, $C$9, 100%, $E$9)</f>
        <v>6.8116000000000003</v>
      </c>
      <c r="M453" s="9">
        <f>6.8158 * CHOOSE(CONTROL!$C$32, $C$9, 100%, $E$9)</f>
        <v>6.8158000000000003</v>
      </c>
      <c r="N453" s="9">
        <f>6.8116 * CHOOSE(CONTROL!$C$32, $C$9, 100%, $E$9)</f>
        <v>6.8116000000000003</v>
      </c>
      <c r="O453" s="9">
        <f>6.8158 * CHOOSE(CONTROL!$C$32, $C$9, 100%, $E$9)</f>
        <v>6.8158000000000003</v>
      </c>
    </row>
    <row r="454" spans="1:15" ht="15.75" x14ac:dyDescent="0.25">
      <c r="A454" s="14">
        <v>54696</v>
      </c>
      <c r="B454" s="10">
        <f>7.5862 * CHOOSE(CONTROL!$C$32, $C$9, 100%, $E$9)</f>
        <v>7.5861999999999998</v>
      </c>
      <c r="C454" s="10">
        <f>7.5862 * CHOOSE(CONTROL!$C$32, $C$9, 100%, $E$9)</f>
        <v>7.5861999999999998</v>
      </c>
      <c r="D454" s="10">
        <f>7.5875 * CHOOSE(CONTROL!$C$32, $C$9, 100%, $E$9)</f>
        <v>7.5875000000000004</v>
      </c>
      <c r="E454" s="9">
        <f>6.7946 * CHOOSE(CONTROL!$C$32, $C$9, 100%, $E$9)</f>
        <v>6.7946</v>
      </c>
      <c r="F454" s="9">
        <f>6.7946 * CHOOSE(CONTROL!$C$32, $C$9, 100%, $E$9)</f>
        <v>6.7946</v>
      </c>
      <c r="G454" s="9">
        <f>6.7988 * CHOOSE(CONTROL!$C$32, $C$9, 100%, $E$9)</f>
        <v>6.7988</v>
      </c>
      <c r="H454" s="9">
        <f>9.2106 * CHOOSE(CONTROL!$C$32, $C$9, 100%, $E$9)</f>
        <v>9.2105999999999995</v>
      </c>
      <c r="I454" s="9">
        <f>9.2148 * CHOOSE(CONTROL!$C$32, $C$9, 100%, $E$9)</f>
        <v>9.2148000000000003</v>
      </c>
      <c r="J454" s="9">
        <f>9.2106 * CHOOSE(CONTROL!$C$32, $C$9, 100%, $E$9)</f>
        <v>9.2105999999999995</v>
      </c>
      <c r="K454" s="9">
        <f>9.2148 * CHOOSE(CONTROL!$C$32, $C$9, 100%, $E$9)</f>
        <v>9.2148000000000003</v>
      </c>
      <c r="L454" s="9">
        <f>6.7946 * CHOOSE(CONTROL!$C$32, $C$9, 100%, $E$9)</f>
        <v>6.7946</v>
      </c>
      <c r="M454" s="9">
        <f>6.7988 * CHOOSE(CONTROL!$C$32, $C$9, 100%, $E$9)</f>
        <v>6.7988</v>
      </c>
      <c r="N454" s="9">
        <f>6.7946 * CHOOSE(CONTROL!$C$32, $C$9, 100%, $E$9)</f>
        <v>6.7946</v>
      </c>
      <c r="O454" s="9">
        <f>6.7988 * CHOOSE(CONTROL!$C$32, $C$9, 100%, $E$9)</f>
        <v>6.7988</v>
      </c>
    </row>
    <row r="455" spans="1:15" ht="15.75" x14ac:dyDescent="0.25">
      <c r="A455" s="14">
        <v>54727</v>
      </c>
      <c r="B455" s="10">
        <f>7.5956 * CHOOSE(CONTROL!$C$32, $C$9, 100%, $E$9)</f>
        <v>7.5956000000000001</v>
      </c>
      <c r="C455" s="10">
        <f>7.5956 * CHOOSE(CONTROL!$C$32, $C$9, 100%, $E$9)</f>
        <v>7.5956000000000001</v>
      </c>
      <c r="D455" s="10">
        <f>7.5966 * CHOOSE(CONTROL!$C$32, $C$9, 100%, $E$9)</f>
        <v>7.5965999999999996</v>
      </c>
      <c r="E455" s="9">
        <f>6.8409 * CHOOSE(CONTROL!$C$32, $C$9, 100%, $E$9)</f>
        <v>6.8409000000000004</v>
      </c>
      <c r="F455" s="9">
        <f>6.8409 * CHOOSE(CONTROL!$C$32, $C$9, 100%, $E$9)</f>
        <v>6.8409000000000004</v>
      </c>
      <c r="G455" s="9">
        <f>6.8441 * CHOOSE(CONTROL!$C$32, $C$9, 100%, $E$9)</f>
        <v>6.8441000000000001</v>
      </c>
      <c r="H455" s="9">
        <f>9.2157 * CHOOSE(CONTROL!$C$32, $C$9, 100%, $E$9)</f>
        <v>9.2157</v>
      </c>
      <c r="I455" s="9">
        <f>9.2189 * CHOOSE(CONTROL!$C$32, $C$9, 100%, $E$9)</f>
        <v>9.2188999999999997</v>
      </c>
      <c r="J455" s="9">
        <f>9.2157 * CHOOSE(CONTROL!$C$32, $C$9, 100%, $E$9)</f>
        <v>9.2157</v>
      </c>
      <c r="K455" s="9">
        <f>9.2189 * CHOOSE(CONTROL!$C$32, $C$9, 100%, $E$9)</f>
        <v>9.2188999999999997</v>
      </c>
      <c r="L455" s="9">
        <f>6.8409 * CHOOSE(CONTROL!$C$32, $C$9, 100%, $E$9)</f>
        <v>6.8409000000000004</v>
      </c>
      <c r="M455" s="9">
        <f>6.8441 * CHOOSE(CONTROL!$C$32, $C$9, 100%, $E$9)</f>
        <v>6.8441000000000001</v>
      </c>
      <c r="N455" s="9">
        <f>6.8409 * CHOOSE(CONTROL!$C$32, $C$9, 100%, $E$9)</f>
        <v>6.8409000000000004</v>
      </c>
      <c r="O455" s="9">
        <f>6.8441 * CHOOSE(CONTROL!$C$32, $C$9, 100%, $E$9)</f>
        <v>6.8441000000000001</v>
      </c>
    </row>
    <row r="456" spans="1:15" ht="15.75" x14ac:dyDescent="0.25">
      <c r="A456" s="14">
        <v>54757</v>
      </c>
      <c r="B456" s="10">
        <f>7.5986 * CHOOSE(CONTROL!$C$32, $C$9, 100%, $E$9)</f>
        <v>7.5986000000000002</v>
      </c>
      <c r="C456" s="10">
        <f>7.5986 * CHOOSE(CONTROL!$C$32, $C$9, 100%, $E$9)</f>
        <v>7.5986000000000002</v>
      </c>
      <c r="D456" s="10">
        <f>7.5996 * CHOOSE(CONTROL!$C$32, $C$9, 100%, $E$9)</f>
        <v>7.5995999999999997</v>
      </c>
      <c r="E456" s="9">
        <f>6.8728 * CHOOSE(CONTROL!$C$32, $C$9, 100%, $E$9)</f>
        <v>6.8727999999999998</v>
      </c>
      <c r="F456" s="9">
        <f>6.8728 * CHOOSE(CONTROL!$C$32, $C$9, 100%, $E$9)</f>
        <v>6.8727999999999998</v>
      </c>
      <c r="G456" s="9">
        <f>6.876 * CHOOSE(CONTROL!$C$32, $C$9, 100%, $E$9)</f>
        <v>6.8760000000000003</v>
      </c>
      <c r="H456" s="9">
        <f>9.2177 * CHOOSE(CONTROL!$C$32, $C$9, 100%, $E$9)</f>
        <v>9.2177000000000007</v>
      </c>
      <c r="I456" s="9">
        <f>9.2209 * CHOOSE(CONTROL!$C$32, $C$9, 100%, $E$9)</f>
        <v>9.2209000000000003</v>
      </c>
      <c r="J456" s="9">
        <f>9.2177 * CHOOSE(CONTROL!$C$32, $C$9, 100%, $E$9)</f>
        <v>9.2177000000000007</v>
      </c>
      <c r="K456" s="9">
        <f>9.2209 * CHOOSE(CONTROL!$C$32, $C$9, 100%, $E$9)</f>
        <v>9.2209000000000003</v>
      </c>
      <c r="L456" s="9">
        <f>6.8728 * CHOOSE(CONTROL!$C$32, $C$9, 100%, $E$9)</f>
        <v>6.8727999999999998</v>
      </c>
      <c r="M456" s="9">
        <f>6.876 * CHOOSE(CONTROL!$C$32, $C$9, 100%, $E$9)</f>
        <v>6.8760000000000003</v>
      </c>
      <c r="N456" s="9">
        <f>6.8728 * CHOOSE(CONTROL!$C$32, $C$9, 100%, $E$9)</f>
        <v>6.8727999999999998</v>
      </c>
      <c r="O456" s="9">
        <f>6.876 * CHOOSE(CONTROL!$C$32, $C$9, 100%, $E$9)</f>
        <v>6.8760000000000003</v>
      </c>
    </row>
    <row r="457" spans="1:15" ht="15.75" x14ac:dyDescent="0.25">
      <c r="A457" s="14">
        <v>54788</v>
      </c>
      <c r="B457" s="10">
        <f>7.5986 * CHOOSE(CONTROL!$C$32, $C$9, 100%, $E$9)</f>
        <v>7.5986000000000002</v>
      </c>
      <c r="C457" s="10">
        <f>7.5986 * CHOOSE(CONTROL!$C$32, $C$9, 100%, $E$9)</f>
        <v>7.5986000000000002</v>
      </c>
      <c r="D457" s="10">
        <f>7.5996 * CHOOSE(CONTROL!$C$32, $C$9, 100%, $E$9)</f>
        <v>7.5995999999999997</v>
      </c>
      <c r="E457" s="9">
        <f>6.7982 * CHOOSE(CONTROL!$C$32, $C$9, 100%, $E$9)</f>
        <v>6.7981999999999996</v>
      </c>
      <c r="F457" s="9">
        <f>6.7982 * CHOOSE(CONTROL!$C$32, $C$9, 100%, $E$9)</f>
        <v>6.7981999999999996</v>
      </c>
      <c r="G457" s="9">
        <f>6.8014 * CHOOSE(CONTROL!$C$32, $C$9, 100%, $E$9)</f>
        <v>6.8014000000000001</v>
      </c>
      <c r="H457" s="9">
        <f>9.2177 * CHOOSE(CONTROL!$C$32, $C$9, 100%, $E$9)</f>
        <v>9.2177000000000007</v>
      </c>
      <c r="I457" s="9">
        <f>9.2209 * CHOOSE(CONTROL!$C$32, $C$9, 100%, $E$9)</f>
        <v>9.2209000000000003</v>
      </c>
      <c r="J457" s="9">
        <f>9.2177 * CHOOSE(CONTROL!$C$32, $C$9, 100%, $E$9)</f>
        <v>9.2177000000000007</v>
      </c>
      <c r="K457" s="9">
        <f>9.2209 * CHOOSE(CONTROL!$C$32, $C$9, 100%, $E$9)</f>
        <v>9.2209000000000003</v>
      </c>
      <c r="L457" s="9">
        <f>6.7982 * CHOOSE(CONTROL!$C$32, $C$9, 100%, $E$9)</f>
        <v>6.7981999999999996</v>
      </c>
      <c r="M457" s="9">
        <f>6.8014 * CHOOSE(CONTROL!$C$32, $C$9, 100%, $E$9)</f>
        <v>6.8014000000000001</v>
      </c>
      <c r="N457" s="9">
        <f>6.7982 * CHOOSE(CONTROL!$C$32, $C$9, 100%, $E$9)</f>
        <v>6.7981999999999996</v>
      </c>
      <c r="O457" s="9">
        <f>6.8014 * CHOOSE(CONTROL!$C$32, $C$9, 100%, $E$9)</f>
        <v>6.8014000000000001</v>
      </c>
    </row>
    <row r="458" spans="1:15" ht="15.75" x14ac:dyDescent="0.25">
      <c r="A458" s="14">
        <v>54819</v>
      </c>
      <c r="B458" s="10">
        <f>7.662 * CHOOSE(CONTROL!$C$32, $C$9, 100%, $E$9)</f>
        <v>7.6619999999999999</v>
      </c>
      <c r="C458" s="10">
        <f>7.662 * CHOOSE(CONTROL!$C$32, $C$9, 100%, $E$9)</f>
        <v>7.6619999999999999</v>
      </c>
      <c r="D458" s="10">
        <f>7.663 * CHOOSE(CONTROL!$C$32, $C$9, 100%, $E$9)</f>
        <v>7.6630000000000003</v>
      </c>
      <c r="E458" s="9">
        <f>6.8992 * CHOOSE(CONTROL!$C$32, $C$9, 100%, $E$9)</f>
        <v>6.8992000000000004</v>
      </c>
      <c r="F458" s="9">
        <f>6.8992 * CHOOSE(CONTROL!$C$32, $C$9, 100%, $E$9)</f>
        <v>6.8992000000000004</v>
      </c>
      <c r="G458" s="9">
        <f>6.9024 * CHOOSE(CONTROL!$C$32, $C$9, 100%, $E$9)</f>
        <v>6.9024000000000001</v>
      </c>
      <c r="H458" s="9">
        <f>9.2863 * CHOOSE(CONTROL!$C$32, $C$9, 100%, $E$9)</f>
        <v>9.2863000000000007</v>
      </c>
      <c r="I458" s="9">
        <f>9.2896 * CHOOSE(CONTROL!$C$32, $C$9, 100%, $E$9)</f>
        <v>9.2896000000000001</v>
      </c>
      <c r="J458" s="9">
        <f>9.2863 * CHOOSE(CONTROL!$C$32, $C$9, 100%, $E$9)</f>
        <v>9.2863000000000007</v>
      </c>
      <c r="K458" s="9">
        <f>9.2896 * CHOOSE(CONTROL!$C$32, $C$9, 100%, $E$9)</f>
        <v>9.2896000000000001</v>
      </c>
      <c r="L458" s="9">
        <f>6.8992 * CHOOSE(CONTROL!$C$32, $C$9, 100%, $E$9)</f>
        <v>6.8992000000000004</v>
      </c>
      <c r="M458" s="9">
        <f>6.9024 * CHOOSE(CONTROL!$C$32, $C$9, 100%, $E$9)</f>
        <v>6.9024000000000001</v>
      </c>
      <c r="N458" s="9">
        <f>6.8992 * CHOOSE(CONTROL!$C$32, $C$9, 100%, $E$9)</f>
        <v>6.8992000000000004</v>
      </c>
      <c r="O458" s="9">
        <f>6.9024 * CHOOSE(CONTROL!$C$32, $C$9, 100%, $E$9)</f>
        <v>6.9024000000000001</v>
      </c>
    </row>
    <row r="459" spans="1:15" ht="15.75" x14ac:dyDescent="0.25">
      <c r="A459" s="14">
        <v>54847</v>
      </c>
      <c r="B459" s="10">
        <f>7.659 * CHOOSE(CONTROL!$C$32, $C$9, 100%, $E$9)</f>
        <v>7.6589999999999998</v>
      </c>
      <c r="C459" s="10">
        <f>7.659 * CHOOSE(CONTROL!$C$32, $C$9, 100%, $E$9)</f>
        <v>7.6589999999999998</v>
      </c>
      <c r="D459" s="10">
        <f>7.6599 * CHOOSE(CONTROL!$C$32, $C$9, 100%, $E$9)</f>
        <v>7.6599000000000004</v>
      </c>
      <c r="E459" s="9">
        <f>6.7518 * CHOOSE(CONTROL!$C$32, $C$9, 100%, $E$9)</f>
        <v>6.7518000000000002</v>
      </c>
      <c r="F459" s="9">
        <f>6.7518 * CHOOSE(CONTROL!$C$32, $C$9, 100%, $E$9)</f>
        <v>6.7518000000000002</v>
      </c>
      <c r="G459" s="9">
        <f>6.7551 * CHOOSE(CONTROL!$C$32, $C$9, 100%, $E$9)</f>
        <v>6.7550999999999997</v>
      </c>
      <c r="H459" s="9">
        <f>9.2843 * CHOOSE(CONTROL!$C$32, $C$9, 100%, $E$9)</f>
        <v>9.2843</v>
      </c>
      <c r="I459" s="9">
        <f>9.2876 * CHOOSE(CONTROL!$C$32, $C$9, 100%, $E$9)</f>
        <v>9.2875999999999994</v>
      </c>
      <c r="J459" s="9">
        <f>9.2843 * CHOOSE(CONTROL!$C$32, $C$9, 100%, $E$9)</f>
        <v>9.2843</v>
      </c>
      <c r="K459" s="9">
        <f>9.2876 * CHOOSE(CONTROL!$C$32, $C$9, 100%, $E$9)</f>
        <v>9.2875999999999994</v>
      </c>
      <c r="L459" s="9">
        <f>6.7518 * CHOOSE(CONTROL!$C$32, $C$9, 100%, $E$9)</f>
        <v>6.7518000000000002</v>
      </c>
      <c r="M459" s="9">
        <f>6.7551 * CHOOSE(CONTROL!$C$32, $C$9, 100%, $E$9)</f>
        <v>6.7550999999999997</v>
      </c>
      <c r="N459" s="9">
        <f>6.7518 * CHOOSE(CONTROL!$C$32, $C$9, 100%, $E$9)</f>
        <v>6.7518000000000002</v>
      </c>
      <c r="O459" s="9">
        <f>6.7551 * CHOOSE(CONTROL!$C$32, $C$9, 100%, $E$9)</f>
        <v>6.7550999999999997</v>
      </c>
    </row>
    <row r="460" spans="1:15" ht="15.75" x14ac:dyDescent="0.25">
      <c r="A460" s="14">
        <v>54878</v>
      </c>
      <c r="B460" s="10">
        <f>7.6559 * CHOOSE(CONTROL!$C$32, $C$9, 100%, $E$9)</f>
        <v>7.6558999999999999</v>
      </c>
      <c r="C460" s="10">
        <f>7.6559 * CHOOSE(CONTROL!$C$32, $C$9, 100%, $E$9)</f>
        <v>7.6558999999999999</v>
      </c>
      <c r="D460" s="10">
        <f>7.6569 * CHOOSE(CONTROL!$C$32, $C$9, 100%, $E$9)</f>
        <v>7.6569000000000003</v>
      </c>
      <c r="E460" s="9">
        <f>6.8642 * CHOOSE(CONTROL!$C$32, $C$9, 100%, $E$9)</f>
        <v>6.8642000000000003</v>
      </c>
      <c r="F460" s="9">
        <f>6.8642 * CHOOSE(CONTROL!$C$32, $C$9, 100%, $E$9)</f>
        <v>6.8642000000000003</v>
      </c>
      <c r="G460" s="9">
        <f>6.8674 * CHOOSE(CONTROL!$C$32, $C$9, 100%, $E$9)</f>
        <v>6.8673999999999999</v>
      </c>
      <c r="H460" s="9">
        <f>9.2823 * CHOOSE(CONTROL!$C$32, $C$9, 100%, $E$9)</f>
        <v>9.2822999999999993</v>
      </c>
      <c r="I460" s="9">
        <f>9.2856 * CHOOSE(CONTROL!$C$32, $C$9, 100%, $E$9)</f>
        <v>9.2856000000000005</v>
      </c>
      <c r="J460" s="9">
        <f>9.2823 * CHOOSE(CONTROL!$C$32, $C$9, 100%, $E$9)</f>
        <v>9.2822999999999993</v>
      </c>
      <c r="K460" s="9">
        <f>9.2856 * CHOOSE(CONTROL!$C$32, $C$9, 100%, $E$9)</f>
        <v>9.2856000000000005</v>
      </c>
      <c r="L460" s="9">
        <f>6.8642 * CHOOSE(CONTROL!$C$32, $C$9, 100%, $E$9)</f>
        <v>6.8642000000000003</v>
      </c>
      <c r="M460" s="9">
        <f>6.8674 * CHOOSE(CONTROL!$C$32, $C$9, 100%, $E$9)</f>
        <v>6.8673999999999999</v>
      </c>
      <c r="N460" s="9">
        <f>6.8642 * CHOOSE(CONTROL!$C$32, $C$9, 100%, $E$9)</f>
        <v>6.8642000000000003</v>
      </c>
      <c r="O460" s="9">
        <f>6.8674 * CHOOSE(CONTROL!$C$32, $C$9, 100%, $E$9)</f>
        <v>6.8673999999999999</v>
      </c>
    </row>
    <row r="461" spans="1:15" ht="15.75" x14ac:dyDescent="0.25">
      <c r="A461" s="14">
        <v>54908</v>
      </c>
      <c r="B461" s="10">
        <f>7.6574 * CHOOSE(CONTROL!$C$32, $C$9, 100%, $E$9)</f>
        <v>7.6574</v>
      </c>
      <c r="C461" s="10">
        <f>7.6574 * CHOOSE(CONTROL!$C$32, $C$9, 100%, $E$9)</f>
        <v>7.6574</v>
      </c>
      <c r="D461" s="10">
        <f>7.6583 * CHOOSE(CONTROL!$C$32, $C$9, 100%, $E$9)</f>
        <v>7.6582999999999997</v>
      </c>
      <c r="E461" s="9">
        <f>6.9829 * CHOOSE(CONTROL!$C$32, $C$9, 100%, $E$9)</f>
        <v>6.9828999999999999</v>
      </c>
      <c r="F461" s="9">
        <f>6.9829 * CHOOSE(CONTROL!$C$32, $C$9, 100%, $E$9)</f>
        <v>6.9828999999999999</v>
      </c>
      <c r="G461" s="9">
        <f>6.9861 * CHOOSE(CONTROL!$C$32, $C$9, 100%, $E$9)</f>
        <v>6.9861000000000004</v>
      </c>
      <c r="H461" s="9">
        <f>9.283 * CHOOSE(CONTROL!$C$32, $C$9, 100%, $E$9)</f>
        <v>9.2829999999999995</v>
      </c>
      <c r="I461" s="9">
        <f>9.2862 * CHOOSE(CONTROL!$C$32, $C$9, 100%, $E$9)</f>
        <v>9.2861999999999991</v>
      </c>
      <c r="J461" s="9">
        <f>9.283 * CHOOSE(CONTROL!$C$32, $C$9, 100%, $E$9)</f>
        <v>9.2829999999999995</v>
      </c>
      <c r="K461" s="9">
        <f>9.2862 * CHOOSE(CONTROL!$C$32, $C$9, 100%, $E$9)</f>
        <v>9.2861999999999991</v>
      </c>
      <c r="L461" s="9">
        <f>6.9829 * CHOOSE(CONTROL!$C$32, $C$9, 100%, $E$9)</f>
        <v>6.9828999999999999</v>
      </c>
      <c r="M461" s="9">
        <f>6.9861 * CHOOSE(CONTROL!$C$32, $C$9, 100%, $E$9)</f>
        <v>6.9861000000000004</v>
      </c>
      <c r="N461" s="9">
        <f>6.9829 * CHOOSE(CONTROL!$C$32, $C$9, 100%, $E$9)</f>
        <v>6.9828999999999999</v>
      </c>
      <c r="O461" s="9">
        <f>6.9861 * CHOOSE(CONTROL!$C$32, $C$9, 100%, $E$9)</f>
        <v>6.9861000000000004</v>
      </c>
    </row>
    <row r="462" spans="1:15" ht="15.75" x14ac:dyDescent="0.25">
      <c r="A462" s="14">
        <v>54939</v>
      </c>
      <c r="B462" s="10">
        <f>7.6574 * CHOOSE(CONTROL!$C$32, $C$9, 100%, $E$9)</f>
        <v>7.6574</v>
      </c>
      <c r="C462" s="10">
        <f>7.6574 * CHOOSE(CONTROL!$C$32, $C$9, 100%, $E$9)</f>
        <v>7.6574</v>
      </c>
      <c r="D462" s="10">
        <f>7.6586 * CHOOSE(CONTROL!$C$32, $C$9, 100%, $E$9)</f>
        <v>7.6585999999999999</v>
      </c>
      <c r="E462" s="9">
        <f>7.029 * CHOOSE(CONTROL!$C$32, $C$9, 100%, $E$9)</f>
        <v>7.0289999999999999</v>
      </c>
      <c r="F462" s="9">
        <f>7.029 * CHOOSE(CONTROL!$C$32, $C$9, 100%, $E$9)</f>
        <v>7.0289999999999999</v>
      </c>
      <c r="G462" s="9">
        <f>7.0332 * CHOOSE(CONTROL!$C$32, $C$9, 100%, $E$9)</f>
        <v>7.0331999999999999</v>
      </c>
      <c r="H462" s="9">
        <f>9.283 * CHOOSE(CONTROL!$C$32, $C$9, 100%, $E$9)</f>
        <v>9.2829999999999995</v>
      </c>
      <c r="I462" s="9">
        <f>9.2872 * CHOOSE(CONTROL!$C$32, $C$9, 100%, $E$9)</f>
        <v>9.2872000000000003</v>
      </c>
      <c r="J462" s="9">
        <f>9.283 * CHOOSE(CONTROL!$C$32, $C$9, 100%, $E$9)</f>
        <v>9.2829999999999995</v>
      </c>
      <c r="K462" s="9">
        <f>9.2872 * CHOOSE(CONTROL!$C$32, $C$9, 100%, $E$9)</f>
        <v>9.2872000000000003</v>
      </c>
      <c r="L462" s="9">
        <f>7.029 * CHOOSE(CONTROL!$C$32, $C$9, 100%, $E$9)</f>
        <v>7.0289999999999999</v>
      </c>
      <c r="M462" s="9">
        <f>7.0332 * CHOOSE(CONTROL!$C$32, $C$9, 100%, $E$9)</f>
        <v>7.0331999999999999</v>
      </c>
      <c r="N462" s="9">
        <f>7.029 * CHOOSE(CONTROL!$C$32, $C$9, 100%, $E$9)</f>
        <v>7.0289999999999999</v>
      </c>
      <c r="O462" s="9">
        <f>7.0332 * CHOOSE(CONTROL!$C$32, $C$9, 100%, $E$9)</f>
        <v>7.0331999999999999</v>
      </c>
    </row>
    <row r="463" spans="1:15" ht="15.75" x14ac:dyDescent="0.25">
      <c r="A463" s="14">
        <v>54969</v>
      </c>
      <c r="B463" s="10">
        <f>7.6635 * CHOOSE(CONTROL!$C$32, $C$9, 100%, $E$9)</f>
        <v>7.6635</v>
      </c>
      <c r="C463" s="10">
        <f>7.6635 * CHOOSE(CONTROL!$C$32, $C$9, 100%, $E$9)</f>
        <v>7.6635</v>
      </c>
      <c r="D463" s="10">
        <f>7.6647 * CHOOSE(CONTROL!$C$32, $C$9, 100%, $E$9)</f>
        <v>7.6646999999999998</v>
      </c>
      <c r="E463" s="9">
        <f>6.9871 * CHOOSE(CONTROL!$C$32, $C$9, 100%, $E$9)</f>
        <v>6.9870999999999999</v>
      </c>
      <c r="F463" s="9">
        <f>6.9871 * CHOOSE(CONTROL!$C$32, $C$9, 100%, $E$9)</f>
        <v>6.9870999999999999</v>
      </c>
      <c r="G463" s="9">
        <f>6.9913 * CHOOSE(CONTROL!$C$32, $C$9, 100%, $E$9)</f>
        <v>6.9912999999999998</v>
      </c>
      <c r="H463" s="9">
        <f>9.287 * CHOOSE(CONTROL!$C$32, $C$9, 100%, $E$9)</f>
        <v>9.2870000000000008</v>
      </c>
      <c r="I463" s="9">
        <f>9.2912 * CHOOSE(CONTROL!$C$32, $C$9, 100%, $E$9)</f>
        <v>9.2911999999999999</v>
      </c>
      <c r="J463" s="9">
        <f>9.287 * CHOOSE(CONTROL!$C$32, $C$9, 100%, $E$9)</f>
        <v>9.2870000000000008</v>
      </c>
      <c r="K463" s="9">
        <f>9.2912 * CHOOSE(CONTROL!$C$32, $C$9, 100%, $E$9)</f>
        <v>9.2911999999999999</v>
      </c>
      <c r="L463" s="9">
        <f>6.9871 * CHOOSE(CONTROL!$C$32, $C$9, 100%, $E$9)</f>
        <v>6.9870999999999999</v>
      </c>
      <c r="M463" s="9">
        <f>6.9913 * CHOOSE(CONTROL!$C$32, $C$9, 100%, $E$9)</f>
        <v>6.9912999999999998</v>
      </c>
      <c r="N463" s="9">
        <f>6.9871 * CHOOSE(CONTROL!$C$32, $C$9, 100%, $E$9)</f>
        <v>6.9870999999999999</v>
      </c>
      <c r="O463" s="9">
        <f>6.9913 * CHOOSE(CONTROL!$C$32, $C$9, 100%, $E$9)</f>
        <v>6.9912999999999998</v>
      </c>
    </row>
    <row r="464" spans="1:15" ht="15.75" x14ac:dyDescent="0.25">
      <c r="A464" s="14">
        <v>55000</v>
      </c>
      <c r="B464" s="10">
        <f>7.7741 * CHOOSE(CONTROL!$C$32, $C$9, 100%, $E$9)</f>
        <v>7.7740999999999998</v>
      </c>
      <c r="C464" s="10">
        <f>7.7741 * CHOOSE(CONTROL!$C$32, $C$9, 100%, $E$9)</f>
        <v>7.7740999999999998</v>
      </c>
      <c r="D464" s="10">
        <f>7.7754 * CHOOSE(CONTROL!$C$32, $C$9, 100%, $E$9)</f>
        <v>7.7754000000000003</v>
      </c>
      <c r="E464" s="9">
        <f>7.0695 * CHOOSE(CONTROL!$C$32, $C$9, 100%, $E$9)</f>
        <v>7.0694999999999997</v>
      </c>
      <c r="F464" s="9">
        <f>7.0695 * CHOOSE(CONTROL!$C$32, $C$9, 100%, $E$9)</f>
        <v>7.0694999999999997</v>
      </c>
      <c r="G464" s="9">
        <f>7.0737 * CHOOSE(CONTROL!$C$32, $C$9, 100%, $E$9)</f>
        <v>7.0736999999999997</v>
      </c>
      <c r="H464" s="9">
        <f>9.4275 * CHOOSE(CONTROL!$C$32, $C$9, 100%, $E$9)</f>
        <v>9.4275000000000002</v>
      </c>
      <c r="I464" s="9">
        <f>9.4317 * CHOOSE(CONTROL!$C$32, $C$9, 100%, $E$9)</f>
        <v>9.4316999999999993</v>
      </c>
      <c r="J464" s="9">
        <f>9.4275 * CHOOSE(CONTROL!$C$32, $C$9, 100%, $E$9)</f>
        <v>9.4275000000000002</v>
      </c>
      <c r="K464" s="9">
        <f>9.4317 * CHOOSE(CONTROL!$C$32, $C$9, 100%, $E$9)</f>
        <v>9.4316999999999993</v>
      </c>
      <c r="L464" s="9">
        <f>7.0695 * CHOOSE(CONTROL!$C$32, $C$9, 100%, $E$9)</f>
        <v>7.0694999999999997</v>
      </c>
      <c r="M464" s="9">
        <f>7.0737 * CHOOSE(CONTROL!$C$32, $C$9, 100%, $E$9)</f>
        <v>7.0736999999999997</v>
      </c>
      <c r="N464" s="9">
        <f>7.0695 * CHOOSE(CONTROL!$C$32, $C$9, 100%, $E$9)</f>
        <v>7.0694999999999997</v>
      </c>
      <c r="O464" s="9">
        <f>7.0737 * CHOOSE(CONTROL!$C$32, $C$9, 100%, $E$9)</f>
        <v>7.0736999999999997</v>
      </c>
    </row>
    <row r="465" spans="1:15" ht="15.75" x14ac:dyDescent="0.25">
      <c r="A465" s="14">
        <v>55031</v>
      </c>
      <c r="B465" s="10">
        <f>7.7808 * CHOOSE(CONTROL!$C$32, $C$9, 100%, $E$9)</f>
        <v>7.7808000000000002</v>
      </c>
      <c r="C465" s="10">
        <f>7.7808 * CHOOSE(CONTROL!$C$32, $C$9, 100%, $E$9)</f>
        <v>7.7808000000000002</v>
      </c>
      <c r="D465" s="10">
        <f>7.7821 * CHOOSE(CONTROL!$C$32, $C$9, 100%, $E$9)</f>
        <v>7.7820999999999998</v>
      </c>
      <c r="E465" s="9">
        <f>6.9359 * CHOOSE(CONTROL!$C$32, $C$9, 100%, $E$9)</f>
        <v>6.9359000000000002</v>
      </c>
      <c r="F465" s="9">
        <f>6.9359 * CHOOSE(CONTROL!$C$32, $C$9, 100%, $E$9)</f>
        <v>6.9359000000000002</v>
      </c>
      <c r="G465" s="9">
        <f>6.9401 * CHOOSE(CONTROL!$C$32, $C$9, 100%, $E$9)</f>
        <v>6.9401000000000002</v>
      </c>
      <c r="H465" s="9">
        <f>9.4319 * CHOOSE(CONTROL!$C$32, $C$9, 100%, $E$9)</f>
        <v>9.4319000000000006</v>
      </c>
      <c r="I465" s="9">
        <f>9.4361 * CHOOSE(CONTROL!$C$32, $C$9, 100%, $E$9)</f>
        <v>9.4360999999999997</v>
      </c>
      <c r="J465" s="9">
        <f>9.4319 * CHOOSE(CONTROL!$C$32, $C$9, 100%, $E$9)</f>
        <v>9.4319000000000006</v>
      </c>
      <c r="K465" s="9">
        <f>9.4361 * CHOOSE(CONTROL!$C$32, $C$9, 100%, $E$9)</f>
        <v>9.4360999999999997</v>
      </c>
      <c r="L465" s="9">
        <f>6.9359 * CHOOSE(CONTROL!$C$32, $C$9, 100%, $E$9)</f>
        <v>6.9359000000000002</v>
      </c>
      <c r="M465" s="9">
        <f>6.9401 * CHOOSE(CONTROL!$C$32, $C$9, 100%, $E$9)</f>
        <v>6.9401000000000002</v>
      </c>
      <c r="N465" s="9">
        <f>6.9359 * CHOOSE(CONTROL!$C$32, $C$9, 100%, $E$9)</f>
        <v>6.9359000000000002</v>
      </c>
      <c r="O465" s="9">
        <f>6.9401 * CHOOSE(CONTROL!$C$32, $C$9, 100%, $E$9)</f>
        <v>6.9401000000000002</v>
      </c>
    </row>
    <row r="466" spans="1:15" ht="15.75" x14ac:dyDescent="0.25">
      <c r="A466" s="14">
        <v>55061</v>
      </c>
      <c r="B466" s="10">
        <f>7.7778 * CHOOSE(CONTROL!$C$32, $C$9, 100%, $E$9)</f>
        <v>7.7778</v>
      </c>
      <c r="C466" s="10">
        <f>7.7778 * CHOOSE(CONTROL!$C$32, $C$9, 100%, $E$9)</f>
        <v>7.7778</v>
      </c>
      <c r="D466" s="10">
        <f>7.779 * CHOOSE(CONTROL!$C$32, $C$9, 100%, $E$9)</f>
        <v>7.7789999999999999</v>
      </c>
      <c r="E466" s="9">
        <f>6.9184 * CHOOSE(CONTROL!$C$32, $C$9, 100%, $E$9)</f>
        <v>6.9184000000000001</v>
      </c>
      <c r="F466" s="9">
        <f>6.9184 * CHOOSE(CONTROL!$C$32, $C$9, 100%, $E$9)</f>
        <v>6.9184000000000001</v>
      </c>
      <c r="G466" s="9">
        <f>6.9226 * CHOOSE(CONTROL!$C$32, $C$9, 100%, $E$9)</f>
        <v>6.9226000000000001</v>
      </c>
      <c r="H466" s="9">
        <f>9.4299 * CHOOSE(CONTROL!$C$32, $C$9, 100%, $E$9)</f>
        <v>9.4298999999999999</v>
      </c>
      <c r="I466" s="9">
        <f>9.4341 * CHOOSE(CONTROL!$C$32, $C$9, 100%, $E$9)</f>
        <v>9.4341000000000008</v>
      </c>
      <c r="J466" s="9">
        <f>9.4299 * CHOOSE(CONTROL!$C$32, $C$9, 100%, $E$9)</f>
        <v>9.4298999999999999</v>
      </c>
      <c r="K466" s="9">
        <f>9.4341 * CHOOSE(CONTROL!$C$32, $C$9, 100%, $E$9)</f>
        <v>9.4341000000000008</v>
      </c>
      <c r="L466" s="9">
        <f>6.9184 * CHOOSE(CONTROL!$C$32, $C$9, 100%, $E$9)</f>
        <v>6.9184000000000001</v>
      </c>
      <c r="M466" s="9">
        <f>6.9226 * CHOOSE(CONTROL!$C$32, $C$9, 100%, $E$9)</f>
        <v>6.9226000000000001</v>
      </c>
      <c r="N466" s="9">
        <f>6.9184 * CHOOSE(CONTROL!$C$32, $C$9, 100%, $E$9)</f>
        <v>6.9184000000000001</v>
      </c>
      <c r="O466" s="9">
        <f>6.9226 * CHOOSE(CONTROL!$C$32, $C$9, 100%, $E$9)</f>
        <v>6.9226000000000001</v>
      </c>
    </row>
    <row r="467" spans="1:15" ht="15.75" x14ac:dyDescent="0.25">
      <c r="A467" s="14">
        <v>55092</v>
      </c>
      <c r="B467" s="10">
        <f>7.7879 * CHOOSE(CONTROL!$C$32, $C$9, 100%, $E$9)</f>
        <v>7.7878999999999996</v>
      </c>
      <c r="C467" s="10">
        <f>7.7879 * CHOOSE(CONTROL!$C$32, $C$9, 100%, $E$9)</f>
        <v>7.7878999999999996</v>
      </c>
      <c r="D467" s="10">
        <f>7.7888 * CHOOSE(CONTROL!$C$32, $C$9, 100%, $E$9)</f>
        <v>7.7888000000000002</v>
      </c>
      <c r="E467" s="9">
        <f>6.9665 * CHOOSE(CONTROL!$C$32, $C$9, 100%, $E$9)</f>
        <v>6.9664999999999999</v>
      </c>
      <c r="F467" s="9">
        <f>6.9665 * CHOOSE(CONTROL!$C$32, $C$9, 100%, $E$9)</f>
        <v>6.9664999999999999</v>
      </c>
      <c r="G467" s="9">
        <f>6.9697 * CHOOSE(CONTROL!$C$32, $C$9, 100%, $E$9)</f>
        <v>6.9696999999999996</v>
      </c>
      <c r="H467" s="9">
        <f>9.4355 * CHOOSE(CONTROL!$C$32, $C$9, 100%, $E$9)</f>
        <v>9.4354999999999993</v>
      </c>
      <c r="I467" s="9">
        <f>9.4387 * CHOOSE(CONTROL!$C$32, $C$9, 100%, $E$9)</f>
        <v>9.4387000000000008</v>
      </c>
      <c r="J467" s="9">
        <f>9.4355 * CHOOSE(CONTROL!$C$32, $C$9, 100%, $E$9)</f>
        <v>9.4354999999999993</v>
      </c>
      <c r="K467" s="9">
        <f>9.4387 * CHOOSE(CONTROL!$C$32, $C$9, 100%, $E$9)</f>
        <v>9.4387000000000008</v>
      </c>
      <c r="L467" s="9">
        <f>6.9665 * CHOOSE(CONTROL!$C$32, $C$9, 100%, $E$9)</f>
        <v>6.9664999999999999</v>
      </c>
      <c r="M467" s="9">
        <f>6.9697 * CHOOSE(CONTROL!$C$32, $C$9, 100%, $E$9)</f>
        <v>6.9696999999999996</v>
      </c>
      <c r="N467" s="9">
        <f>6.9665 * CHOOSE(CONTROL!$C$32, $C$9, 100%, $E$9)</f>
        <v>6.9664999999999999</v>
      </c>
      <c r="O467" s="9">
        <f>6.9697 * CHOOSE(CONTROL!$C$32, $C$9, 100%, $E$9)</f>
        <v>6.9696999999999996</v>
      </c>
    </row>
    <row r="468" spans="1:15" ht="15.75" x14ac:dyDescent="0.25">
      <c r="A468" s="14">
        <v>55122</v>
      </c>
      <c r="B468" s="10">
        <f>7.7909 * CHOOSE(CONTROL!$C$32, $C$9, 100%, $E$9)</f>
        <v>7.7908999999999997</v>
      </c>
      <c r="C468" s="10">
        <f>7.7909 * CHOOSE(CONTROL!$C$32, $C$9, 100%, $E$9)</f>
        <v>7.7908999999999997</v>
      </c>
      <c r="D468" s="10">
        <f>7.7919 * CHOOSE(CONTROL!$C$32, $C$9, 100%, $E$9)</f>
        <v>7.7919</v>
      </c>
      <c r="E468" s="9">
        <f>6.9993 * CHOOSE(CONTROL!$C$32, $C$9, 100%, $E$9)</f>
        <v>6.9992999999999999</v>
      </c>
      <c r="F468" s="9">
        <f>6.9993 * CHOOSE(CONTROL!$C$32, $C$9, 100%, $E$9)</f>
        <v>6.9992999999999999</v>
      </c>
      <c r="G468" s="9">
        <f>7.0025 * CHOOSE(CONTROL!$C$32, $C$9, 100%, $E$9)</f>
        <v>7.0025000000000004</v>
      </c>
      <c r="H468" s="9">
        <f>9.4375 * CHOOSE(CONTROL!$C$32, $C$9, 100%, $E$9)</f>
        <v>9.4375</v>
      </c>
      <c r="I468" s="9">
        <f>9.4407 * CHOOSE(CONTROL!$C$32, $C$9, 100%, $E$9)</f>
        <v>9.4406999999999996</v>
      </c>
      <c r="J468" s="9">
        <f>9.4375 * CHOOSE(CONTROL!$C$32, $C$9, 100%, $E$9)</f>
        <v>9.4375</v>
      </c>
      <c r="K468" s="9">
        <f>9.4407 * CHOOSE(CONTROL!$C$32, $C$9, 100%, $E$9)</f>
        <v>9.4406999999999996</v>
      </c>
      <c r="L468" s="9">
        <f>6.9993 * CHOOSE(CONTROL!$C$32, $C$9, 100%, $E$9)</f>
        <v>6.9992999999999999</v>
      </c>
      <c r="M468" s="9">
        <f>7.0025 * CHOOSE(CONTROL!$C$32, $C$9, 100%, $E$9)</f>
        <v>7.0025000000000004</v>
      </c>
      <c r="N468" s="9">
        <f>6.9993 * CHOOSE(CONTROL!$C$32, $C$9, 100%, $E$9)</f>
        <v>6.9992999999999999</v>
      </c>
      <c r="O468" s="9">
        <f>7.0025 * CHOOSE(CONTROL!$C$32, $C$9, 100%, $E$9)</f>
        <v>7.0025000000000004</v>
      </c>
    </row>
    <row r="469" spans="1:15" ht="15.75" x14ac:dyDescent="0.25">
      <c r="A469" s="14">
        <v>55153</v>
      </c>
      <c r="B469" s="10">
        <f>7.7909 * CHOOSE(CONTROL!$C$32, $C$9, 100%, $E$9)</f>
        <v>7.7908999999999997</v>
      </c>
      <c r="C469" s="10">
        <f>7.7909 * CHOOSE(CONTROL!$C$32, $C$9, 100%, $E$9)</f>
        <v>7.7908999999999997</v>
      </c>
      <c r="D469" s="10">
        <f>7.7919 * CHOOSE(CONTROL!$C$32, $C$9, 100%, $E$9)</f>
        <v>7.7919</v>
      </c>
      <c r="E469" s="9">
        <f>6.9225 * CHOOSE(CONTROL!$C$32, $C$9, 100%, $E$9)</f>
        <v>6.9225000000000003</v>
      </c>
      <c r="F469" s="9">
        <f>6.9225 * CHOOSE(CONTROL!$C$32, $C$9, 100%, $E$9)</f>
        <v>6.9225000000000003</v>
      </c>
      <c r="G469" s="9">
        <f>6.9257 * CHOOSE(CONTROL!$C$32, $C$9, 100%, $E$9)</f>
        <v>6.9257</v>
      </c>
      <c r="H469" s="9">
        <f>9.4375 * CHOOSE(CONTROL!$C$32, $C$9, 100%, $E$9)</f>
        <v>9.4375</v>
      </c>
      <c r="I469" s="9">
        <f>9.4407 * CHOOSE(CONTROL!$C$32, $C$9, 100%, $E$9)</f>
        <v>9.4406999999999996</v>
      </c>
      <c r="J469" s="9">
        <f>9.4375 * CHOOSE(CONTROL!$C$32, $C$9, 100%, $E$9)</f>
        <v>9.4375</v>
      </c>
      <c r="K469" s="9">
        <f>9.4407 * CHOOSE(CONTROL!$C$32, $C$9, 100%, $E$9)</f>
        <v>9.4406999999999996</v>
      </c>
      <c r="L469" s="9">
        <f>6.9225 * CHOOSE(CONTROL!$C$32, $C$9, 100%, $E$9)</f>
        <v>6.9225000000000003</v>
      </c>
      <c r="M469" s="9">
        <f>6.9257 * CHOOSE(CONTROL!$C$32, $C$9, 100%, $E$9)</f>
        <v>6.9257</v>
      </c>
      <c r="N469" s="9">
        <f>6.9225 * CHOOSE(CONTROL!$C$32, $C$9, 100%, $E$9)</f>
        <v>6.9225000000000003</v>
      </c>
      <c r="O469" s="9">
        <f>6.9257 * CHOOSE(CONTROL!$C$32, $C$9, 100%, $E$9)</f>
        <v>6.9257</v>
      </c>
    </row>
    <row r="470" spans="1:15" ht="15.75" x14ac:dyDescent="0.25">
      <c r="A470" s="14">
        <v>55184</v>
      </c>
      <c r="B470" s="10">
        <f>7.8558 * CHOOSE(CONTROL!$C$32, $C$9, 100%, $E$9)</f>
        <v>7.8558000000000003</v>
      </c>
      <c r="C470" s="10">
        <f>7.8558 * CHOOSE(CONTROL!$C$32, $C$9, 100%, $E$9)</f>
        <v>7.8558000000000003</v>
      </c>
      <c r="D470" s="10">
        <f>7.8567 * CHOOSE(CONTROL!$C$32, $C$9, 100%, $E$9)</f>
        <v>7.8567</v>
      </c>
      <c r="E470" s="9">
        <f>7.026 * CHOOSE(CONTROL!$C$32, $C$9, 100%, $E$9)</f>
        <v>7.0259999999999998</v>
      </c>
      <c r="F470" s="9">
        <f>7.026 * CHOOSE(CONTROL!$C$32, $C$9, 100%, $E$9)</f>
        <v>7.0259999999999998</v>
      </c>
      <c r="G470" s="9">
        <f>7.0292 * CHOOSE(CONTROL!$C$32, $C$9, 100%, $E$9)</f>
        <v>7.0292000000000003</v>
      </c>
      <c r="H470" s="9">
        <f>9.5077 * CHOOSE(CONTROL!$C$32, $C$9, 100%, $E$9)</f>
        <v>9.5076999999999998</v>
      </c>
      <c r="I470" s="9">
        <f>9.511 * CHOOSE(CONTROL!$C$32, $C$9, 100%, $E$9)</f>
        <v>9.5109999999999992</v>
      </c>
      <c r="J470" s="9">
        <f>9.5077 * CHOOSE(CONTROL!$C$32, $C$9, 100%, $E$9)</f>
        <v>9.5076999999999998</v>
      </c>
      <c r="K470" s="9">
        <f>9.511 * CHOOSE(CONTROL!$C$32, $C$9, 100%, $E$9)</f>
        <v>9.5109999999999992</v>
      </c>
      <c r="L470" s="9">
        <f>7.026 * CHOOSE(CONTROL!$C$32, $C$9, 100%, $E$9)</f>
        <v>7.0259999999999998</v>
      </c>
      <c r="M470" s="9">
        <f>7.0292 * CHOOSE(CONTROL!$C$32, $C$9, 100%, $E$9)</f>
        <v>7.0292000000000003</v>
      </c>
      <c r="N470" s="9">
        <f>7.026 * CHOOSE(CONTROL!$C$32, $C$9, 100%, $E$9)</f>
        <v>7.0259999999999998</v>
      </c>
      <c r="O470" s="9">
        <f>7.0292 * CHOOSE(CONTROL!$C$32, $C$9, 100%, $E$9)</f>
        <v>7.0292000000000003</v>
      </c>
    </row>
    <row r="471" spans="1:15" ht="15.75" x14ac:dyDescent="0.25">
      <c r="A471" s="14">
        <v>55212</v>
      </c>
      <c r="B471" s="10">
        <f>7.8527 * CHOOSE(CONTROL!$C$32, $C$9, 100%, $E$9)</f>
        <v>7.8526999999999996</v>
      </c>
      <c r="C471" s="10">
        <f>7.8527 * CHOOSE(CONTROL!$C$32, $C$9, 100%, $E$9)</f>
        <v>7.8526999999999996</v>
      </c>
      <c r="D471" s="10">
        <f>7.8537 * CHOOSE(CONTROL!$C$32, $C$9, 100%, $E$9)</f>
        <v>7.8536999999999999</v>
      </c>
      <c r="E471" s="9">
        <f>6.8743 * CHOOSE(CONTROL!$C$32, $C$9, 100%, $E$9)</f>
        <v>6.8742999999999999</v>
      </c>
      <c r="F471" s="9">
        <f>6.8743 * CHOOSE(CONTROL!$C$32, $C$9, 100%, $E$9)</f>
        <v>6.8742999999999999</v>
      </c>
      <c r="G471" s="9">
        <f>6.8776 * CHOOSE(CONTROL!$C$32, $C$9, 100%, $E$9)</f>
        <v>6.8776000000000002</v>
      </c>
      <c r="H471" s="9">
        <f>9.5057 * CHOOSE(CONTROL!$C$32, $C$9, 100%, $E$9)</f>
        <v>9.5056999999999992</v>
      </c>
      <c r="I471" s="9">
        <f>9.509 * CHOOSE(CONTROL!$C$32, $C$9, 100%, $E$9)</f>
        <v>9.5090000000000003</v>
      </c>
      <c r="J471" s="9">
        <f>9.5057 * CHOOSE(CONTROL!$C$32, $C$9, 100%, $E$9)</f>
        <v>9.5056999999999992</v>
      </c>
      <c r="K471" s="9">
        <f>9.509 * CHOOSE(CONTROL!$C$32, $C$9, 100%, $E$9)</f>
        <v>9.5090000000000003</v>
      </c>
      <c r="L471" s="9">
        <f>6.8743 * CHOOSE(CONTROL!$C$32, $C$9, 100%, $E$9)</f>
        <v>6.8742999999999999</v>
      </c>
      <c r="M471" s="9">
        <f>6.8776 * CHOOSE(CONTROL!$C$32, $C$9, 100%, $E$9)</f>
        <v>6.8776000000000002</v>
      </c>
      <c r="N471" s="9">
        <f>6.8743 * CHOOSE(CONTROL!$C$32, $C$9, 100%, $E$9)</f>
        <v>6.8742999999999999</v>
      </c>
      <c r="O471" s="9">
        <f>6.8776 * CHOOSE(CONTROL!$C$32, $C$9, 100%, $E$9)</f>
        <v>6.8776000000000002</v>
      </c>
    </row>
    <row r="472" spans="1:15" ht="15.75" x14ac:dyDescent="0.25">
      <c r="A472" s="14">
        <v>55243</v>
      </c>
      <c r="B472" s="10">
        <f>7.8497 * CHOOSE(CONTROL!$C$32, $C$9, 100%, $E$9)</f>
        <v>7.8497000000000003</v>
      </c>
      <c r="C472" s="10">
        <f>7.8497 * CHOOSE(CONTROL!$C$32, $C$9, 100%, $E$9)</f>
        <v>7.8497000000000003</v>
      </c>
      <c r="D472" s="10">
        <f>7.8506 * CHOOSE(CONTROL!$C$32, $C$9, 100%, $E$9)</f>
        <v>7.8506</v>
      </c>
      <c r="E472" s="9">
        <f>6.9901 * CHOOSE(CONTROL!$C$32, $C$9, 100%, $E$9)</f>
        <v>6.9901</v>
      </c>
      <c r="F472" s="9">
        <f>6.9901 * CHOOSE(CONTROL!$C$32, $C$9, 100%, $E$9)</f>
        <v>6.9901</v>
      </c>
      <c r="G472" s="9">
        <f>6.9933 * CHOOSE(CONTROL!$C$32, $C$9, 100%, $E$9)</f>
        <v>6.9932999999999996</v>
      </c>
      <c r="H472" s="9">
        <f>9.5037 * CHOOSE(CONTROL!$C$32, $C$9, 100%, $E$9)</f>
        <v>9.5037000000000003</v>
      </c>
      <c r="I472" s="9">
        <f>9.507 * CHOOSE(CONTROL!$C$32, $C$9, 100%, $E$9)</f>
        <v>9.5069999999999997</v>
      </c>
      <c r="J472" s="9">
        <f>9.5037 * CHOOSE(CONTROL!$C$32, $C$9, 100%, $E$9)</f>
        <v>9.5037000000000003</v>
      </c>
      <c r="K472" s="9">
        <f>9.507 * CHOOSE(CONTROL!$C$32, $C$9, 100%, $E$9)</f>
        <v>9.5069999999999997</v>
      </c>
      <c r="L472" s="9">
        <f>6.9901 * CHOOSE(CONTROL!$C$32, $C$9, 100%, $E$9)</f>
        <v>6.9901</v>
      </c>
      <c r="M472" s="9">
        <f>6.9933 * CHOOSE(CONTROL!$C$32, $C$9, 100%, $E$9)</f>
        <v>6.9932999999999996</v>
      </c>
      <c r="N472" s="9">
        <f>6.9901 * CHOOSE(CONTROL!$C$32, $C$9, 100%, $E$9)</f>
        <v>6.9901</v>
      </c>
      <c r="O472" s="9">
        <f>6.9933 * CHOOSE(CONTROL!$C$32, $C$9, 100%, $E$9)</f>
        <v>6.9932999999999996</v>
      </c>
    </row>
    <row r="473" spans="1:15" ht="15.75" x14ac:dyDescent="0.25">
      <c r="A473" s="14">
        <v>55273</v>
      </c>
      <c r="B473" s="10">
        <f>7.8513 * CHOOSE(CONTROL!$C$32, $C$9, 100%, $E$9)</f>
        <v>7.8513000000000002</v>
      </c>
      <c r="C473" s="10">
        <f>7.8513 * CHOOSE(CONTROL!$C$32, $C$9, 100%, $E$9)</f>
        <v>7.8513000000000002</v>
      </c>
      <c r="D473" s="10">
        <f>7.8523 * CHOOSE(CONTROL!$C$32, $C$9, 100%, $E$9)</f>
        <v>7.8522999999999996</v>
      </c>
      <c r="E473" s="9">
        <f>7.1125 * CHOOSE(CONTROL!$C$32, $C$9, 100%, $E$9)</f>
        <v>7.1124999999999998</v>
      </c>
      <c r="F473" s="9">
        <f>7.1125 * CHOOSE(CONTROL!$C$32, $C$9, 100%, $E$9)</f>
        <v>7.1124999999999998</v>
      </c>
      <c r="G473" s="9">
        <f>7.1157 * CHOOSE(CONTROL!$C$32, $C$9, 100%, $E$9)</f>
        <v>7.1157000000000004</v>
      </c>
      <c r="H473" s="9">
        <f>9.5045 * CHOOSE(CONTROL!$C$32, $C$9, 100%, $E$9)</f>
        <v>9.5045000000000002</v>
      </c>
      <c r="I473" s="9">
        <f>9.5077 * CHOOSE(CONTROL!$C$32, $C$9, 100%, $E$9)</f>
        <v>9.5076999999999998</v>
      </c>
      <c r="J473" s="9">
        <f>9.5045 * CHOOSE(CONTROL!$C$32, $C$9, 100%, $E$9)</f>
        <v>9.5045000000000002</v>
      </c>
      <c r="K473" s="9">
        <f>9.5077 * CHOOSE(CONTROL!$C$32, $C$9, 100%, $E$9)</f>
        <v>9.5076999999999998</v>
      </c>
      <c r="L473" s="9">
        <f>7.1125 * CHOOSE(CONTROL!$C$32, $C$9, 100%, $E$9)</f>
        <v>7.1124999999999998</v>
      </c>
      <c r="M473" s="9">
        <f>7.1157 * CHOOSE(CONTROL!$C$32, $C$9, 100%, $E$9)</f>
        <v>7.1157000000000004</v>
      </c>
      <c r="N473" s="9">
        <f>7.1125 * CHOOSE(CONTROL!$C$32, $C$9, 100%, $E$9)</f>
        <v>7.1124999999999998</v>
      </c>
      <c r="O473" s="9">
        <f>7.1157 * CHOOSE(CONTROL!$C$32, $C$9, 100%, $E$9)</f>
        <v>7.1157000000000004</v>
      </c>
    </row>
    <row r="474" spans="1:15" ht="15.75" x14ac:dyDescent="0.25">
      <c r="A474" s="14">
        <v>55304</v>
      </c>
      <c r="B474" s="10">
        <f>7.8513 * CHOOSE(CONTROL!$C$32, $C$9, 100%, $E$9)</f>
        <v>7.8513000000000002</v>
      </c>
      <c r="C474" s="10">
        <f>7.8513 * CHOOSE(CONTROL!$C$32, $C$9, 100%, $E$9)</f>
        <v>7.8513000000000002</v>
      </c>
      <c r="D474" s="10">
        <f>7.8526 * CHOOSE(CONTROL!$C$32, $C$9, 100%, $E$9)</f>
        <v>7.8525999999999998</v>
      </c>
      <c r="E474" s="9">
        <f>7.16 * CHOOSE(CONTROL!$C$32, $C$9, 100%, $E$9)</f>
        <v>7.16</v>
      </c>
      <c r="F474" s="9">
        <f>7.16 * CHOOSE(CONTROL!$C$32, $C$9, 100%, $E$9)</f>
        <v>7.16</v>
      </c>
      <c r="G474" s="9">
        <f>7.1642 * CHOOSE(CONTROL!$C$32, $C$9, 100%, $E$9)</f>
        <v>7.1642000000000001</v>
      </c>
      <c r="H474" s="9">
        <f>9.5045 * CHOOSE(CONTROL!$C$32, $C$9, 100%, $E$9)</f>
        <v>9.5045000000000002</v>
      </c>
      <c r="I474" s="9">
        <f>9.5087 * CHOOSE(CONTROL!$C$32, $C$9, 100%, $E$9)</f>
        <v>9.5086999999999993</v>
      </c>
      <c r="J474" s="9">
        <f>9.5045 * CHOOSE(CONTROL!$C$32, $C$9, 100%, $E$9)</f>
        <v>9.5045000000000002</v>
      </c>
      <c r="K474" s="9">
        <f>9.5087 * CHOOSE(CONTROL!$C$32, $C$9, 100%, $E$9)</f>
        <v>9.5086999999999993</v>
      </c>
      <c r="L474" s="9">
        <f>7.16 * CHOOSE(CONTROL!$C$32, $C$9, 100%, $E$9)</f>
        <v>7.16</v>
      </c>
      <c r="M474" s="9">
        <f>7.1642 * CHOOSE(CONTROL!$C$32, $C$9, 100%, $E$9)</f>
        <v>7.1642000000000001</v>
      </c>
      <c r="N474" s="9">
        <f>7.16 * CHOOSE(CONTROL!$C$32, $C$9, 100%, $E$9)</f>
        <v>7.16</v>
      </c>
      <c r="O474" s="9">
        <f>7.1642 * CHOOSE(CONTROL!$C$32, $C$9, 100%, $E$9)</f>
        <v>7.1642000000000001</v>
      </c>
    </row>
    <row r="475" spans="1:15" ht="15.75" x14ac:dyDescent="0.25">
      <c r="A475" s="14">
        <v>55334</v>
      </c>
      <c r="B475" s="10">
        <f>7.8574 * CHOOSE(CONTROL!$C$32, $C$9, 100%, $E$9)</f>
        <v>7.8574000000000002</v>
      </c>
      <c r="C475" s="10">
        <f>7.8574 * CHOOSE(CONTROL!$C$32, $C$9, 100%, $E$9)</f>
        <v>7.8574000000000002</v>
      </c>
      <c r="D475" s="10">
        <f>7.8587 * CHOOSE(CONTROL!$C$32, $C$9, 100%, $E$9)</f>
        <v>7.8586999999999998</v>
      </c>
      <c r="E475" s="9">
        <f>7.1167 * CHOOSE(CONTROL!$C$32, $C$9, 100%, $E$9)</f>
        <v>7.1166999999999998</v>
      </c>
      <c r="F475" s="9">
        <f>7.1167 * CHOOSE(CONTROL!$C$32, $C$9, 100%, $E$9)</f>
        <v>7.1166999999999998</v>
      </c>
      <c r="G475" s="9">
        <f>7.1209 * CHOOSE(CONTROL!$C$32, $C$9, 100%, $E$9)</f>
        <v>7.1208999999999998</v>
      </c>
      <c r="H475" s="9">
        <f>9.5085 * CHOOSE(CONTROL!$C$32, $C$9, 100%, $E$9)</f>
        <v>9.5084999999999997</v>
      </c>
      <c r="I475" s="9">
        <f>9.5127 * CHOOSE(CONTROL!$C$32, $C$9, 100%, $E$9)</f>
        <v>9.5127000000000006</v>
      </c>
      <c r="J475" s="9">
        <f>9.5085 * CHOOSE(CONTROL!$C$32, $C$9, 100%, $E$9)</f>
        <v>9.5084999999999997</v>
      </c>
      <c r="K475" s="9">
        <f>9.5127 * CHOOSE(CONTROL!$C$32, $C$9, 100%, $E$9)</f>
        <v>9.5127000000000006</v>
      </c>
      <c r="L475" s="9">
        <f>7.1167 * CHOOSE(CONTROL!$C$32, $C$9, 100%, $E$9)</f>
        <v>7.1166999999999998</v>
      </c>
      <c r="M475" s="9">
        <f>7.1209 * CHOOSE(CONTROL!$C$32, $C$9, 100%, $E$9)</f>
        <v>7.1208999999999998</v>
      </c>
      <c r="N475" s="9">
        <f>7.1167 * CHOOSE(CONTROL!$C$32, $C$9, 100%, $E$9)</f>
        <v>7.1166999999999998</v>
      </c>
      <c r="O475" s="9">
        <f>7.1209 * CHOOSE(CONTROL!$C$32, $C$9, 100%, $E$9)</f>
        <v>7.1208999999999998</v>
      </c>
    </row>
    <row r="476" spans="1:15" ht="15.75" x14ac:dyDescent="0.25">
      <c r="A476" s="14">
        <v>55365</v>
      </c>
      <c r="B476" s="10">
        <f>7.9705 * CHOOSE(CONTROL!$C$32, $C$9, 100%, $E$9)</f>
        <v>7.9705000000000004</v>
      </c>
      <c r="C476" s="10">
        <f>7.9705 * CHOOSE(CONTROL!$C$32, $C$9, 100%, $E$9)</f>
        <v>7.9705000000000004</v>
      </c>
      <c r="D476" s="10">
        <f>7.9718 * CHOOSE(CONTROL!$C$32, $C$9, 100%, $E$9)</f>
        <v>7.9718</v>
      </c>
      <c r="E476" s="9">
        <f>7.2005 * CHOOSE(CONTROL!$C$32, $C$9, 100%, $E$9)</f>
        <v>7.2004999999999999</v>
      </c>
      <c r="F476" s="9">
        <f>7.2005 * CHOOSE(CONTROL!$C$32, $C$9, 100%, $E$9)</f>
        <v>7.2004999999999999</v>
      </c>
      <c r="G476" s="9">
        <f>7.2047 * CHOOSE(CONTROL!$C$32, $C$9, 100%, $E$9)</f>
        <v>7.2046999999999999</v>
      </c>
      <c r="H476" s="9">
        <f>9.6521 * CHOOSE(CONTROL!$C$32, $C$9, 100%, $E$9)</f>
        <v>9.6521000000000008</v>
      </c>
      <c r="I476" s="9">
        <f>9.6563 * CHOOSE(CONTROL!$C$32, $C$9, 100%, $E$9)</f>
        <v>9.6562999999999999</v>
      </c>
      <c r="J476" s="9">
        <f>9.6521 * CHOOSE(CONTROL!$C$32, $C$9, 100%, $E$9)</f>
        <v>9.6521000000000008</v>
      </c>
      <c r="K476" s="9">
        <f>9.6563 * CHOOSE(CONTROL!$C$32, $C$9, 100%, $E$9)</f>
        <v>9.6562999999999999</v>
      </c>
      <c r="L476" s="9">
        <f>7.2005 * CHOOSE(CONTROL!$C$32, $C$9, 100%, $E$9)</f>
        <v>7.2004999999999999</v>
      </c>
      <c r="M476" s="9">
        <f>7.2047 * CHOOSE(CONTROL!$C$32, $C$9, 100%, $E$9)</f>
        <v>7.2046999999999999</v>
      </c>
      <c r="N476" s="9">
        <f>7.2005 * CHOOSE(CONTROL!$C$32, $C$9, 100%, $E$9)</f>
        <v>7.2004999999999999</v>
      </c>
      <c r="O476" s="9">
        <f>7.2047 * CHOOSE(CONTROL!$C$32, $C$9, 100%, $E$9)</f>
        <v>7.2046999999999999</v>
      </c>
    </row>
    <row r="477" spans="1:15" ht="15.75" x14ac:dyDescent="0.25">
      <c r="A477" s="14">
        <v>55396</v>
      </c>
      <c r="B477" s="10">
        <f>7.9772 * CHOOSE(CONTROL!$C$32, $C$9, 100%, $E$9)</f>
        <v>7.9771999999999998</v>
      </c>
      <c r="C477" s="10">
        <f>7.9772 * CHOOSE(CONTROL!$C$32, $C$9, 100%, $E$9)</f>
        <v>7.9771999999999998</v>
      </c>
      <c r="D477" s="10">
        <f>7.9784 * CHOOSE(CONTROL!$C$32, $C$9, 100%, $E$9)</f>
        <v>7.9783999999999997</v>
      </c>
      <c r="E477" s="9">
        <f>7.0627 * CHOOSE(CONTROL!$C$32, $C$9, 100%, $E$9)</f>
        <v>7.0627000000000004</v>
      </c>
      <c r="F477" s="9">
        <f>7.0627 * CHOOSE(CONTROL!$C$32, $C$9, 100%, $E$9)</f>
        <v>7.0627000000000004</v>
      </c>
      <c r="G477" s="9">
        <f>7.0669 * CHOOSE(CONTROL!$C$32, $C$9, 100%, $E$9)</f>
        <v>7.0669000000000004</v>
      </c>
      <c r="H477" s="9">
        <f>9.6565 * CHOOSE(CONTROL!$C$32, $C$9, 100%, $E$9)</f>
        <v>9.6564999999999994</v>
      </c>
      <c r="I477" s="9">
        <f>9.6607 * CHOOSE(CONTROL!$C$32, $C$9, 100%, $E$9)</f>
        <v>9.6607000000000003</v>
      </c>
      <c r="J477" s="9">
        <f>9.6565 * CHOOSE(CONTROL!$C$32, $C$9, 100%, $E$9)</f>
        <v>9.6564999999999994</v>
      </c>
      <c r="K477" s="9">
        <f>9.6607 * CHOOSE(CONTROL!$C$32, $C$9, 100%, $E$9)</f>
        <v>9.6607000000000003</v>
      </c>
      <c r="L477" s="9">
        <f>7.0627 * CHOOSE(CONTROL!$C$32, $C$9, 100%, $E$9)</f>
        <v>7.0627000000000004</v>
      </c>
      <c r="M477" s="9">
        <f>7.0669 * CHOOSE(CONTROL!$C$32, $C$9, 100%, $E$9)</f>
        <v>7.0669000000000004</v>
      </c>
      <c r="N477" s="9">
        <f>7.0627 * CHOOSE(CONTROL!$C$32, $C$9, 100%, $E$9)</f>
        <v>7.0627000000000004</v>
      </c>
      <c r="O477" s="9">
        <f>7.0669 * CHOOSE(CONTROL!$C$32, $C$9, 100%, $E$9)</f>
        <v>7.0669000000000004</v>
      </c>
    </row>
    <row r="478" spans="1:15" ht="15.75" x14ac:dyDescent="0.25">
      <c r="A478" s="14">
        <v>55426</v>
      </c>
      <c r="B478" s="10">
        <f>7.9742 * CHOOSE(CONTROL!$C$32, $C$9, 100%, $E$9)</f>
        <v>7.9741999999999997</v>
      </c>
      <c r="C478" s="10">
        <f>7.9742 * CHOOSE(CONTROL!$C$32, $C$9, 100%, $E$9)</f>
        <v>7.9741999999999997</v>
      </c>
      <c r="D478" s="10">
        <f>7.9754 * CHOOSE(CONTROL!$C$32, $C$9, 100%, $E$9)</f>
        <v>7.9753999999999996</v>
      </c>
      <c r="E478" s="9">
        <f>7.0447 * CHOOSE(CONTROL!$C$32, $C$9, 100%, $E$9)</f>
        <v>7.0446999999999997</v>
      </c>
      <c r="F478" s="9">
        <f>7.0447 * CHOOSE(CONTROL!$C$32, $C$9, 100%, $E$9)</f>
        <v>7.0446999999999997</v>
      </c>
      <c r="G478" s="9">
        <f>7.0489 * CHOOSE(CONTROL!$C$32, $C$9, 100%, $E$9)</f>
        <v>7.0488999999999997</v>
      </c>
      <c r="H478" s="9">
        <f>9.6545 * CHOOSE(CONTROL!$C$32, $C$9, 100%, $E$9)</f>
        <v>9.6545000000000005</v>
      </c>
      <c r="I478" s="9">
        <f>9.6587 * CHOOSE(CONTROL!$C$32, $C$9, 100%, $E$9)</f>
        <v>9.6586999999999996</v>
      </c>
      <c r="J478" s="9">
        <f>9.6545 * CHOOSE(CONTROL!$C$32, $C$9, 100%, $E$9)</f>
        <v>9.6545000000000005</v>
      </c>
      <c r="K478" s="9">
        <f>9.6587 * CHOOSE(CONTROL!$C$32, $C$9, 100%, $E$9)</f>
        <v>9.6586999999999996</v>
      </c>
      <c r="L478" s="9">
        <f>7.0447 * CHOOSE(CONTROL!$C$32, $C$9, 100%, $E$9)</f>
        <v>7.0446999999999997</v>
      </c>
      <c r="M478" s="9">
        <f>7.0489 * CHOOSE(CONTROL!$C$32, $C$9, 100%, $E$9)</f>
        <v>7.0488999999999997</v>
      </c>
      <c r="N478" s="9">
        <f>7.0447 * CHOOSE(CONTROL!$C$32, $C$9, 100%, $E$9)</f>
        <v>7.0446999999999997</v>
      </c>
      <c r="O478" s="9">
        <f>7.0489 * CHOOSE(CONTROL!$C$32, $C$9, 100%, $E$9)</f>
        <v>7.0488999999999997</v>
      </c>
    </row>
    <row r="479" spans="1:15" ht="15.75" x14ac:dyDescent="0.25">
      <c r="A479" s="14">
        <v>55457</v>
      </c>
      <c r="B479" s="10">
        <f>7.985 * CHOOSE(CONTROL!$C$32, $C$9, 100%, $E$9)</f>
        <v>7.9850000000000003</v>
      </c>
      <c r="C479" s="10">
        <f>7.985 * CHOOSE(CONTROL!$C$32, $C$9, 100%, $E$9)</f>
        <v>7.9850000000000003</v>
      </c>
      <c r="D479" s="10">
        <f>7.986 * CHOOSE(CONTROL!$C$32, $C$9, 100%, $E$9)</f>
        <v>7.9859999999999998</v>
      </c>
      <c r="E479" s="9">
        <f>7.0946 * CHOOSE(CONTROL!$C$32, $C$9, 100%, $E$9)</f>
        <v>7.0945999999999998</v>
      </c>
      <c r="F479" s="9">
        <f>7.0946 * CHOOSE(CONTROL!$C$32, $C$9, 100%, $E$9)</f>
        <v>7.0945999999999998</v>
      </c>
      <c r="G479" s="9">
        <f>7.0978 * CHOOSE(CONTROL!$C$32, $C$9, 100%, $E$9)</f>
        <v>7.0978000000000003</v>
      </c>
      <c r="H479" s="9">
        <f>9.6606 * CHOOSE(CONTROL!$C$32, $C$9, 100%, $E$9)</f>
        <v>9.6606000000000005</v>
      </c>
      <c r="I479" s="9">
        <f>9.6638 * CHOOSE(CONTROL!$C$32, $C$9, 100%, $E$9)</f>
        <v>9.6638000000000002</v>
      </c>
      <c r="J479" s="9">
        <f>9.6606 * CHOOSE(CONTROL!$C$32, $C$9, 100%, $E$9)</f>
        <v>9.6606000000000005</v>
      </c>
      <c r="K479" s="9">
        <f>9.6638 * CHOOSE(CONTROL!$C$32, $C$9, 100%, $E$9)</f>
        <v>9.6638000000000002</v>
      </c>
      <c r="L479" s="9">
        <f>7.0946 * CHOOSE(CONTROL!$C$32, $C$9, 100%, $E$9)</f>
        <v>7.0945999999999998</v>
      </c>
      <c r="M479" s="9">
        <f>7.0978 * CHOOSE(CONTROL!$C$32, $C$9, 100%, $E$9)</f>
        <v>7.0978000000000003</v>
      </c>
      <c r="N479" s="9">
        <f>7.0946 * CHOOSE(CONTROL!$C$32, $C$9, 100%, $E$9)</f>
        <v>7.0945999999999998</v>
      </c>
      <c r="O479" s="9">
        <f>7.0978 * CHOOSE(CONTROL!$C$32, $C$9, 100%, $E$9)</f>
        <v>7.0978000000000003</v>
      </c>
    </row>
    <row r="480" spans="1:15" ht="15.75" x14ac:dyDescent="0.25">
      <c r="A480" s="14">
        <v>55487</v>
      </c>
      <c r="B480" s="10">
        <f>7.9881 * CHOOSE(CONTROL!$C$32, $C$9, 100%, $E$9)</f>
        <v>7.9881000000000002</v>
      </c>
      <c r="C480" s="10">
        <f>7.9881 * CHOOSE(CONTROL!$C$32, $C$9, 100%, $E$9)</f>
        <v>7.9881000000000002</v>
      </c>
      <c r="D480" s="10">
        <f>7.989 * CHOOSE(CONTROL!$C$32, $C$9, 100%, $E$9)</f>
        <v>7.9889999999999999</v>
      </c>
      <c r="E480" s="9">
        <f>7.1284 * CHOOSE(CONTROL!$C$32, $C$9, 100%, $E$9)</f>
        <v>7.1284000000000001</v>
      </c>
      <c r="F480" s="9">
        <f>7.1284 * CHOOSE(CONTROL!$C$32, $C$9, 100%, $E$9)</f>
        <v>7.1284000000000001</v>
      </c>
      <c r="G480" s="9">
        <f>7.1316 * CHOOSE(CONTROL!$C$32, $C$9, 100%, $E$9)</f>
        <v>7.1315999999999997</v>
      </c>
      <c r="H480" s="9">
        <f>9.6626 * CHOOSE(CONTROL!$C$32, $C$9, 100%, $E$9)</f>
        <v>9.6625999999999994</v>
      </c>
      <c r="I480" s="9">
        <f>9.6658 * CHOOSE(CONTROL!$C$32, $C$9, 100%, $E$9)</f>
        <v>9.6658000000000008</v>
      </c>
      <c r="J480" s="9">
        <f>9.6626 * CHOOSE(CONTROL!$C$32, $C$9, 100%, $E$9)</f>
        <v>9.6625999999999994</v>
      </c>
      <c r="K480" s="9">
        <f>9.6658 * CHOOSE(CONTROL!$C$32, $C$9, 100%, $E$9)</f>
        <v>9.6658000000000008</v>
      </c>
      <c r="L480" s="9">
        <f>7.1284 * CHOOSE(CONTROL!$C$32, $C$9, 100%, $E$9)</f>
        <v>7.1284000000000001</v>
      </c>
      <c r="M480" s="9">
        <f>7.1316 * CHOOSE(CONTROL!$C$32, $C$9, 100%, $E$9)</f>
        <v>7.1315999999999997</v>
      </c>
      <c r="N480" s="9">
        <f>7.1284 * CHOOSE(CONTROL!$C$32, $C$9, 100%, $E$9)</f>
        <v>7.1284000000000001</v>
      </c>
      <c r="O480" s="9">
        <f>7.1316 * CHOOSE(CONTROL!$C$32, $C$9, 100%, $E$9)</f>
        <v>7.1315999999999997</v>
      </c>
    </row>
    <row r="481" spans="1:15" ht="15.75" x14ac:dyDescent="0.25">
      <c r="A481" s="14">
        <v>55518</v>
      </c>
      <c r="B481" s="10">
        <f>7.9881 * CHOOSE(CONTROL!$C$32, $C$9, 100%, $E$9)</f>
        <v>7.9881000000000002</v>
      </c>
      <c r="C481" s="10">
        <f>7.9881 * CHOOSE(CONTROL!$C$32, $C$9, 100%, $E$9)</f>
        <v>7.9881000000000002</v>
      </c>
      <c r="D481" s="10">
        <f>7.989 * CHOOSE(CONTROL!$C$32, $C$9, 100%, $E$9)</f>
        <v>7.9889999999999999</v>
      </c>
      <c r="E481" s="9">
        <f>7.0493 * CHOOSE(CONTROL!$C$32, $C$9, 100%, $E$9)</f>
        <v>7.0492999999999997</v>
      </c>
      <c r="F481" s="9">
        <f>7.0493 * CHOOSE(CONTROL!$C$32, $C$9, 100%, $E$9)</f>
        <v>7.0492999999999997</v>
      </c>
      <c r="G481" s="9">
        <f>7.0525 * CHOOSE(CONTROL!$C$32, $C$9, 100%, $E$9)</f>
        <v>7.0525000000000002</v>
      </c>
      <c r="H481" s="9">
        <f>9.6626 * CHOOSE(CONTROL!$C$32, $C$9, 100%, $E$9)</f>
        <v>9.6625999999999994</v>
      </c>
      <c r="I481" s="9">
        <f>9.6658 * CHOOSE(CONTROL!$C$32, $C$9, 100%, $E$9)</f>
        <v>9.6658000000000008</v>
      </c>
      <c r="J481" s="9">
        <f>9.6626 * CHOOSE(CONTROL!$C$32, $C$9, 100%, $E$9)</f>
        <v>9.6625999999999994</v>
      </c>
      <c r="K481" s="9">
        <f>9.6658 * CHOOSE(CONTROL!$C$32, $C$9, 100%, $E$9)</f>
        <v>9.6658000000000008</v>
      </c>
      <c r="L481" s="9">
        <f>7.0493 * CHOOSE(CONTROL!$C$32, $C$9, 100%, $E$9)</f>
        <v>7.0492999999999997</v>
      </c>
      <c r="M481" s="9">
        <f>7.0525 * CHOOSE(CONTROL!$C$32, $C$9, 100%, $E$9)</f>
        <v>7.0525000000000002</v>
      </c>
      <c r="N481" s="9">
        <f>7.0493 * CHOOSE(CONTROL!$C$32, $C$9, 100%, $E$9)</f>
        <v>7.0492999999999997</v>
      </c>
      <c r="O481" s="9">
        <f>7.0525 * CHOOSE(CONTROL!$C$32, $C$9, 100%, $E$9)</f>
        <v>7.0525000000000002</v>
      </c>
    </row>
    <row r="482" spans="1:15" ht="15.75" x14ac:dyDescent="0.25">
      <c r="A482" s="14">
        <v>55549</v>
      </c>
      <c r="B482" s="10">
        <f>8.0544 * CHOOSE(CONTROL!$C$32, $C$9, 100%, $E$9)</f>
        <v>8.0543999999999993</v>
      </c>
      <c r="C482" s="10">
        <f>8.0544 * CHOOSE(CONTROL!$C$32, $C$9, 100%, $E$9)</f>
        <v>8.0543999999999993</v>
      </c>
      <c r="D482" s="10">
        <f>8.0554 * CHOOSE(CONTROL!$C$32, $C$9, 100%, $E$9)</f>
        <v>8.0554000000000006</v>
      </c>
      <c r="E482" s="9">
        <f>7.1554 * CHOOSE(CONTROL!$C$32, $C$9, 100%, $E$9)</f>
        <v>7.1554000000000002</v>
      </c>
      <c r="F482" s="9">
        <f>7.1554 * CHOOSE(CONTROL!$C$32, $C$9, 100%, $E$9)</f>
        <v>7.1554000000000002</v>
      </c>
      <c r="G482" s="9">
        <f>7.1587 * CHOOSE(CONTROL!$C$32, $C$9, 100%, $E$9)</f>
        <v>7.1586999999999996</v>
      </c>
      <c r="H482" s="9">
        <f>9.7344 * CHOOSE(CONTROL!$C$32, $C$9, 100%, $E$9)</f>
        <v>9.7344000000000008</v>
      </c>
      <c r="I482" s="9">
        <f>9.7376 * CHOOSE(CONTROL!$C$32, $C$9, 100%, $E$9)</f>
        <v>9.7376000000000005</v>
      </c>
      <c r="J482" s="9">
        <f>9.7344 * CHOOSE(CONTROL!$C$32, $C$9, 100%, $E$9)</f>
        <v>9.7344000000000008</v>
      </c>
      <c r="K482" s="9">
        <f>9.7376 * CHOOSE(CONTROL!$C$32, $C$9, 100%, $E$9)</f>
        <v>9.7376000000000005</v>
      </c>
      <c r="L482" s="9">
        <f>7.1554 * CHOOSE(CONTROL!$C$32, $C$9, 100%, $E$9)</f>
        <v>7.1554000000000002</v>
      </c>
      <c r="M482" s="9">
        <f>7.1587 * CHOOSE(CONTROL!$C$32, $C$9, 100%, $E$9)</f>
        <v>7.1586999999999996</v>
      </c>
      <c r="N482" s="9">
        <f>7.1554 * CHOOSE(CONTROL!$C$32, $C$9, 100%, $E$9)</f>
        <v>7.1554000000000002</v>
      </c>
      <c r="O482" s="9">
        <f>7.1587 * CHOOSE(CONTROL!$C$32, $C$9, 100%, $E$9)</f>
        <v>7.1586999999999996</v>
      </c>
    </row>
    <row r="483" spans="1:15" ht="15.75" x14ac:dyDescent="0.25">
      <c r="A483" s="14">
        <v>55577</v>
      </c>
      <c r="B483" s="10">
        <f>8.0514 * CHOOSE(CONTROL!$C$32, $C$9, 100%, $E$9)</f>
        <v>8.0513999999999992</v>
      </c>
      <c r="C483" s="10">
        <f>8.0514 * CHOOSE(CONTROL!$C$32, $C$9, 100%, $E$9)</f>
        <v>8.0513999999999992</v>
      </c>
      <c r="D483" s="10">
        <f>8.0524 * CHOOSE(CONTROL!$C$32, $C$9, 100%, $E$9)</f>
        <v>8.0524000000000004</v>
      </c>
      <c r="E483" s="9">
        <f>6.9993 * CHOOSE(CONTROL!$C$32, $C$9, 100%, $E$9)</f>
        <v>6.9992999999999999</v>
      </c>
      <c r="F483" s="9">
        <f>6.9993 * CHOOSE(CONTROL!$C$32, $C$9, 100%, $E$9)</f>
        <v>6.9992999999999999</v>
      </c>
      <c r="G483" s="9">
        <f>7.0025 * CHOOSE(CONTROL!$C$32, $C$9, 100%, $E$9)</f>
        <v>7.0025000000000004</v>
      </c>
      <c r="H483" s="9">
        <f>9.7324 * CHOOSE(CONTROL!$C$32, $C$9, 100%, $E$9)</f>
        <v>9.7324000000000002</v>
      </c>
      <c r="I483" s="9">
        <f>9.7356 * CHOOSE(CONTROL!$C$32, $C$9, 100%, $E$9)</f>
        <v>9.7355999999999998</v>
      </c>
      <c r="J483" s="9">
        <f>9.7324 * CHOOSE(CONTROL!$C$32, $C$9, 100%, $E$9)</f>
        <v>9.7324000000000002</v>
      </c>
      <c r="K483" s="9">
        <f>9.7356 * CHOOSE(CONTROL!$C$32, $C$9, 100%, $E$9)</f>
        <v>9.7355999999999998</v>
      </c>
      <c r="L483" s="9">
        <f>6.9993 * CHOOSE(CONTROL!$C$32, $C$9, 100%, $E$9)</f>
        <v>6.9992999999999999</v>
      </c>
      <c r="M483" s="9">
        <f>7.0025 * CHOOSE(CONTROL!$C$32, $C$9, 100%, $E$9)</f>
        <v>7.0025000000000004</v>
      </c>
      <c r="N483" s="9">
        <f>6.9993 * CHOOSE(CONTROL!$C$32, $C$9, 100%, $E$9)</f>
        <v>6.9992999999999999</v>
      </c>
      <c r="O483" s="9">
        <f>7.0025 * CHOOSE(CONTROL!$C$32, $C$9, 100%, $E$9)</f>
        <v>7.0025000000000004</v>
      </c>
    </row>
    <row r="484" spans="1:15" ht="15.75" x14ac:dyDescent="0.25">
      <c r="A484" s="14">
        <v>55609</v>
      </c>
      <c r="B484" s="10">
        <f>8.0484 * CHOOSE(CONTROL!$C$32, $C$9, 100%, $E$9)</f>
        <v>8.0484000000000009</v>
      </c>
      <c r="C484" s="10">
        <f>8.0484 * CHOOSE(CONTROL!$C$32, $C$9, 100%, $E$9)</f>
        <v>8.0484000000000009</v>
      </c>
      <c r="D484" s="10">
        <f>8.0493 * CHOOSE(CONTROL!$C$32, $C$9, 100%, $E$9)</f>
        <v>8.0493000000000006</v>
      </c>
      <c r="E484" s="9">
        <f>7.1186 * CHOOSE(CONTROL!$C$32, $C$9, 100%, $E$9)</f>
        <v>7.1185999999999998</v>
      </c>
      <c r="F484" s="9">
        <f>7.1186 * CHOOSE(CONTROL!$C$32, $C$9, 100%, $E$9)</f>
        <v>7.1185999999999998</v>
      </c>
      <c r="G484" s="9">
        <f>7.1218 * CHOOSE(CONTROL!$C$32, $C$9, 100%, $E$9)</f>
        <v>7.1218000000000004</v>
      </c>
      <c r="H484" s="9">
        <f>9.7304 * CHOOSE(CONTROL!$C$32, $C$9, 100%, $E$9)</f>
        <v>9.7303999999999995</v>
      </c>
      <c r="I484" s="9">
        <f>9.7336 * CHOOSE(CONTROL!$C$32, $C$9, 100%, $E$9)</f>
        <v>9.7335999999999991</v>
      </c>
      <c r="J484" s="9">
        <f>9.7304 * CHOOSE(CONTROL!$C$32, $C$9, 100%, $E$9)</f>
        <v>9.7303999999999995</v>
      </c>
      <c r="K484" s="9">
        <f>9.7336 * CHOOSE(CONTROL!$C$32, $C$9, 100%, $E$9)</f>
        <v>9.7335999999999991</v>
      </c>
      <c r="L484" s="9">
        <f>7.1186 * CHOOSE(CONTROL!$C$32, $C$9, 100%, $E$9)</f>
        <v>7.1185999999999998</v>
      </c>
      <c r="M484" s="9">
        <f>7.1218 * CHOOSE(CONTROL!$C$32, $C$9, 100%, $E$9)</f>
        <v>7.1218000000000004</v>
      </c>
      <c r="N484" s="9">
        <f>7.1186 * CHOOSE(CONTROL!$C$32, $C$9, 100%, $E$9)</f>
        <v>7.1185999999999998</v>
      </c>
      <c r="O484" s="9">
        <f>7.1218 * CHOOSE(CONTROL!$C$32, $C$9, 100%, $E$9)</f>
        <v>7.1218000000000004</v>
      </c>
    </row>
    <row r="485" spans="1:15" ht="15.75" x14ac:dyDescent="0.25">
      <c r="A485" s="14">
        <v>55639</v>
      </c>
      <c r="B485" s="10">
        <f>8.0502 * CHOOSE(CONTROL!$C$32, $C$9, 100%, $E$9)</f>
        <v>8.0502000000000002</v>
      </c>
      <c r="C485" s="10">
        <f>8.0502 * CHOOSE(CONTROL!$C$32, $C$9, 100%, $E$9)</f>
        <v>8.0502000000000002</v>
      </c>
      <c r="D485" s="10">
        <f>8.0512 * CHOOSE(CONTROL!$C$32, $C$9, 100%, $E$9)</f>
        <v>8.0511999999999997</v>
      </c>
      <c r="E485" s="9">
        <f>7.2448 * CHOOSE(CONTROL!$C$32, $C$9, 100%, $E$9)</f>
        <v>7.2447999999999997</v>
      </c>
      <c r="F485" s="9">
        <f>7.2448 * CHOOSE(CONTROL!$C$32, $C$9, 100%, $E$9)</f>
        <v>7.2447999999999997</v>
      </c>
      <c r="G485" s="9">
        <f>7.248 * CHOOSE(CONTROL!$C$32, $C$9, 100%, $E$9)</f>
        <v>7.2480000000000002</v>
      </c>
      <c r="H485" s="9">
        <f>9.7313 * CHOOSE(CONTROL!$C$32, $C$9, 100%, $E$9)</f>
        <v>9.7312999999999992</v>
      </c>
      <c r="I485" s="9">
        <f>9.7346 * CHOOSE(CONTROL!$C$32, $C$9, 100%, $E$9)</f>
        <v>9.7346000000000004</v>
      </c>
      <c r="J485" s="9">
        <f>9.7313 * CHOOSE(CONTROL!$C$32, $C$9, 100%, $E$9)</f>
        <v>9.7312999999999992</v>
      </c>
      <c r="K485" s="9">
        <f>9.7346 * CHOOSE(CONTROL!$C$32, $C$9, 100%, $E$9)</f>
        <v>9.7346000000000004</v>
      </c>
      <c r="L485" s="9">
        <f>7.2448 * CHOOSE(CONTROL!$C$32, $C$9, 100%, $E$9)</f>
        <v>7.2447999999999997</v>
      </c>
      <c r="M485" s="9">
        <f>7.248 * CHOOSE(CONTROL!$C$32, $C$9, 100%, $E$9)</f>
        <v>7.2480000000000002</v>
      </c>
      <c r="N485" s="9">
        <f>7.2448 * CHOOSE(CONTROL!$C$32, $C$9, 100%, $E$9)</f>
        <v>7.2447999999999997</v>
      </c>
      <c r="O485" s="9">
        <f>7.248 * CHOOSE(CONTROL!$C$32, $C$9, 100%, $E$9)</f>
        <v>7.2480000000000002</v>
      </c>
    </row>
    <row r="486" spans="1:15" ht="15.75" x14ac:dyDescent="0.25">
      <c r="A486" s="14">
        <v>55670</v>
      </c>
      <c r="B486" s="10">
        <f>8.0502 * CHOOSE(CONTROL!$C$32, $C$9, 100%, $E$9)</f>
        <v>8.0502000000000002</v>
      </c>
      <c r="C486" s="10">
        <f>8.0502 * CHOOSE(CONTROL!$C$32, $C$9, 100%, $E$9)</f>
        <v>8.0502000000000002</v>
      </c>
      <c r="D486" s="10">
        <f>8.0514 * CHOOSE(CONTROL!$C$32, $C$9, 100%, $E$9)</f>
        <v>8.0513999999999992</v>
      </c>
      <c r="E486" s="9">
        <f>7.2937 * CHOOSE(CONTROL!$C$32, $C$9, 100%, $E$9)</f>
        <v>7.2937000000000003</v>
      </c>
      <c r="F486" s="9">
        <f>7.2937 * CHOOSE(CONTROL!$C$32, $C$9, 100%, $E$9)</f>
        <v>7.2937000000000003</v>
      </c>
      <c r="G486" s="9">
        <f>7.2979 * CHOOSE(CONTROL!$C$32, $C$9, 100%, $E$9)</f>
        <v>7.2979000000000003</v>
      </c>
      <c r="H486" s="9">
        <f>9.7313 * CHOOSE(CONTROL!$C$32, $C$9, 100%, $E$9)</f>
        <v>9.7312999999999992</v>
      </c>
      <c r="I486" s="9">
        <f>9.7355 * CHOOSE(CONTROL!$C$32, $C$9, 100%, $E$9)</f>
        <v>9.7355</v>
      </c>
      <c r="J486" s="9">
        <f>9.7313 * CHOOSE(CONTROL!$C$32, $C$9, 100%, $E$9)</f>
        <v>9.7312999999999992</v>
      </c>
      <c r="K486" s="9">
        <f>9.7355 * CHOOSE(CONTROL!$C$32, $C$9, 100%, $E$9)</f>
        <v>9.7355</v>
      </c>
      <c r="L486" s="9">
        <f>7.2937 * CHOOSE(CONTROL!$C$32, $C$9, 100%, $E$9)</f>
        <v>7.2937000000000003</v>
      </c>
      <c r="M486" s="9">
        <f>7.2979 * CHOOSE(CONTROL!$C$32, $C$9, 100%, $E$9)</f>
        <v>7.2979000000000003</v>
      </c>
      <c r="N486" s="9">
        <f>7.2937 * CHOOSE(CONTROL!$C$32, $C$9, 100%, $E$9)</f>
        <v>7.2937000000000003</v>
      </c>
      <c r="O486" s="9">
        <f>7.2979 * CHOOSE(CONTROL!$C$32, $C$9, 100%, $E$9)</f>
        <v>7.2979000000000003</v>
      </c>
    </row>
    <row r="487" spans="1:15" ht="15.75" x14ac:dyDescent="0.25">
      <c r="A487" s="14">
        <v>55700</v>
      </c>
      <c r="B487" s="10">
        <f>8.0563 * CHOOSE(CONTROL!$C$32, $C$9, 100%, $E$9)</f>
        <v>8.0563000000000002</v>
      </c>
      <c r="C487" s="10">
        <f>8.0563 * CHOOSE(CONTROL!$C$32, $C$9, 100%, $E$9)</f>
        <v>8.0563000000000002</v>
      </c>
      <c r="D487" s="10">
        <f>8.0575 * CHOOSE(CONTROL!$C$32, $C$9, 100%, $E$9)</f>
        <v>8.0574999999999992</v>
      </c>
      <c r="E487" s="9">
        <f>7.249 * CHOOSE(CONTROL!$C$32, $C$9, 100%, $E$9)</f>
        <v>7.2489999999999997</v>
      </c>
      <c r="F487" s="9">
        <f>7.249 * CHOOSE(CONTROL!$C$32, $C$9, 100%, $E$9)</f>
        <v>7.2489999999999997</v>
      </c>
      <c r="G487" s="9">
        <f>7.2532 * CHOOSE(CONTROL!$C$32, $C$9, 100%, $E$9)</f>
        <v>7.2531999999999996</v>
      </c>
      <c r="H487" s="9">
        <f>9.7353 * CHOOSE(CONTROL!$C$32, $C$9, 100%, $E$9)</f>
        <v>9.7353000000000005</v>
      </c>
      <c r="I487" s="9">
        <f>9.7395 * CHOOSE(CONTROL!$C$32, $C$9, 100%, $E$9)</f>
        <v>9.7394999999999996</v>
      </c>
      <c r="J487" s="9">
        <f>9.7353 * CHOOSE(CONTROL!$C$32, $C$9, 100%, $E$9)</f>
        <v>9.7353000000000005</v>
      </c>
      <c r="K487" s="9">
        <f>9.7395 * CHOOSE(CONTROL!$C$32, $C$9, 100%, $E$9)</f>
        <v>9.7394999999999996</v>
      </c>
      <c r="L487" s="9">
        <f>7.249 * CHOOSE(CONTROL!$C$32, $C$9, 100%, $E$9)</f>
        <v>7.2489999999999997</v>
      </c>
      <c r="M487" s="9">
        <f>7.2532 * CHOOSE(CONTROL!$C$32, $C$9, 100%, $E$9)</f>
        <v>7.2531999999999996</v>
      </c>
      <c r="N487" s="9">
        <f>7.249 * CHOOSE(CONTROL!$C$32, $C$9, 100%, $E$9)</f>
        <v>7.2489999999999997</v>
      </c>
      <c r="O487" s="9">
        <f>7.2532 * CHOOSE(CONTROL!$C$32, $C$9, 100%, $E$9)</f>
        <v>7.2531999999999996</v>
      </c>
    </row>
    <row r="488" spans="1:15" ht="15.75" x14ac:dyDescent="0.25">
      <c r="A488" s="14">
        <v>55731</v>
      </c>
      <c r="B488" s="10">
        <f>8.1719 * CHOOSE(CONTROL!$C$32, $C$9, 100%, $E$9)</f>
        <v>8.1719000000000008</v>
      </c>
      <c r="C488" s="10">
        <f>8.1719 * CHOOSE(CONTROL!$C$32, $C$9, 100%, $E$9)</f>
        <v>8.1719000000000008</v>
      </c>
      <c r="D488" s="10">
        <f>8.1731 * CHOOSE(CONTROL!$C$32, $C$9, 100%, $E$9)</f>
        <v>8.1730999999999998</v>
      </c>
      <c r="E488" s="9">
        <f>7.3341 * CHOOSE(CONTROL!$C$32, $C$9, 100%, $E$9)</f>
        <v>7.3341000000000003</v>
      </c>
      <c r="F488" s="9">
        <f>7.3341 * CHOOSE(CONTROL!$C$32, $C$9, 100%, $E$9)</f>
        <v>7.3341000000000003</v>
      </c>
      <c r="G488" s="9">
        <f>7.3383 * CHOOSE(CONTROL!$C$32, $C$9, 100%, $E$9)</f>
        <v>7.3383000000000003</v>
      </c>
      <c r="H488" s="9">
        <f>9.8821 * CHOOSE(CONTROL!$C$32, $C$9, 100%, $E$9)</f>
        <v>9.8820999999999994</v>
      </c>
      <c r="I488" s="9">
        <f>9.8863 * CHOOSE(CONTROL!$C$32, $C$9, 100%, $E$9)</f>
        <v>9.8863000000000003</v>
      </c>
      <c r="J488" s="9">
        <f>9.8821 * CHOOSE(CONTROL!$C$32, $C$9, 100%, $E$9)</f>
        <v>9.8820999999999994</v>
      </c>
      <c r="K488" s="9">
        <f>9.8863 * CHOOSE(CONTROL!$C$32, $C$9, 100%, $E$9)</f>
        <v>9.8863000000000003</v>
      </c>
      <c r="L488" s="9">
        <f>7.3341 * CHOOSE(CONTROL!$C$32, $C$9, 100%, $E$9)</f>
        <v>7.3341000000000003</v>
      </c>
      <c r="M488" s="9">
        <f>7.3383 * CHOOSE(CONTROL!$C$32, $C$9, 100%, $E$9)</f>
        <v>7.3383000000000003</v>
      </c>
      <c r="N488" s="9">
        <f>7.3341 * CHOOSE(CONTROL!$C$32, $C$9, 100%, $E$9)</f>
        <v>7.3341000000000003</v>
      </c>
      <c r="O488" s="9">
        <f>7.3383 * CHOOSE(CONTROL!$C$32, $C$9, 100%, $E$9)</f>
        <v>7.3383000000000003</v>
      </c>
    </row>
    <row r="489" spans="1:15" ht="15.75" x14ac:dyDescent="0.25">
      <c r="A489" s="14">
        <v>55762</v>
      </c>
      <c r="B489" s="10">
        <f>8.1786 * CHOOSE(CONTROL!$C$32, $C$9, 100%, $E$9)</f>
        <v>8.1785999999999994</v>
      </c>
      <c r="C489" s="10">
        <f>8.1786 * CHOOSE(CONTROL!$C$32, $C$9, 100%, $E$9)</f>
        <v>8.1785999999999994</v>
      </c>
      <c r="D489" s="10">
        <f>8.1798 * CHOOSE(CONTROL!$C$32, $C$9, 100%, $E$9)</f>
        <v>8.1798000000000002</v>
      </c>
      <c r="E489" s="9">
        <f>7.192 * CHOOSE(CONTROL!$C$32, $C$9, 100%, $E$9)</f>
        <v>7.1920000000000002</v>
      </c>
      <c r="F489" s="9">
        <f>7.192 * CHOOSE(CONTROL!$C$32, $C$9, 100%, $E$9)</f>
        <v>7.1920000000000002</v>
      </c>
      <c r="G489" s="9">
        <f>7.1962 * CHOOSE(CONTROL!$C$32, $C$9, 100%, $E$9)</f>
        <v>7.1962000000000002</v>
      </c>
      <c r="H489" s="9">
        <f>9.8865 * CHOOSE(CONTROL!$C$32, $C$9, 100%, $E$9)</f>
        <v>9.8864999999999998</v>
      </c>
      <c r="I489" s="9">
        <f>9.8907 * CHOOSE(CONTROL!$C$32, $C$9, 100%, $E$9)</f>
        <v>9.8907000000000007</v>
      </c>
      <c r="J489" s="9">
        <f>9.8865 * CHOOSE(CONTROL!$C$32, $C$9, 100%, $E$9)</f>
        <v>9.8864999999999998</v>
      </c>
      <c r="K489" s="9">
        <f>9.8907 * CHOOSE(CONTROL!$C$32, $C$9, 100%, $E$9)</f>
        <v>9.8907000000000007</v>
      </c>
      <c r="L489" s="9">
        <f>7.192 * CHOOSE(CONTROL!$C$32, $C$9, 100%, $E$9)</f>
        <v>7.1920000000000002</v>
      </c>
      <c r="M489" s="9">
        <f>7.1962 * CHOOSE(CONTROL!$C$32, $C$9, 100%, $E$9)</f>
        <v>7.1962000000000002</v>
      </c>
      <c r="N489" s="9">
        <f>7.192 * CHOOSE(CONTROL!$C$32, $C$9, 100%, $E$9)</f>
        <v>7.1920000000000002</v>
      </c>
      <c r="O489" s="9">
        <f>7.1962 * CHOOSE(CONTROL!$C$32, $C$9, 100%, $E$9)</f>
        <v>7.1962000000000002</v>
      </c>
    </row>
    <row r="490" spans="1:15" ht="15.75" x14ac:dyDescent="0.25">
      <c r="A490" s="14">
        <v>55792</v>
      </c>
      <c r="B490" s="10">
        <f>8.1755 * CHOOSE(CONTROL!$C$32, $C$9, 100%, $E$9)</f>
        <v>8.1754999999999995</v>
      </c>
      <c r="C490" s="10">
        <f>8.1755 * CHOOSE(CONTROL!$C$32, $C$9, 100%, $E$9)</f>
        <v>8.1754999999999995</v>
      </c>
      <c r="D490" s="10">
        <f>8.1768 * CHOOSE(CONTROL!$C$32, $C$9, 100%, $E$9)</f>
        <v>8.1768000000000001</v>
      </c>
      <c r="E490" s="9">
        <f>7.1736 * CHOOSE(CONTROL!$C$32, $C$9, 100%, $E$9)</f>
        <v>7.1736000000000004</v>
      </c>
      <c r="F490" s="9">
        <f>7.1736 * CHOOSE(CONTROL!$C$32, $C$9, 100%, $E$9)</f>
        <v>7.1736000000000004</v>
      </c>
      <c r="G490" s="9">
        <f>7.1778 * CHOOSE(CONTROL!$C$32, $C$9, 100%, $E$9)</f>
        <v>7.1778000000000004</v>
      </c>
      <c r="H490" s="9">
        <f>9.8845 * CHOOSE(CONTROL!$C$32, $C$9, 100%, $E$9)</f>
        <v>9.8844999999999992</v>
      </c>
      <c r="I490" s="9">
        <f>9.8887 * CHOOSE(CONTROL!$C$32, $C$9, 100%, $E$9)</f>
        <v>9.8887</v>
      </c>
      <c r="J490" s="9">
        <f>9.8845 * CHOOSE(CONTROL!$C$32, $C$9, 100%, $E$9)</f>
        <v>9.8844999999999992</v>
      </c>
      <c r="K490" s="9">
        <f>9.8887 * CHOOSE(CONTROL!$C$32, $C$9, 100%, $E$9)</f>
        <v>9.8887</v>
      </c>
      <c r="L490" s="9">
        <f>7.1736 * CHOOSE(CONTROL!$C$32, $C$9, 100%, $E$9)</f>
        <v>7.1736000000000004</v>
      </c>
      <c r="M490" s="9">
        <f>7.1778 * CHOOSE(CONTROL!$C$32, $C$9, 100%, $E$9)</f>
        <v>7.1778000000000004</v>
      </c>
      <c r="N490" s="9">
        <f>7.1736 * CHOOSE(CONTROL!$C$32, $C$9, 100%, $E$9)</f>
        <v>7.1736000000000004</v>
      </c>
      <c r="O490" s="9">
        <f>7.1778 * CHOOSE(CONTROL!$C$32, $C$9, 100%, $E$9)</f>
        <v>7.1778000000000004</v>
      </c>
    </row>
    <row r="491" spans="1:15" ht="15.75" x14ac:dyDescent="0.25">
      <c r="A491" s="14">
        <v>55823</v>
      </c>
      <c r="B491" s="10">
        <f>8.1872 * CHOOSE(CONTROL!$C$32, $C$9, 100%, $E$9)</f>
        <v>8.1872000000000007</v>
      </c>
      <c r="C491" s="10">
        <f>8.1872 * CHOOSE(CONTROL!$C$32, $C$9, 100%, $E$9)</f>
        <v>8.1872000000000007</v>
      </c>
      <c r="D491" s="10">
        <f>8.1881 * CHOOSE(CONTROL!$C$32, $C$9, 100%, $E$9)</f>
        <v>8.1881000000000004</v>
      </c>
      <c r="E491" s="9">
        <f>7.2254 * CHOOSE(CONTROL!$C$32, $C$9, 100%, $E$9)</f>
        <v>7.2253999999999996</v>
      </c>
      <c r="F491" s="9">
        <f>7.2254 * CHOOSE(CONTROL!$C$32, $C$9, 100%, $E$9)</f>
        <v>7.2253999999999996</v>
      </c>
      <c r="G491" s="9">
        <f>7.2286 * CHOOSE(CONTROL!$C$32, $C$9, 100%, $E$9)</f>
        <v>7.2286000000000001</v>
      </c>
      <c r="H491" s="9">
        <f>9.891 * CHOOSE(CONTROL!$C$32, $C$9, 100%, $E$9)</f>
        <v>9.891</v>
      </c>
      <c r="I491" s="9">
        <f>9.8943 * CHOOSE(CONTROL!$C$32, $C$9, 100%, $E$9)</f>
        <v>9.8942999999999994</v>
      </c>
      <c r="J491" s="9">
        <f>9.891 * CHOOSE(CONTROL!$C$32, $C$9, 100%, $E$9)</f>
        <v>9.891</v>
      </c>
      <c r="K491" s="9">
        <f>9.8943 * CHOOSE(CONTROL!$C$32, $C$9, 100%, $E$9)</f>
        <v>9.8942999999999994</v>
      </c>
      <c r="L491" s="9">
        <f>7.2254 * CHOOSE(CONTROL!$C$32, $C$9, 100%, $E$9)</f>
        <v>7.2253999999999996</v>
      </c>
      <c r="M491" s="9">
        <f>7.2286 * CHOOSE(CONTROL!$C$32, $C$9, 100%, $E$9)</f>
        <v>7.2286000000000001</v>
      </c>
      <c r="N491" s="9">
        <f>7.2254 * CHOOSE(CONTROL!$C$32, $C$9, 100%, $E$9)</f>
        <v>7.2253999999999996</v>
      </c>
      <c r="O491" s="9">
        <f>7.2286 * CHOOSE(CONTROL!$C$32, $C$9, 100%, $E$9)</f>
        <v>7.2286000000000001</v>
      </c>
    </row>
    <row r="492" spans="1:15" ht="15.75" x14ac:dyDescent="0.25">
      <c r="A492" s="14">
        <v>55853</v>
      </c>
      <c r="B492" s="10">
        <f>8.1902 * CHOOSE(CONTROL!$C$32, $C$9, 100%, $E$9)</f>
        <v>8.1902000000000008</v>
      </c>
      <c r="C492" s="10">
        <f>8.1902 * CHOOSE(CONTROL!$C$32, $C$9, 100%, $E$9)</f>
        <v>8.1902000000000008</v>
      </c>
      <c r="D492" s="10">
        <f>8.1912 * CHOOSE(CONTROL!$C$32, $C$9, 100%, $E$9)</f>
        <v>8.1912000000000003</v>
      </c>
      <c r="E492" s="9">
        <f>7.2601 * CHOOSE(CONTROL!$C$32, $C$9, 100%, $E$9)</f>
        <v>7.2601000000000004</v>
      </c>
      <c r="F492" s="9">
        <f>7.2601 * CHOOSE(CONTROL!$C$32, $C$9, 100%, $E$9)</f>
        <v>7.2601000000000004</v>
      </c>
      <c r="G492" s="9">
        <f>7.2634 * CHOOSE(CONTROL!$C$32, $C$9, 100%, $E$9)</f>
        <v>7.2633999999999999</v>
      </c>
      <c r="H492" s="9">
        <f>9.893 * CHOOSE(CONTROL!$C$32, $C$9, 100%, $E$9)</f>
        <v>9.8930000000000007</v>
      </c>
      <c r="I492" s="9">
        <f>9.8963 * CHOOSE(CONTROL!$C$32, $C$9, 100%, $E$9)</f>
        <v>9.8963000000000001</v>
      </c>
      <c r="J492" s="9">
        <f>9.893 * CHOOSE(CONTROL!$C$32, $C$9, 100%, $E$9)</f>
        <v>9.8930000000000007</v>
      </c>
      <c r="K492" s="9">
        <f>9.8963 * CHOOSE(CONTROL!$C$32, $C$9, 100%, $E$9)</f>
        <v>9.8963000000000001</v>
      </c>
      <c r="L492" s="9">
        <f>7.2601 * CHOOSE(CONTROL!$C$32, $C$9, 100%, $E$9)</f>
        <v>7.2601000000000004</v>
      </c>
      <c r="M492" s="9">
        <f>7.2634 * CHOOSE(CONTROL!$C$32, $C$9, 100%, $E$9)</f>
        <v>7.2633999999999999</v>
      </c>
      <c r="N492" s="9">
        <f>7.2601 * CHOOSE(CONTROL!$C$32, $C$9, 100%, $E$9)</f>
        <v>7.2601000000000004</v>
      </c>
      <c r="O492" s="9">
        <f>7.2634 * CHOOSE(CONTROL!$C$32, $C$9, 100%, $E$9)</f>
        <v>7.2633999999999999</v>
      </c>
    </row>
    <row r="493" spans="1:15" ht="15.75" x14ac:dyDescent="0.25">
      <c r="A493" s="14">
        <v>55884</v>
      </c>
      <c r="B493" s="10">
        <f>8.1902 * CHOOSE(CONTROL!$C$32, $C$9, 100%, $E$9)</f>
        <v>8.1902000000000008</v>
      </c>
      <c r="C493" s="10">
        <f>8.1902 * CHOOSE(CONTROL!$C$32, $C$9, 100%, $E$9)</f>
        <v>8.1902000000000008</v>
      </c>
      <c r="D493" s="10">
        <f>8.1912 * CHOOSE(CONTROL!$C$32, $C$9, 100%, $E$9)</f>
        <v>8.1912000000000003</v>
      </c>
      <c r="E493" s="9">
        <f>7.1786 * CHOOSE(CONTROL!$C$32, $C$9, 100%, $E$9)</f>
        <v>7.1786000000000003</v>
      </c>
      <c r="F493" s="9">
        <f>7.1786 * CHOOSE(CONTROL!$C$32, $C$9, 100%, $E$9)</f>
        <v>7.1786000000000003</v>
      </c>
      <c r="G493" s="9">
        <f>7.1818 * CHOOSE(CONTROL!$C$32, $C$9, 100%, $E$9)</f>
        <v>7.1818</v>
      </c>
      <c r="H493" s="9">
        <f>9.893 * CHOOSE(CONTROL!$C$32, $C$9, 100%, $E$9)</f>
        <v>9.8930000000000007</v>
      </c>
      <c r="I493" s="9">
        <f>9.8963 * CHOOSE(CONTROL!$C$32, $C$9, 100%, $E$9)</f>
        <v>9.8963000000000001</v>
      </c>
      <c r="J493" s="9">
        <f>9.893 * CHOOSE(CONTROL!$C$32, $C$9, 100%, $E$9)</f>
        <v>9.8930000000000007</v>
      </c>
      <c r="K493" s="9">
        <f>9.8963 * CHOOSE(CONTROL!$C$32, $C$9, 100%, $E$9)</f>
        <v>9.8963000000000001</v>
      </c>
      <c r="L493" s="9">
        <f>7.1786 * CHOOSE(CONTROL!$C$32, $C$9, 100%, $E$9)</f>
        <v>7.1786000000000003</v>
      </c>
      <c r="M493" s="9">
        <f>7.1818 * CHOOSE(CONTROL!$C$32, $C$9, 100%, $E$9)</f>
        <v>7.1818</v>
      </c>
      <c r="N493" s="9">
        <f>7.1786 * CHOOSE(CONTROL!$C$32, $C$9, 100%, $E$9)</f>
        <v>7.1786000000000003</v>
      </c>
      <c r="O493" s="9">
        <f>7.1818 * CHOOSE(CONTROL!$C$32, $C$9, 100%, $E$9)</f>
        <v>7.1818</v>
      </c>
    </row>
    <row r="494" spans="1:15" ht="15.75" x14ac:dyDescent="0.25">
      <c r="A494" s="14">
        <v>55915</v>
      </c>
      <c r="B494" s="10">
        <f>8.2582 * CHOOSE(CONTROL!$C$32, $C$9, 100%, $E$9)</f>
        <v>8.2582000000000004</v>
      </c>
      <c r="C494" s="10">
        <f>8.2582 * CHOOSE(CONTROL!$C$32, $C$9, 100%, $E$9)</f>
        <v>8.2582000000000004</v>
      </c>
      <c r="D494" s="10">
        <f>8.2591 * CHOOSE(CONTROL!$C$32, $C$9, 100%, $E$9)</f>
        <v>8.2591000000000001</v>
      </c>
      <c r="E494" s="9">
        <f>7.2875 * CHOOSE(CONTROL!$C$32, $C$9, 100%, $E$9)</f>
        <v>7.2874999999999996</v>
      </c>
      <c r="F494" s="9">
        <f>7.2875 * CHOOSE(CONTROL!$C$32, $C$9, 100%, $E$9)</f>
        <v>7.2874999999999996</v>
      </c>
      <c r="G494" s="9">
        <f>7.2907 * CHOOSE(CONTROL!$C$32, $C$9, 100%, $E$9)</f>
        <v>7.2907000000000002</v>
      </c>
      <c r="H494" s="9">
        <f>9.9665 * CHOOSE(CONTROL!$C$32, $C$9, 100%, $E$9)</f>
        <v>9.9664999999999999</v>
      </c>
      <c r="I494" s="9">
        <f>9.9698 * CHOOSE(CONTROL!$C$32, $C$9, 100%, $E$9)</f>
        <v>9.9697999999999993</v>
      </c>
      <c r="J494" s="9">
        <f>9.9665 * CHOOSE(CONTROL!$C$32, $C$9, 100%, $E$9)</f>
        <v>9.9664999999999999</v>
      </c>
      <c r="K494" s="9">
        <f>9.9698 * CHOOSE(CONTROL!$C$32, $C$9, 100%, $E$9)</f>
        <v>9.9697999999999993</v>
      </c>
      <c r="L494" s="9">
        <f>7.2875 * CHOOSE(CONTROL!$C$32, $C$9, 100%, $E$9)</f>
        <v>7.2874999999999996</v>
      </c>
      <c r="M494" s="9">
        <f>7.2907 * CHOOSE(CONTROL!$C$32, $C$9, 100%, $E$9)</f>
        <v>7.2907000000000002</v>
      </c>
      <c r="N494" s="9">
        <f>7.2875 * CHOOSE(CONTROL!$C$32, $C$9, 100%, $E$9)</f>
        <v>7.2874999999999996</v>
      </c>
      <c r="O494" s="9">
        <f>7.2907 * CHOOSE(CONTROL!$C$32, $C$9, 100%, $E$9)</f>
        <v>7.2907000000000002</v>
      </c>
    </row>
    <row r="495" spans="1:15" ht="15.75" x14ac:dyDescent="0.25">
      <c r="A495" s="14">
        <v>55943</v>
      </c>
      <c r="B495" s="10">
        <f>8.2551 * CHOOSE(CONTROL!$C$32, $C$9, 100%, $E$9)</f>
        <v>8.2551000000000005</v>
      </c>
      <c r="C495" s="10">
        <f>8.2551 * CHOOSE(CONTROL!$C$32, $C$9, 100%, $E$9)</f>
        <v>8.2551000000000005</v>
      </c>
      <c r="D495" s="10">
        <f>8.2561 * CHOOSE(CONTROL!$C$32, $C$9, 100%, $E$9)</f>
        <v>8.2561</v>
      </c>
      <c r="E495" s="9">
        <f>7.1267 * CHOOSE(CONTROL!$C$32, $C$9, 100%, $E$9)</f>
        <v>7.1266999999999996</v>
      </c>
      <c r="F495" s="9">
        <f>7.1267 * CHOOSE(CONTROL!$C$32, $C$9, 100%, $E$9)</f>
        <v>7.1266999999999996</v>
      </c>
      <c r="G495" s="9">
        <f>7.13 * CHOOSE(CONTROL!$C$32, $C$9, 100%, $E$9)</f>
        <v>7.13</v>
      </c>
      <c r="H495" s="9">
        <f>9.9645 * CHOOSE(CONTROL!$C$32, $C$9, 100%, $E$9)</f>
        <v>9.9644999999999992</v>
      </c>
      <c r="I495" s="9">
        <f>9.9678 * CHOOSE(CONTROL!$C$32, $C$9, 100%, $E$9)</f>
        <v>9.9678000000000004</v>
      </c>
      <c r="J495" s="9">
        <f>9.9645 * CHOOSE(CONTROL!$C$32, $C$9, 100%, $E$9)</f>
        <v>9.9644999999999992</v>
      </c>
      <c r="K495" s="9">
        <f>9.9678 * CHOOSE(CONTROL!$C$32, $C$9, 100%, $E$9)</f>
        <v>9.9678000000000004</v>
      </c>
      <c r="L495" s="9">
        <f>7.1267 * CHOOSE(CONTROL!$C$32, $C$9, 100%, $E$9)</f>
        <v>7.1266999999999996</v>
      </c>
      <c r="M495" s="9">
        <f>7.13 * CHOOSE(CONTROL!$C$32, $C$9, 100%, $E$9)</f>
        <v>7.13</v>
      </c>
      <c r="N495" s="9">
        <f>7.1267 * CHOOSE(CONTROL!$C$32, $C$9, 100%, $E$9)</f>
        <v>7.1266999999999996</v>
      </c>
      <c r="O495" s="9">
        <f>7.13 * CHOOSE(CONTROL!$C$32, $C$9, 100%, $E$9)</f>
        <v>7.13</v>
      </c>
    </row>
    <row r="496" spans="1:15" ht="15.75" x14ac:dyDescent="0.25">
      <c r="A496" s="14">
        <v>55974</v>
      </c>
      <c r="B496" s="10">
        <f>8.2521 * CHOOSE(CONTROL!$C$32, $C$9, 100%, $E$9)</f>
        <v>8.2521000000000004</v>
      </c>
      <c r="C496" s="10">
        <f>8.2521 * CHOOSE(CONTROL!$C$32, $C$9, 100%, $E$9)</f>
        <v>8.2521000000000004</v>
      </c>
      <c r="D496" s="10">
        <f>8.253 * CHOOSE(CONTROL!$C$32, $C$9, 100%, $E$9)</f>
        <v>8.2530000000000001</v>
      </c>
      <c r="E496" s="9">
        <f>7.2497 * CHOOSE(CONTROL!$C$32, $C$9, 100%, $E$9)</f>
        <v>7.2496999999999998</v>
      </c>
      <c r="F496" s="9">
        <f>7.2497 * CHOOSE(CONTROL!$C$32, $C$9, 100%, $E$9)</f>
        <v>7.2496999999999998</v>
      </c>
      <c r="G496" s="9">
        <f>7.2529 * CHOOSE(CONTROL!$C$32, $C$9, 100%, $E$9)</f>
        <v>7.2529000000000003</v>
      </c>
      <c r="H496" s="9">
        <f>9.9625 * CHOOSE(CONTROL!$C$32, $C$9, 100%, $E$9)</f>
        <v>9.9625000000000004</v>
      </c>
      <c r="I496" s="9">
        <f>9.9658 * CHOOSE(CONTROL!$C$32, $C$9, 100%, $E$9)</f>
        <v>9.9657999999999998</v>
      </c>
      <c r="J496" s="9">
        <f>9.9625 * CHOOSE(CONTROL!$C$32, $C$9, 100%, $E$9)</f>
        <v>9.9625000000000004</v>
      </c>
      <c r="K496" s="9">
        <f>9.9658 * CHOOSE(CONTROL!$C$32, $C$9, 100%, $E$9)</f>
        <v>9.9657999999999998</v>
      </c>
      <c r="L496" s="9">
        <f>7.2497 * CHOOSE(CONTROL!$C$32, $C$9, 100%, $E$9)</f>
        <v>7.2496999999999998</v>
      </c>
      <c r="M496" s="9">
        <f>7.2529 * CHOOSE(CONTROL!$C$32, $C$9, 100%, $E$9)</f>
        <v>7.2529000000000003</v>
      </c>
      <c r="N496" s="9">
        <f>7.2497 * CHOOSE(CONTROL!$C$32, $C$9, 100%, $E$9)</f>
        <v>7.2496999999999998</v>
      </c>
      <c r="O496" s="9">
        <f>7.2529 * CHOOSE(CONTROL!$C$32, $C$9, 100%, $E$9)</f>
        <v>7.2529000000000003</v>
      </c>
    </row>
    <row r="497" spans="1:15" ht="15.75" x14ac:dyDescent="0.25">
      <c r="A497" s="14">
        <v>56004</v>
      </c>
      <c r="B497" s="10">
        <f>8.2541 * CHOOSE(CONTROL!$C$32, $C$9, 100%, $E$9)</f>
        <v>8.2540999999999993</v>
      </c>
      <c r="C497" s="10">
        <f>8.2541 * CHOOSE(CONTROL!$C$32, $C$9, 100%, $E$9)</f>
        <v>8.2540999999999993</v>
      </c>
      <c r="D497" s="10">
        <f>8.2551 * CHOOSE(CONTROL!$C$32, $C$9, 100%, $E$9)</f>
        <v>8.2551000000000005</v>
      </c>
      <c r="E497" s="9">
        <f>7.3798 * CHOOSE(CONTROL!$C$32, $C$9, 100%, $E$9)</f>
        <v>7.3798000000000004</v>
      </c>
      <c r="F497" s="9">
        <f>7.3798 * CHOOSE(CONTROL!$C$32, $C$9, 100%, $E$9)</f>
        <v>7.3798000000000004</v>
      </c>
      <c r="G497" s="9">
        <f>7.383 * CHOOSE(CONTROL!$C$32, $C$9, 100%, $E$9)</f>
        <v>7.383</v>
      </c>
      <c r="H497" s="9">
        <f>9.9636 * CHOOSE(CONTROL!$C$32, $C$9, 100%, $E$9)</f>
        <v>9.9635999999999996</v>
      </c>
      <c r="I497" s="9">
        <f>9.9668 * CHOOSE(CONTROL!$C$32, $C$9, 100%, $E$9)</f>
        <v>9.9667999999999992</v>
      </c>
      <c r="J497" s="9">
        <f>9.9636 * CHOOSE(CONTROL!$C$32, $C$9, 100%, $E$9)</f>
        <v>9.9635999999999996</v>
      </c>
      <c r="K497" s="9">
        <f>9.9668 * CHOOSE(CONTROL!$C$32, $C$9, 100%, $E$9)</f>
        <v>9.9667999999999992</v>
      </c>
      <c r="L497" s="9">
        <f>7.3798 * CHOOSE(CONTROL!$C$32, $C$9, 100%, $E$9)</f>
        <v>7.3798000000000004</v>
      </c>
      <c r="M497" s="9">
        <f>7.383 * CHOOSE(CONTROL!$C$32, $C$9, 100%, $E$9)</f>
        <v>7.383</v>
      </c>
      <c r="N497" s="9">
        <f>7.3798 * CHOOSE(CONTROL!$C$32, $C$9, 100%, $E$9)</f>
        <v>7.3798000000000004</v>
      </c>
      <c r="O497" s="9">
        <f>7.383 * CHOOSE(CONTROL!$C$32, $C$9, 100%, $E$9)</f>
        <v>7.383</v>
      </c>
    </row>
    <row r="498" spans="1:15" ht="15.75" x14ac:dyDescent="0.25">
      <c r="A498" s="14">
        <v>56035</v>
      </c>
      <c r="B498" s="10">
        <f>8.2541 * CHOOSE(CONTROL!$C$32, $C$9, 100%, $E$9)</f>
        <v>8.2540999999999993</v>
      </c>
      <c r="C498" s="10">
        <f>8.2541 * CHOOSE(CONTROL!$C$32, $C$9, 100%, $E$9)</f>
        <v>8.2540999999999993</v>
      </c>
      <c r="D498" s="10">
        <f>8.2554 * CHOOSE(CONTROL!$C$32, $C$9, 100%, $E$9)</f>
        <v>8.2553999999999998</v>
      </c>
      <c r="E498" s="9">
        <f>7.4302 * CHOOSE(CONTROL!$C$32, $C$9, 100%, $E$9)</f>
        <v>7.4302000000000001</v>
      </c>
      <c r="F498" s="9">
        <f>7.4302 * CHOOSE(CONTROL!$C$32, $C$9, 100%, $E$9)</f>
        <v>7.4302000000000001</v>
      </c>
      <c r="G498" s="9">
        <f>7.4344 * CHOOSE(CONTROL!$C$32, $C$9, 100%, $E$9)</f>
        <v>7.4344000000000001</v>
      </c>
      <c r="H498" s="9">
        <f>9.9636 * CHOOSE(CONTROL!$C$32, $C$9, 100%, $E$9)</f>
        <v>9.9635999999999996</v>
      </c>
      <c r="I498" s="9">
        <f>9.9678 * CHOOSE(CONTROL!$C$32, $C$9, 100%, $E$9)</f>
        <v>9.9678000000000004</v>
      </c>
      <c r="J498" s="9">
        <f>9.9636 * CHOOSE(CONTROL!$C$32, $C$9, 100%, $E$9)</f>
        <v>9.9635999999999996</v>
      </c>
      <c r="K498" s="9">
        <f>9.9678 * CHOOSE(CONTROL!$C$32, $C$9, 100%, $E$9)</f>
        <v>9.9678000000000004</v>
      </c>
      <c r="L498" s="9">
        <f>7.4302 * CHOOSE(CONTROL!$C$32, $C$9, 100%, $E$9)</f>
        <v>7.4302000000000001</v>
      </c>
      <c r="M498" s="9">
        <f>7.4344 * CHOOSE(CONTROL!$C$32, $C$9, 100%, $E$9)</f>
        <v>7.4344000000000001</v>
      </c>
      <c r="N498" s="9">
        <f>7.4302 * CHOOSE(CONTROL!$C$32, $C$9, 100%, $E$9)</f>
        <v>7.4302000000000001</v>
      </c>
      <c r="O498" s="9">
        <f>7.4344 * CHOOSE(CONTROL!$C$32, $C$9, 100%, $E$9)</f>
        <v>7.4344000000000001</v>
      </c>
    </row>
    <row r="499" spans="1:15" ht="15.75" x14ac:dyDescent="0.25">
      <c r="A499" s="14">
        <v>56065</v>
      </c>
      <c r="B499" s="10">
        <f>8.2602 * CHOOSE(CONTROL!$C$32, $C$9, 100%, $E$9)</f>
        <v>8.2601999999999993</v>
      </c>
      <c r="C499" s="10">
        <f>8.2602 * CHOOSE(CONTROL!$C$32, $C$9, 100%, $E$9)</f>
        <v>8.2601999999999993</v>
      </c>
      <c r="D499" s="10">
        <f>8.2614 * CHOOSE(CONTROL!$C$32, $C$9, 100%, $E$9)</f>
        <v>8.2614000000000001</v>
      </c>
      <c r="E499" s="9">
        <f>7.384 * CHOOSE(CONTROL!$C$32, $C$9, 100%, $E$9)</f>
        <v>7.3840000000000003</v>
      </c>
      <c r="F499" s="9">
        <f>7.384 * CHOOSE(CONTROL!$C$32, $C$9, 100%, $E$9)</f>
        <v>7.3840000000000003</v>
      </c>
      <c r="G499" s="9">
        <f>7.3882 * CHOOSE(CONTROL!$C$32, $C$9, 100%, $E$9)</f>
        <v>7.3882000000000003</v>
      </c>
      <c r="H499" s="9">
        <f>9.9676 * CHOOSE(CONTROL!$C$32, $C$9, 100%, $E$9)</f>
        <v>9.9675999999999991</v>
      </c>
      <c r="I499" s="9">
        <f>9.9718 * CHOOSE(CONTROL!$C$32, $C$9, 100%, $E$9)</f>
        <v>9.9718</v>
      </c>
      <c r="J499" s="9">
        <f>9.9676 * CHOOSE(CONTROL!$C$32, $C$9, 100%, $E$9)</f>
        <v>9.9675999999999991</v>
      </c>
      <c r="K499" s="9">
        <f>9.9718 * CHOOSE(CONTROL!$C$32, $C$9, 100%, $E$9)</f>
        <v>9.9718</v>
      </c>
      <c r="L499" s="9">
        <f>7.384 * CHOOSE(CONTROL!$C$32, $C$9, 100%, $E$9)</f>
        <v>7.3840000000000003</v>
      </c>
      <c r="M499" s="9">
        <f>7.3882 * CHOOSE(CONTROL!$C$32, $C$9, 100%, $E$9)</f>
        <v>7.3882000000000003</v>
      </c>
      <c r="N499" s="9">
        <f>7.384 * CHOOSE(CONTROL!$C$32, $C$9, 100%, $E$9)</f>
        <v>7.3840000000000003</v>
      </c>
      <c r="O499" s="9">
        <f>7.3882 * CHOOSE(CONTROL!$C$32, $C$9, 100%, $E$9)</f>
        <v>7.3882000000000003</v>
      </c>
    </row>
    <row r="500" spans="1:15" ht="15.75" x14ac:dyDescent="0.25">
      <c r="A500" s="14">
        <v>56096</v>
      </c>
      <c r="B500" s="10">
        <f>8.3783 * CHOOSE(CONTROL!$C$32, $C$9, 100%, $E$9)</f>
        <v>8.3782999999999994</v>
      </c>
      <c r="C500" s="10">
        <f>8.3783 * CHOOSE(CONTROL!$C$32, $C$9, 100%, $E$9)</f>
        <v>8.3782999999999994</v>
      </c>
      <c r="D500" s="10">
        <f>8.3796 * CHOOSE(CONTROL!$C$32, $C$9, 100%, $E$9)</f>
        <v>8.3795999999999999</v>
      </c>
      <c r="E500" s="9">
        <f>7.4705 * CHOOSE(CONTROL!$C$32, $C$9, 100%, $E$9)</f>
        <v>7.4705000000000004</v>
      </c>
      <c r="F500" s="9">
        <f>7.4705 * CHOOSE(CONTROL!$C$32, $C$9, 100%, $E$9)</f>
        <v>7.4705000000000004</v>
      </c>
      <c r="G500" s="9">
        <f>7.4747 * CHOOSE(CONTROL!$C$32, $C$9, 100%, $E$9)</f>
        <v>7.4747000000000003</v>
      </c>
      <c r="H500" s="9">
        <f>10.1176 * CHOOSE(CONTROL!$C$32, $C$9, 100%, $E$9)</f>
        <v>10.117599999999999</v>
      </c>
      <c r="I500" s="9">
        <f>10.1218 * CHOOSE(CONTROL!$C$32, $C$9, 100%, $E$9)</f>
        <v>10.1218</v>
      </c>
      <c r="J500" s="9">
        <f>10.1176 * CHOOSE(CONTROL!$C$32, $C$9, 100%, $E$9)</f>
        <v>10.117599999999999</v>
      </c>
      <c r="K500" s="9">
        <f>10.1218 * CHOOSE(CONTROL!$C$32, $C$9, 100%, $E$9)</f>
        <v>10.1218</v>
      </c>
      <c r="L500" s="9">
        <f>7.4705 * CHOOSE(CONTROL!$C$32, $C$9, 100%, $E$9)</f>
        <v>7.4705000000000004</v>
      </c>
      <c r="M500" s="9">
        <f>7.4747 * CHOOSE(CONTROL!$C$32, $C$9, 100%, $E$9)</f>
        <v>7.4747000000000003</v>
      </c>
      <c r="N500" s="9">
        <f>7.4705 * CHOOSE(CONTROL!$C$32, $C$9, 100%, $E$9)</f>
        <v>7.4705000000000004</v>
      </c>
      <c r="O500" s="9">
        <f>7.4747 * CHOOSE(CONTROL!$C$32, $C$9, 100%, $E$9)</f>
        <v>7.4747000000000003</v>
      </c>
    </row>
    <row r="501" spans="1:15" ht="15.75" x14ac:dyDescent="0.25">
      <c r="A501" s="14">
        <v>56127</v>
      </c>
      <c r="B501" s="10">
        <f>8.385 * CHOOSE(CONTROL!$C$32, $C$9, 100%, $E$9)</f>
        <v>8.3849999999999998</v>
      </c>
      <c r="C501" s="10">
        <f>8.385 * CHOOSE(CONTROL!$C$32, $C$9, 100%, $E$9)</f>
        <v>8.3849999999999998</v>
      </c>
      <c r="D501" s="10">
        <f>8.3863 * CHOOSE(CONTROL!$C$32, $C$9, 100%, $E$9)</f>
        <v>8.3863000000000003</v>
      </c>
      <c r="E501" s="9">
        <f>7.324 * CHOOSE(CONTROL!$C$32, $C$9, 100%, $E$9)</f>
        <v>7.3239999999999998</v>
      </c>
      <c r="F501" s="9">
        <f>7.324 * CHOOSE(CONTROL!$C$32, $C$9, 100%, $E$9)</f>
        <v>7.3239999999999998</v>
      </c>
      <c r="G501" s="9">
        <f>7.3282 * CHOOSE(CONTROL!$C$32, $C$9, 100%, $E$9)</f>
        <v>7.3281999999999998</v>
      </c>
      <c r="H501" s="9">
        <f>10.122 * CHOOSE(CONTROL!$C$32, $C$9, 100%, $E$9)</f>
        <v>10.122</v>
      </c>
      <c r="I501" s="9">
        <f>10.1262 * CHOOSE(CONTROL!$C$32, $C$9, 100%, $E$9)</f>
        <v>10.126200000000001</v>
      </c>
      <c r="J501" s="9">
        <f>10.122 * CHOOSE(CONTROL!$C$32, $C$9, 100%, $E$9)</f>
        <v>10.122</v>
      </c>
      <c r="K501" s="9">
        <f>10.1262 * CHOOSE(CONTROL!$C$32, $C$9, 100%, $E$9)</f>
        <v>10.126200000000001</v>
      </c>
      <c r="L501" s="9">
        <f>7.324 * CHOOSE(CONTROL!$C$32, $C$9, 100%, $E$9)</f>
        <v>7.3239999999999998</v>
      </c>
      <c r="M501" s="9">
        <f>7.3282 * CHOOSE(CONTROL!$C$32, $C$9, 100%, $E$9)</f>
        <v>7.3281999999999998</v>
      </c>
      <c r="N501" s="9">
        <f>7.324 * CHOOSE(CONTROL!$C$32, $C$9, 100%, $E$9)</f>
        <v>7.3239999999999998</v>
      </c>
      <c r="O501" s="9">
        <f>7.3282 * CHOOSE(CONTROL!$C$32, $C$9, 100%, $E$9)</f>
        <v>7.3281999999999998</v>
      </c>
    </row>
    <row r="502" spans="1:15" ht="15.75" x14ac:dyDescent="0.25">
      <c r="A502" s="14">
        <v>56157</v>
      </c>
      <c r="B502" s="10">
        <f>8.382 * CHOOSE(CONTROL!$C$32, $C$9, 100%, $E$9)</f>
        <v>8.3819999999999997</v>
      </c>
      <c r="C502" s="10">
        <f>8.382 * CHOOSE(CONTROL!$C$32, $C$9, 100%, $E$9)</f>
        <v>8.3819999999999997</v>
      </c>
      <c r="D502" s="10">
        <f>8.3832 * CHOOSE(CONTROL!$C$32, $C$9, 100%, $E$9)</f>
        <v>8.3832000000000004</v>
      </c>
      <c r="E502" s="9">
        <f>7.3051 * CHOOSE(CONTROL!$C$32, $C$9, 100%, $E$9)</f>
        <v>7.3051000000000004</v>
      </c>
      <c r="F502" s="9">
        <f>7.3051 * CHOOSE(CONTROL!$C$32, $C$9, 100%, $E$9)</f>
        <v>7.3051000000000004</v>
      </c>
      <c r="G502" s="9">
        <f>7.3093 * CHOOSE(CONTROL!$C$32, $C$9, 100%, $E$9)</f>
        <v>7.3093000000000004</v>
      </c>
      <c r="H502" s="9">
        <f>10.12 * CHOOSE(CONTROL!$C$32, $C$9, 100%, $E$9)</f>
        <v>10.119999999999999</v>
      </c>
      <c r="I502" s="9">
        <f>10.1242 * CHOOSE(CONTROL!$C$32, $C$9, 100%, $E$9)</f>
        <v>10.1242</v>
      </c>
      <c r="J502" s="9">
        <f>10.12 * CHOOSE(CONTROL!$C$32, $C$9, 100%, $E$9)</f>
        <v>10.119999999999999</v>
      </c>
      <c r="K502" s="9">
        <f>10.1242 * CHOOSE(CONTROL!$C$32, $C$9, 100%, $E$9)</f>
        <v>10.1242</v>
      </c>
      <c r="L502" s="9">
        <f>7.3051 * CHOOSE(CONTROL!$C$32, $C$9, 100%, $E$9)</f>
        <v>7.3051000000000004</v>
      </c>
      <c r="M502" s="9">
        <f>7.3093 * CHOOSE(CONTROL!$C$32, $C$9, 100%, $E$9)</f>
        <v>7.3093000000000004</v>
      </c>
      <c r="N502" s="9">
        <f>7.3051 * CHOOSE(CONTROL!$C$32, $C$9, 100%, $E$9)</f>
        <v>7.3051000000000004</v>
      </c>
      <c r="O502" s="9">
        <f>7.3093 * CHOOSE(CONTROL!$C$32, $C$9, 100%, $E$9)</f>
        <v>7.3093000000000004</v>
      </c>
    </row>
    <row r="503" spans="1:15" ht="15.75" x14ac:dyDescent="0.25">
      <c r="A503" s="14">
        <v>56188</v>
      </c>
      <c r="B503" s="10">
        <f>8.3944 * CHOOSE(CONTROL!$C$32, $C$9, 100%, $E$9)</f>
        <v>8.3943999999999992</v>
      </c>
      <c r="C503" s="10">
        <f>8.3944 * CHOOSE(CONTROL!$C$32, $C$9, 100%, $E$9)</f>
        <v>8.3943999999999992</v>
      </c>
      <c r="D503" s="10">
        <f>8.3954 * CHOOSE(CONTROL!$C$32, $C$9, 100%, $E$9)</f>
        <v>8.3954000000000004</v>
      </c>
      <c r="E503" s="9">
        <f>7.3589 * CHOOSE(CONTROL!$C$32, $C$9, 100%, $E$9)</f>
        <v>7.3589000000000002</v>
      </c>
      <c r="F503" s="9">
        <f>7.3589 * CHOOSE(CONTROL!$C$32, $C$9, 100%, $E$9)</f>
        <v>7.3589000000000002</v>
      </c>
      <c r="G503" s="9">
        <f>7.3621 * CHOOSE(CONTROL!$C$32, $C$9, 100%, $E$9)</f>
        <v>7.3620999999999999</v>
      </c>
      <c r="H503" s="9">
        <f>10.127 * CHOOSE(CONTROL!$C$32, $C$9, 100%, $E$9)</f>
        <v>10.127000000000001</v>
      </c>
      <c r="I503" s="9">
        <f>10.1303 * CHOOSE(CONTROL!$C$32, $C$9, 100%, $E$9)</f>
        <v>10.1303</v>
      </c>
      <c r="J503" s="9">
        <f>10.127 * CHOOSE(CONTROL!$C$32, $C$9, 100%, $E$9)</f>
        <v>10.127000000000001</v>
      </c>
      <c r="K503" s="9">
        <f>10.1303 * CHOOSE(CONTROL!$C$32, $C$9, 100%, $E$9)</f>
        <v>10.1303</v>
      </c>
      <c r="L503" s="9">
        <f>7.3589 * CHOOSE(CONTROL!$C$32, $C$9, 100%, $E$9)</f>
        <v>7.3589000000000002</v>
      </c>
      <c r="M503" s="9">
        <f>7.3621 * CHOOSE(CONTROL!$C$32, $C$9, 100%, $E$9)</f>
        <v>7.3620999999999999</v>
      </c>
      <c r="N503" s="9">
        <f>7.3589 * CHOOSE(CONTROL!$C$32, $C$9, 100%, $E$9)</f>
        <v>7.3589000000000002</v>
      </c>
      <c r="O503" s="9">
        <f>7.3621 * CHOOSE(CONTROL!$C$32, $C$9, 100%, $E$9)</f>
        <v>7.3620999999999999</v>
      </c>
    </row>
    <row r="504" spans="1:15" ht="15.75" x14ac:dyDescent="0.25">
      <c r="A504" s="14">
        <v>56218</v>
      </c>
      <c r="B504" s="10">
        <f>8.3975 * CHOOSE(CONTROL!$C$32, $C$9, 100%, $E$9)</f>
        <v>8.3975000000000009</v>
      </c>
      <c r="C504" s="10">
        <f>8.3975 * CHOOSE(CONTROL!$C$32, $C$9, 100%, $E$9)</f>
        <v>8.3975000000000009</v>
      </c>
      <c r="D504" s="10">
        <f>8.3984 * CHOOSE(CONTROL!$C$32, $C$9, 100%, $E$9)</f>
        <v>8.3984000000000005</v>
      </c>
      <c r="E504" s="9">
        <f>7.3946 * CHOOSE(CONTROL!$C$32, $C$9, 100%, $E$9)</f>
        <v>7.3945999999999996</v>
      </c>
      <c r="F504" s="9">
        <f>7.3946 * CHOOSE(CONTROL!$C$32, $C$9, 100%, $E$9)</f>
        <v>7.3945999999999996</v>
      </c>
      <c r="G504" s="9">
        <f>7.3978 * CHOOSE(CONTROL!$C$32, $C$9, 100%, $E$9)</f>
        <v>7.3978000000000002</v>
      </c>
      <c r="H504" s="9">
        <f>10.129 * CHOOSE(CONTROL!$C$32, $C$9, 100%, $E$9)</f>
        <v>10.129</v>
      </c>
      <c r="I504" s="9">
        <f>10.1323 * CHOOSE(CONTROL!$C$32, $C$9, 100%, $E$9)</f>
        <v>10.132300000000001</v>
      </c>
      <c r="J504" s="9">
        <f>10.129 * CHOOSE(CONTROL!$C$32, $C$9, 100%, $E$9)</f>
        <v>10.129</v>
      </c>
      <c r="K504" s="9">
        <f>10.1323 * CHOOSE(CONTROL!$C$32, $C$9, 100%, $E$9)</f>
        <v>10.132300000000001</v>
      </c>
      <c r="L504" s="9">
        <f>7.3946 * CHOOSE(CONTROL!$C$32, $C$9, 100%, $E$9)</f>
        <v>7.3945999999999996</v>
      </c>
      <c r="M504" s="9">
        <f>7.3978 * CHOOSE(CONTROL!$C$32, $C$9, 100%, $E$9)</f>
        <v>7.3978000000000002</v>
      </c>
      <c r="N504" s="9">
        <f>7.3946 * CHOOSE(CONTROL!$C$32, $C$9, 100%, $E$9)</f>
        <v>7.3945999999999996</v>
      </c>
      <c r="O504" s="9">
        <f>7.3978 * CHOOSE(CONTROL!$C$32, $C$9, 100%, $E$9)</f>
        <v>7.3978000000000002</v>
      </c>
    </row>
    <row r="505" spans="1:15" ht="15.75" x14ac:dyDescent="0.25">
      <c r="A505" s="14">
        <v>56249</v>
      </c>
      <c r="B505" s="10">
        <f>8.3975 * CHOOSE(CONTROL!$C$32, $C$9, 100%, $E$9)</f>
        <v>8.3975000000000009</v>
      </c>
      <c r="C505" s="10">
        <f>8.3975 * CHOOSE(CONTROL!$C$32, $C$9, 100%, $E$9)</f>
        <v>8.3975000000000009</v>
      </c>
      <c r="D505" s="10">
        <f>8.3984 * CHOOSE(CONTROL!$C$32, $C$9, 100%, $E$9)</f>
        <v>8.3984000000000005</v>
      </c>
      <c r="E505" s="9">
        <f>7.3106 * CHOOSE(CONTROL!$C$32, $C$9, 100%, $E$9)</f>
        <v>7.3106</v>
      </c>
      <c r="F505" s="9">
        <f>7.3106 * CHOOSE(CONTROL!$C$32, $C$9, 100%, $E$9)</f>
        <v>7.3106</v>
      </c>
      <c r="G505" s="9">
        <f>7.3138 * CHOOSE(CONTROL!$C$32, $C$9, 100%, $E$9)</f>
        <v>7.3137999999999996</v>
      </c>
      <c r="H505" s="9">
        <f>10.129 * CHOOSE(CONTROL!$C$32, $C$9, 100%, $E$9)</f>
        <v>10.129</v>
      </c>
      <c r="I505" s="9">
        <f>10.1323 * CHOOSE(CONTROL!$C$32, $C$9, 100%, $E$9)</f>
        <v>10.132300000000001</v>
      </c>
      <c r="J505" s="9">
        <f>10.129 * CHOOSE(CONTROL!$C$32, $C$9, 100%, $E$9)</f>
        <v>10.129</v>
      </c>
      <c r="K505" s="9">
        <f>10.1323 * CHOOSE(CONTROL!$C$32, $C$9, 100%, $E$9)</f>
        <v>10.132300000000001</v>
      </c>
      <c r="L505" s="9">
        <f>7.3106 * CHOOSE(CONTROL!$C$32, $C$9, 100%, $E$9)</f>
        <v>7.3106</v>
      </c>
      <c r="M505" s="9">
        <f>7.3138 * CHOOSE(CONTROL!$C$32, $C$9, 100%, $E$9)</f>
        <v>7.3137999999999996</v>
      </c>
      <c r="N505" s="9">
        <f>7.3106 * CHOOSE(CONTROL!$C$32, $C$9, 100%, $E$9)</f>
        <v>7.3106</v>
      </c>
      <c r="O505" s="9">
        <f>7.3138 * CHOOSE(CONTROL!$C$32, $C$9, 100%, $E$9)</f>
        <v>7.3137999999999996</v>
      </c>
    </row>
    <row r="506" spans="1:15" ht="15.75" x14ac:dyDescent="0.25">
      <c r="A506" s="14">
        <v>56280</v>
      </c>
      <c r="B506" s="10">
        <f>8.467 * CHOOSE(CONTROL!$C$32, $C$9, 100%, $E$9)</f>
        <v>8.4670000000000005</v>
      </c>
      <c r="C506" s="10">
        <f>8.467 * CHOOSE(CONTROL!$C$32, $C$9, 100%, $E$9)</f>
        <v>8.4670000000000005</v>
      </c>
      <c r="D506" s="10">
        <f>8.468 * CHOOSE(CONTROL!$C$32, $C$9, 100%, $E$9)</f>
        <v>8.468</v>
      </c>
      <c r="E506" s="9">
        <f>7.4223 * CHOOSE(CONTROL!$C$32, $C$9, 100%, $E$9)</f>
        <v>7.4222999999999999</v>
      </c>
      <c r="F506" s="9">
        <f>7.4223 * CHOOSE(CONTROL!$C$32, $C$9, 100%, $E$9)</f>
        <v>7.4222999999999999</v>
      </c>
      <c r="G506" s="9">
        <f>7.4255 * CHOOSE(CONTROL!$C$32, $C$9, 100%, $E$9)</f>
        <v>7.4255000000000004</v>
      </c>
      <c r="H506" s="9">
        <f>10.2042 * CHOOSE(CONTROL!$C$32, $C$9, 100%, $E$9)</f>
        <v>10.2042</v>
      </c>
      <c r="I506" s="9">
        <f>10.2075 * CHOOSE(CONTROL!$C$32, $C$9, 100%, $E$9)</f>
        <v>10.2075</v>
      </c>
      <c r="J506" s="9">
        <f>10.2042 * CHOOSE(CONTROL!$C$32, $C$9, 100%, $E$9)</f>
        <v>10.2042</v>
      </c>
      <c r="K506" s="9">
        <f>10.2075 * CHOOSE(CONTROL!$C$32, $C$9, 100%, $E$9)</f>
        <v>10.2075</v>
      </c>
      <c r="L506" s="9">
        <f>7.4223 * CHOOSE(CONTROL!$C$32, $C$9, 100%, $E$9)</f>
        <v>7.4222999999999999</v>
      </c>
      <c r="M506" s="9">
        <f>7.4255 * CHOOSE(CONTROL!$C$32, $C$9, 100%, $E$9)</f>
        <v>7.4255000000000004</v>
      </c>
      <c r="N506" s="9">
        <f>7.4223 * CHOOSE(CONTROL!$C$32, $C$9, 100%, $E$9)</f>
        <v>7.4222999999999999</v>
      </c>
      <c r="O506" s="9">
        <f>7.4255 * CHOOSE(CONTROL!$C$32, $C$9, 100%, $E$9)</f>
        <v>7.4255000000000004</v>
      </c>
    </row>
    <row r="507" spans="1:15" ht="15.75" x14ac:dyDescent="0.25">
      <c r="A507" s="14">
        <v>56308</v>
      </c>
      <c r="B507" s="10">
        <f>8.464 * CHOOSE(CONTROL!$C$32, $C$9, 100%, $E$9)</f>
        <v>8.4640000000000004</v>
      </c>
      <c r="C507" s="10">
        <f>8.464 * CHOOSE(CONTROL!$C$32, $C$9, 100%, $E$9)</f>
        <v>8.4640000000000004</v>
      </c>
      <c r="D507" s="10">
        <f>8.4649 * CHOOSE(CONTROL!$C$32, $C$9, 100%, $E$9)</f>
        <v>8.4649000000000001</v>
      </c>
      <c r="E507" s="9">
        <f>7.2568 * CHOOSE(CONTROL!$C$32, $C$9, 100%, $E$9)</f>
        <v>7.2568000000000001</v>
      </c>
      <c r="F507" s="9">
        <f>7.2568 * CHOOSE(CONTROL!$C$32, $C$9, 100%, $E$9)</f>
        <v>7.2568000000000001</v>
      </c>
      <c r="G507" s="9">
        <f>7.26 * CHOOSE(CONTROL!$C$32, $C$9, 100%, $E$9)</f>
        <v>7.26</v>
      </c>
      <c r="H507" s="9">
        <f>10.2022 * CHOOSE(CONTROL!$C$32, $C$9, 100%, $E$9)</f>
        <v>10.202199999999999</v>
      </c>
      <c r="I507" s="9">
        <f>10.2055 * CHOOSE(CONTROL!$C$32, $C$9, 100%, $E$9)</f>
        <v>10.205500000000001</v>
      </c>
      <c r="J507" s="9">
        <f>10.2022 * CHOOSE(CONTROL!$C$32, $C$9, 100%, $E$9)</f>
        <v>10.202199999999999</v>
      </c>
      <c r="K507" s="9">
        <f>10.2055 * CHOOSE(CONTROL!$C$32, $C$9, 100%, $E$9)</f>
        <v>10.205500000000001</v>
      </c>
      <c r="L507" s="9">
        <f>7.2568 * CHOOSE(CONTROL!$C$32, $C$9, 100%, $E$9)</f>
        <v>7.2568000000000001</v>
      </c>
      <c r="M507" s="9">
        <f>7.26 * CHOOSE(CONTROL!$C$32, $C$9, 100%, $E$9)</f>
        <v>7.26</v>
      </c>
      <c r="N507" s="9">
        <f>7.2568 * CHOOSE(CONTROL!$C$32, $C$9, 100%, $E$9)</f>
        <v>7.2568000000000001</v>
      </c>
      <c r="O507" s="9">
        <f>7.26 * CHOOSE(CONTROL!$C$32, $C$9, 100%, $E$9)</f>
        <v>7.26</v>
      </c>
    </row>
    <row r="508" spans="1:15" ht="15.75" x14ac:dyDescent="0.25">
      <c r="A508" s="14">
        <v>56339</v>
      </c>
      <c r="B508" s="10">
        <f>8.4609 * CHOOSE(CONTROL!$C$32, $C$9, 100%, $E$9)</f>
        <v>8.4609000000000005</v>
      </c>
      <c r="C508" s="10">
        <f>8.4609 * CHOOSE(CONTROL!$C$32, $C$9, 100%, $E$9)</f>
        <v>8.4609000000000005</v>
      </c>
      <c r="D508" s="10">
        <f>8.4619 * CHOOSE(CONTROL!$C$32, $C$9, 100%, $E$9)</f>
        <v>8.4619</v>
      </c>
      <c r="E508" s="9">
        <f>7.3835 * CHOOSE(CONTROL!$C$32, $C$9, 100%, $E$9)</f>
        <v>7.3834999999999997</v>
      </c>
      <c r="F508" s="9">
        <f>7.3835 * CHOOSE(CONTROL!$C$32, $C$9, 100%, $E$9)</f>
        <v>7.3834999999999997</v>
      </c>
      <c r="G508" s="9">
        <f>7.3867 * CHOOSE(CONTROL!$C$32, $C$9, 100%, $E$9)</f>
        <v>7.3867000000000003</v>
      </c>
      <c r="H508" s="9">
        <f>10.2002 * CHOOSE(CONTROL!$C$32, $C$9, 100%, $E$9)</f>
        <v>10.200200000000001</v>
      </c>
      <c r="I508" s="9">
        <f>10.2035 * CHOOSE(CONTROL!$C$32, $C$9, 100%, $E$9)</f>
        <v>10.2035</v>
      </c>
      <c r="J508" s="9">
        <f>10.2002 * CHOOSE(CONTROL!$C$32, $C$9, 100%, $E$9)</f>
        <v>10.200200000000001</v>
      </c>
      <c r="K508" s="9">
        <f>10.2035 * CHOOSE(CONTROL!$C$32, $C$9, 100%, $E$9)</f>
        <v>10.2035</v>
      </c>
      <c r="L508" s="9">
        <f>7.3835 * CHOOSE(CONTROL!$C$32, $C$9, 100%, $E$9)</f>
        <v>7.3834999999999997</v>
      </c>
      <c r="M508" s="9">
        <f>7.3867 * CHOOSE(CONTROL!$C$32, $C$9, 100%, $E$9)</f>
        <v>7.3867000000000003</v>
      </c>
      <c r="N508" s="9">
        <f>7.3835 * CHOOSE(CONTROL!$C$32, $C$9, 100%, $E$9)</f>
        <v>7.3834999999999997</v>
      </c>
      <c r="O508" s="9">
        <f>7.3867 * CHOOSE(CONTROL!$C$32, $C$9, 100%, $E$9)</f>
        <v>7.3867000000000003</v>
      </c>
    </row>
    <row r="509" spans="1:15" ht="15.75" x14ac:dyDescent="0.25">
      <c r="A509" s="14">
        <v>56369</v>
      </c>
      <c r="B509" s="10">
        <f>8.4632 * CHOOSE(CONTROL!$C$32, $C$9, 100%, $E$9)</f>
        <v>8.4632000000000005</v>
      </c>
      <c r="C509" s="10">
        <f>8.4632 * CHOOSE(CONTROL!$C$32, $C$9, 100%, $E$9)</f>
        <v>8.4632000000000005</v>
      </c>
      <c r="D509" s="10">
        <f>8.4642 * CHOOSE(CONTROL!$C$32, $C$9, 100%, $E$9)</f>
        <v>8.4641999999999999</v>
      </c>
      <c r="E509" s="9">
        <f>7.5176 * CHOOSE(CONTROL!$C$32, $C$9, 100%, $E$9)</f>
        <v>7.5175999999999998</v>
      </c>
      <c r="F509" s="9">
        <f>7.5176 * CHOOSE(CONTROL!$C$32, $C$9, 100%, $E$9)</f>
        <v>7.5175999999999998</v>
      </c>
      <c r="G509" s="9">
        <f>7.5208 * CHOOSE(CONTROL!$C$32, $C$9, 100%, $E$9)</f>
        <v>7.5208000000000004</v>
      </c>
      <c r="H509" s="9">
        <f>10.2014 * CHOOSE(CONTROL!$C$32, $C$9, 100%, $E$9)</f>
        <v>10.2014</v>
      </c>
      <c r="I509" s="9">
        <f>10.2046 * CHOOSE(CONTROL!$C$32, $C$9, 100%, $E$9)</f>
        <v>10.204599999999999</v>
      </c>
      <c r="J509" s="9">
        <f>10.2014 * CHOOSE(CONTROL!$C$32, $C$9, 100%, $E$9)</f>
        <v>10.2014</v>
      </c>
      <c r="K509" s="9">
        <f>10.2046 * CHOOSE(CONTROL!$C$32, $C$9, 100%, $E$9)</f>
        <v>10.204599999999999</v>
      </c>
      <c r="L509" s="9">
        <f>7.5176 * CHOOSE(CONTROL!$C$32, $C$9, 100%, $E$9)</f>
        <v>7.5175999999999998</v>
      </c>
      <c r="M509" s="9">
        <f>7.5208 * CHOOSE(CONTROL!$C$32, $C$9, 100%, $E$9)</f>
        <v>7.5208000000000004</v>
      </c>
      <c r="N509" s="9">
        <f>7.5176 * CHOOSE(CONTROL!$C$32, $C$9, 100%, $E$9)</f>
        <v>7.5175999999999998</v>
      </c>
      <c r="O509" s="9">
        <f>7.5208 * CHOOSE(CONTROL!$C$32, $C$9, 100%, $E$9)</f>
        <v>7.5208000000000004</v>
      </c>
    </row>
    <row r="510" spans="1:15" ht="15.75" x14ac:dyDescent="0.25">
      <c r="A510" s="14">
        <v>56400</v>
      </c>
      <c r="B510" s="10">
        <f>8.4632 * CHOOSE(CONTROL!$C$32, $C$9, 100%, $E$9)</f>
        <v>8.4632000000000005</v>
      </c>
      <c r="C510" s="10">
        <f>8.4632 * CHOOSE(CONTROL!$C$32, $C$9, 100%, $E$9)</f>
        <v>8.4632000000000005</v>
      </c>
      <c r="D510" s="10">
        <f>8.4644 * CHOOSE(CONTROL!$C$32, $C$9, 100%, $E$9)</f>
        <v>8.4643999999999995</v>
      </c>
      <c r="E510" s="9">
        <f>7.5695 * CHOOSE(CONTROL!$C$32, $C$9, 100%, $E$9)</f>
        <v>7.5694999999999997</v>
      </c>
      <c r="F510" s="9">
        <f>7.5695 * CHOOSE(CONTROL!$C$32, $C$9, 100%, $E$9)</f>
        <v>7.5694999999999997</v>
      </c>
      <c r="G510" s="9">
        <f>7.5737 * CHOOSE(CONTROL!$C$32, $C$9, 100%, $E$9)</f>
        <v>7.5736999999999997</v>
      </c>
      <c r="H510" s="9">
        <f>10.2014 * CHOOSE(CONTROL!$C$32, $C$9, 100%, $E$9)</f>
        <v>10.2014</v>
      </c>
      <c r="I510" s="9">
        <f>10.2056 * CHOOSE(CONTROL!$C$32, $C$9, 100%, $E$9)</f>
        <v>10.2056</v>
      </c>
      <c r="J510" s="9">
        <f>10.2014 * CHOOSE(CONTROL!$C$32, $C$9, 100%, $E$9)</f>
        <v>10.2014</v>
      </c>
      <c r="K510" s="9">
        <f>10.2056 * CHOOSE(CONTROL!$C$32, $C$9, 100%, $E$9)</f>
        <v>10.2056</v>
      </c>
      <c r="L510" s="9">
        <f>7.5695 * CHOOSE(CONTROL!$C$32, $C$9, 100%, $E$9)</f>
        <v>7.5694999999999997</v>
      </c>
      <c r="M510" s="9">
        <f>7.5737 * CHOOSE(CONTROL!$C$32, $C$9, 100%, $E$9)</f>
        <v>7.5736999999999997</v>
      </c>
      <c r="N510" s="9">
        <f>7.5695 * CHOOSE(CONTROL!$C$32, $C$9, 100%, $E$9)</f>
        <v>7.5694999999999997</v>
      </c>
      <c r="O510" s="9">
        <f>7.5737 * CHOOSE(CONTROL!$C$32, $C$9, 100%, $E$9)</f>
        <v>7.5736999999999997</v>
      </c>
    </row>
    <row r="511" spans="1:15" ht="15.75" x14ac:dyDescent="0.25">
      <c r="A511" s="14">
        <v>56430</v>
      </c>
      <c r="B511" s="10">
        <f>8.4693 * CHOOSE(CONTROL!$C$32, $C$9, 100%, $E$9)</f>
        <v>8.4693000000000005</v>
      </c>
      <c r="C511" s="10">
        <f>8.4693 * CHOOSE(CONTROL!$C$32, $C$9, 100%, $E$9)</f>
        <v>8.4693000000000005</v>
      </c>
      <c r="D511" s="10">
        <f>8.4705 * CHOOSE(CONTROL!$C$32, $C$9, 100%, $E$9)</f>
        <v>8.4704999999999995</v>
      </c>
      <c r="E511" s="9">
        <f>7.5219 * CHOOSE(CONTROL!$C$32, $C$9, 100%, $E$9)</f>
        <v>7.5218999999999996</v>
      </c>
      <c r="F511" s="9">
        <f>7.5219 * CHOOSE(CONTROL!$C$32, $C$9, 100%, $E$9)</f>
        <v>7.5218999999999996</v>
      </c>
      <c r="G511" s="9">
        <f>7.5261 * CHOOSE(CONTROL!$C$32, $C$9, 100%, $E$9)</f>
        <v>7.5260999999999996</v>
      </c>
      <c r="H511" s="9">
        <f>10.2054 * CHOOSE(CONTROL!$C$32, $C$9, 100%, $E$9)</f>
        <v>10.205399999999999</v>
      </c>
      <c r="I511" s="9">
        <f>10.2096 * CHOOSE(CONTROL!$C$32, $C$9, 100%, $E$9)</f>
        <v>10.2096</v>
      </c>
      <c r="J511" s="9">
        <f>10.2054 * CHOOSE(CONTROL!$C$32, $C$9, 100%, $E$9)</f>
        <v>10.205399999999999</v>
      </c>
      <c r="K511" s="9">
        <f>10.2096 * CHOOSE(CONTROL!$C$32, $C$9, 100%, $E$9)</f>
        <v>10.2096</v>
      </c>
      <c r="L511" s="9">
        <f>7.5219 * CHOOSE(CONTROL!$C$32, $C$9, 100%, $E$9)</f>
        <v>7.5218999999999996</v>
      </c>
      <c r="M511" s="9">
        <f>7.5261 * CHOOSE(CONTROL!$C$32, $C$9, 100%, $E$9)</f>
        <v>7.5260999999999996</v>
      </c>
      <c r="N511" s="9">
        <f>7.5219 * CHOOSE(CONTROL!$C$32, $C$9, 100%, $E$9)</f>
        <v>7.5218999999999996</v>
      </c>
      <c r="O511" s="9">
        <f>7.5261 * CHOOSE(CONTROL!$C$32, $C$9, 100%, $E$9)</f>
        <v>7.5260999999999996</v>
      </c>
    </row>
    <row r="512" spans="1:15" ht="15.75" x14ac:dyDescent="0.25">
      <c r="A512" s="14">
        <v>56461</v>
      </c>
      <c r="B512" s="10">
        <f>8.59 * CHOOSE(CONTROL!$C$32, $C$9, 100%, $E$9)</f>
        <v>8.59</v>
      </c>
      <c r="C512" s="10">
        <f>8.59 * CHOOSE(CONTROL!$C$32, $C$9, 100%, $E$9)</f>
        <v>8.59</v>
      </c>
      <c r="D512" s="10">
        <f>8.5913 * CHOOSE(CONTROL!$C$32, $C$9, 100%, $E$9)</f>
        <v>8.5913000000000004</v>
      </c>
      <c r="E512" s="9">
        <f>7.6097 * CHOOSE(CONTROL!$C$32, $C$9, 100%, $E$9)</f>
        <v>7.6097000000000001</v>
      </c>
      <c r="F512" s="9">
        <f>7.6097 * CHOOSE(CONTROL!$C$32, $C$9, 100%, $E$9)</f>
        <v>7.6097000000000001</v>
      </c>
      <c r="G512" s="9">
        <f>7.6139 * CHOOSE(CONTROL!$C$32, $C$9, 100%, $E$9)</f>
        <v>7.6139000000000001</v>
      </c>
      <c r="H512" s="9">
        <f>10.3588 * CHOOSE(CONTROL!$C$32, $C$9, 100%, $E$9)</f>
        <v>10.3588</v>
      </c>
      <c r="I512" s="9">
        <f>10.363 * CHOOSE(CONTROL!$C$32, $C$9, 100%, $E$9)</f>
        <v>10.363</v>
      </c>
      <c r="J512" s="9">
        <f>10.3588 * CHOOSE(CONTROL!$C$32, $C$9, 100%, $E$9)</f>
        <v>10.3588</v>
      </c>
      <c r="K512" s="9">
        <f>10.363 * CHOOSE(CONTROL!$C$32, $C$9, 100%, $E$9)</f>
        <v>10.363</v>
      </c>
      <c r="L512" s="9">
        <f>7.6097 * CHOOSE(CONTROL!$C$32, $C$9, 100%, $E$9)</f>
        <v>7.6097000000000001</v>
      </c>
      <c r="M512" s="9">
        <f>7.6139 * CHOOSE(CONTROL!$C$32, $C$9, 100%, $E$9)</f>
        <v>7.6139000000000001</v>
      </c>
      <c r="N512" s="9">
        <f>7.6097 * CHOOSE(CONTROL!$C$32, $C$9, 100%, $E$9)</f>
        <v>7.6097000000000001</v>
      </c>
      <c r="O512" s="9">
        <f>7.6139 * CHOOSE(CONTROL!$C$32, $C$9, 100%, $E$9)</f>
        <v>7.6139000000000001</v>
      </c>
    </row>
    <row r="513" spans="1:15" ht="15.75" x14ac:dyDescent="0.25">
      <c r="A513" s="14">
        <v>56492</v>
      </c>
      <c r="B513" s="10">
        <f>8.5967 * CHOOSE(CONTROL!$C$32, $C$9, 100%, $E$9)</f>
        <v>8.5967000000000002</v>
      </c>
      <c r="C513" s="10">
        <f>8.5967 * CHOOSE(CONTROL!$C$32, $C$9, 100%, $E$9)</f>
        <v>8.5967000000000002</v>
      </c>
      <c r="D513" s="10">
        <f>8.598 * CHOOSE(CONTROL!$C$32, $C$9, 100%, $E$9)</f>
        <v>8.5980000000000008</v>
      </c>
      <c r="E513" s="9">
        <f>7.4587 * CHOOSE(CONTROL!$C$32, $C$9, 100%, $E$9)</f>
        <v>7.4587000000000003</v>
      </c>
      <c r="F513" s="9">
        <f>7.4587 * CHOOSE(CONTROL!$C$32, $C$9, 100%, $E$9)</f>
        <v>7.4587000000000003</v>
      </c>
      <c r="G513" s="9">
        <f>7.4629 * CHOOSE(CONTROL!$C$32, $C$9, 100%, $E$9)</f>
        <v>7.4629000000000003</v>
      </c>
      <c r="H513" s="9">
        <f>10.3632 * CHOOSE(CONTROL!$C$32, $C$9, 100%, $E$9)</f>
        <v>10.363200000000001</v>
      </c>
      <c r="I513" s="9">
        <f>10.3674 * CHOOSE(CONTROL!$C$32, $C$9, 100%, $E$9)</f>
        <v>10.3674</v>
      </c>
      <c r="J513" s="9">
        <f>10.3632 * CHOOSE(CONTROL!$C$32, $C$9, 100%, $E$9)</f>
        <v>10.363200000000001</v>
      </c>
      <c r="K513" s="9">
        <f>10.3674 * CHOOSE(CONTROL!$C$32, $C$9, 100%, $E$9)</f>
        <v>10.3674</v>
      </c>
      <c r="L513" s="9">
        <f>7.4587 * CHOOSE(CONTROL!$C$32, $C$9, 100%, $E$9)</f>
        <v>7.4587000000000003</v>
      </c>
      <c r="M513" s="9">
        <f>7.4629 * CHOOSE(CONTROL!$C$32, $C$9, 100%, $E$9)</f>
        <v>7.4629000000000003</v>
      </c>
      <c r="N513" s="9">
        <f>7.4587 * CHOOSE(CONTROL!$C$32, $C$9, 100%, $E$9)</f>
        <v>7.4587000000000003</v>
      </c>
      <c r="O513" s="9">
        <f>7.4629 * CHOOSE(CONTROL!$C$32, $C$9, 100%, $E$9)</f>
        <v>7.4629000000000003</v>
      </c>
    </row>
    <row r="514" spans="1:15" ht="15.75" x14ac:dyDescent="0.25">
      <c r="A514" s="14">
        <v>56522</v>
      </c>
      <c r="B514" s="10">
        <f>8.5937 * CHOOSE(CONTROL!$C$32, $C$9, 100%, $E$9)</f>
        <v>8.5937000000000001</v>
      </c>
      <c r="C514" s="10">
        <f>8.5937 * CHOOSE(CONTROL!$C$32, $C$9, 100%, $E$9)</f>
        <v>8.5937000000000001</v>
      </c>
      <c r="D514" s="10">
        <f>8.5949 * CHOOSE(CONTROL!$C$32, $C$9, 100%, $E$9)</f>
        <v>8.5949000000000009</v>
      </c>
      <c r="E514" s="9">
        <f>7.4393 * CHOOSE(CONTROL!$C$32, $C$9, 100%, $E$9)</f>
        <v>7.4393000000000002</v>
      </c>
      <c r="F514" s="9">
        <f>7.4393 * CHOOSE(CONTROL!$C$32, $C$9, 100%, $E$9)</f>
        <v>7.4393000000000002</v>
      </c>
      <c r="G514" s="9">
        <f>7.4435 * CHOOSE(CONTROL!$C$32, $C$9, 100%, $E$9)</f>
        <v>7.4435000000000002</v>
      </c>
      <c r="H514" s="9">
        <f>10.3612 * CHOOSE(CONTROL!$C$32, $C$9, 100%, $E$9)</f>
        <v>10.3612</v>
      </c>
      <c r="I514" s="9">
        <f>10.3654 * CHOOSE(CONTROL!$C$32, $C$9, 100%, $E$9)</f>
        <v>10.365399999999999</v>
      </c>
      <c r="J514" s="9">
        <f>10.3612 * CHOOSE(CONTROL!$C$32, $C$9, 100%, $E$9)</f>
        <v>10.3612</v>
      </c>
      <c r="K514" s="9">
        <f>10.3654 * CHOOSE(CONTROL!$C$32, $C$9, 100%, $E$9)</f>
        <v>10.365399999999999</v>
      </c>
      <c r="L514" s="9">
        <f>7.4393 * CHOOSE(CONTROL!$C$32, $C$9, 100%, $E$9)</f>
        <v>7.4393000000000002</v>
      </c>
      <c r="M514" s="9">
        <f>7.4435 * CHOOSE(CONTROL!$C$32, $C$9, 100%, $E$9)</f>
        <v>7.4435000000000002</v>
      </c>
      <c r="N514" s="9">
        <f>7.4393 * CHOOSE(CONTROL!$C$32, $C$9, 100%, $E$9)</f>
        <v>7.4393000000000002</v>
      </c>
      <c r="O514" s="9">
        <f>7.4435 * CHOOSE(CONTROL!$C$32, $C$9, 100%, $E$9)</f>
        <v>7.4435000000000002</v>
      </c>
    </row>
    <row r="515" spans="1:15" ht="15.75" x14ac:dyDescent="0.25">
      <c r="A515" s="14">
        <v>56553</v>
      </c>
      <c r="B515" s="10">
        <f>8.607 * CHOOSE(CONTROL!$C$32, $C$9, 100%, $E$9)</f>
        <v>8.6069999999999993</v>
      </c>
      <c r="C515" s="10">
        <f>8.607 * CHOOSE(CONTROL!$C$32, $C$9, 100%, $E$9)</f>
        <v>8.6069999999999993</v>
      </c>
      <c r="D515" s="10">
        <f>8.6079 * CHOOSE(CONTROL!$C$32, $C$9, 100%, $E$9)</f>
        <v>8.6079000000000008</v>
      </c>
      <c r="E515" s="9">
        <f>7.4951 * CHOOSE(CONTROL!$C$32, $C$9, 100%, $E$9)</f>
        <v>7.4950999999999999</v>
      </c>
      <c r="F515" s="9">
        <f>7.4951 * CHOOSE(CONTROL!$C$32, $C$9, 100%, $E$9)</f>
        <v>7.4950999999999999</v>
      </c>
      <c r="G515" s="9">
        <f>7.4983 * CHOOSE(CONTROL!$C$32, $C$9, 100%, $E$9)</f>
        <v>7.4983000000000004</v>
      </c>
      <c r="H515" s="9">
        <f>10.3687 * CHOOSE(CONTROL!$C$32, $C$9, 100%, $E$9)</f>
        <v>10.3687</v>
      </c>
      <c r="I515" s="9">
        <f>10.3719 * CHOOSE(CONTROL!$C$32, $C$9, 100%, $E$9)</f>
        <v>10.3719</v>
      </c>
      <c r="J515" s="9">
        <f>10.3687 * CHOOSE(CONTROL!$C$32, $C$9, 100%, $E$9)</f>
        <v>10.3687</v>
      </c>
      <c r="K515" s="9">
        <f>10.3719 * CHOOSE(CONTROL!$C$32, $C$9, 100%, $E$9)</f>
        <v>10.3719</v>
      </c>
      <c r="L515" s="9">
        <f>7.4951 * CHOOSE(CONTROL!$C$32, $C$9, 100%, $E$9)</f>
        <v>7.4950999999999999</v>
      </c>
      <c r="M515" s="9">
        <f>7.4983 * CHOOSE(CONTROL!$C$32, $C$9, 100%, $E$9)</f>
        <v>7.4983000000000004</v>
      </c>
      <c r="N515" s="9">
        <f>7.4951 * CHOOSE(CONTROL!$C$32, $C$9, 100%, $E$9)</f>
        <v>7.4950999999999999</v>
      </c>
      <c r="O515" s="9">
        <f>7.4983 * CHOOSE(CONTROL!$C$32, $C$9, 100%, $E$9)</f>
        <v>7.4983000000000004</v>
      </c>
    </row>
    <row r="516" spans="1:15" ht="15.75" x14ac:dyDescent="0.25">
      <c r="A516" s="14">
        <v>56583</v>
      </c>
      <c r="B516" s="10">
        <f>8.61 * CHOOSE(CONTROL!$C$32, $C$9, 100%, $E$9)</f>
        <v>8.61</v>
      </c>
      <c r="C516" s="10">
        <f>8.61 * CHOOSE(CONTROL!$C$32, $C$9, 100%, $E$9)</f>
        <v>8.61</v>
      </c>
      <c r="D516" s="10">
        <f>8.611 * CHOOSE(CONTROL!$C$32, $C$9, 100%, $E$9)</f>
        <v>8.6110000000000007</v>
      </c>
      <c r="E516" s="9">
        <f>7.5318 * CHOOSE(CONTROL!$C$32, $C$9, 100%, $E$9)</f>
        <v>7.5317999999999996</v>
      </c>
      <c r="F516" s="9">
        <f>7.5318 * CHOOSE(CONTROL!$C$32, $C$9, 100%, $E$9)</f>
        <v>7.5317999999999996</v>
      </c>
      <c r="G516" s="9">
        <f>7.535 * CHOOSE(CONTROL!$C$32, $C$9, 100%, $E$9)</f>
        <v>7.5350000000000001</v>
      </c>
      <c r="H516" s="9">
        <f>10.3707 * CHOOSE(CONTROL!$C$32, $C$9, 100%, $E$9)</f>
        <v>10.370699999999999</v>
      </c>
      <c r="I516" s="9">
        <f>10.3739 * CHOOSE(CONTROL!$C$32, $C$9, 100%, $E$9)</f>
        <v>10.373900000000001</v>
      </c>
      <c r="J516" s="9">
        <f>10.3707 * CHOOSE(CONTROL!$C$32, $C$9, 100%, $E$9)</f>
        <v>10.370699999999999</v>
      </c>
      <c r="K516" s="9">
        <f>10.3739 * CHOOSE(CONTROL!$C$32, $C$9, 100%, $E$9)</f>
        <v>10.373900000000001</v>
      </c>
      <c r="L516" s="9">
        <f>7.5318 * CHOOSE(CONTROL!$C$32, $C$9, 100%, $E$9)</f>
        <v>7.5317999999999996</v>
      </c>
      <c r="M516" s="9">
        <f>7.535 * CHOOSE(CONTROL!$C$32, $C$9, 100%, $E$9)</f>
        <v>7.5350000000000001</v>
      </c>
      <c r="N516" s="9">
        <f>7.5318 * CHOOSE(CONTROL!$C$32, $C$9, 100%, $E$9)</f>
        <v>7.5317999999999996</v>
      </c>
      <c r="O516" s="9">
        <f>7.535 * CHOOSE(CONTROL!$C$32, $C$9, 100%, $E$9)</f>
        <v>7.5350000000000001</v>
      </c>
    </row>
    <row r="517" spans="1:15" ht="15.75" x14ac:dyDescent="0.25">
      <c r="A517" s="14">
        <v>56614</v>
      </c>
      <c r="B517" s="10">
        <f>8.61 * CHOOSE(CONTROL!$C$32, $C$9, 100%, $E$9)</f>
        <v>8.61</v>
      </c>
      <c r="C517" s="10">
        <f>8.61 * CHOOSE(CONTROL!$C$32, $C$9, 100%, $E$9)</f>
        <v>8.61</v>
      </c>
      <c r="D517" s="10">
        <f>8.611 * CHOOSE(CONTROL!$C$32, $C$9, 100%, $E$9)</f>
        <v>8.6110000000000007</v>
      </c>
      <c r="E517" s="9">
        <f>7.4453 * CHOOSE(CONTROL!$C$32, $C$9, 100%, $E$9)</f>
        <v>7.4452999999999996</v>
      </c>
      <c r="F517" s="9">
        <f>7.4453 * CHOOSE(CONTROL!$C$32, $C$9, 100%, $E$9)</f>
        <v>7.4452999999999996</v>
      </c>
      <c r="G517" s="9">
        <f>7.4485 * CHOOSE(CONTROL!$C$32, $C$9, 100%, $E$9)</f>
        <v>7.4485000000000001</v>
      </c>
      <c r="H517" s="9">
        <f>10.3707 * CHOOSE(CONTROL!$C$32, $C$9, 100%, $E$9)</f>
        <v>10.370699999999999</v>
      </c>
      <c r="I517" s="9">
        <f>10.3739 * CHOOSE(CONTROL!$C$32, $C$9, 100%, $E$9)</f>
        <v>10.373900000000001</v>
      </c>
      <c r="J517" s="9">
        <f>10.3707 * CHOOSE(CONTROL!$C$32, $C$9, 100%, $E$9)</f>
        <v>10.370699999999999</v>
      </c>
      <c r="K517" s="9">
        <f>10.3739 * CHOOSE(CONTROL!$C$32, $C$9, 100%, $E$9)</f>
        <v>10.373900000000001</v>
      </c>
      <c r="L517" s="9">
        <f>7.4453 * CHOOSE(CONTROL!$C$32, $C$9, 100%, $E$9)</f>
        <v>7.4452999999999996</v>
      </c>
      <c r="M517" s="9">
        <f>7.4485 * CHOOSE(CONTROL!$C$32, $C$9, 100%, $E$9)</f>
        <v>7.4485000000000001</v>
      </c>
      <c r="N517" s="9">
        <f>7.4453 * CHOOSE(CONTROL!$C$32, $C$9, 100%, $E$9)</f>
        <v>7.4452999999999996</v>
      </c>
      <c r="O517" s="9">
        <f>7.4485 * CHOOSE(CONTROL!$C$32, $C$9, 100%, $E$9)</f>
        <v>7.4485000000000001</v>
      </c>
    </row>
    <row r="518" spans="1:15" ht="15.75" x14ac:dyDescent="0.25">
      <c r="A518" s="13">
        <v>56645</v>
      </c>
      <c r="B518" s="10">
        <f>8.6812 * CHOOSE(CONTROL!$C$32, $C$9, 100%, $E$9)</f>
        <v>8.6812000000000005</v>
      </c>
      <c r="C518" s="10">
        <f>8.6812 * CHOOSE(CONTROL!$C$32, $C$9, 100%, $E$9)</f>
        <v>8.6812000000000005</v>
      </c>
      <c r="D518" s="10">
        <f>8.6821 * CHOOSE(CONTROL!$C$32, $C$9, 100%, $E$9)</f>
        <v>8.6821000000000002</v>
      </c>
      <c r="E518" s="9">
        <f>7.5599 * CHOOSE(CONTROL!$C$32, $C$9, 100%, $E$9)</f>
        <v>7.5598999999999998</v>
      </c>
      <c r="F518" s="9">
        <f>7.5599 * CHOOSE(CONTROL!$C$32, $C$9, 100%, $E$9)</f>
        <v>7.5598999999999998</v>
      </c>
      <c r="G518" s="9">
        <f>7.5631 * CHOOSE(CONTROL!$C$32, $C$9, 100%, $E$9)</f>
        <v>7.5631000000000004</v>
      </c>
      <c r="H518" s="9">
        <f>10.4476 * CHOOSE(CONTROL!$C$32, $C$9, 100%, $E$9)</f>
        <v>10.4476</v>
      </c>
      <c r="I518" s="9">
        <f>10.4508 * CHOOSE(CONTROL!$C$32, $C$9, 100%, $E$9)</f>
        <v>10.450799999999999</v>
      </c>
      <c r="J518" s="9">
        <f>10.4476 * CHOOSE(CONTROL!$C$32, $C$9, 100%, $E$9)</f>
        <v>10.4476</v>
      </c>
      <c r="K518" s="9">
        <f>10.4508 * CHOOSE(CONTROL!$C$32, $C$9, 100%, $E$9)</f>
        <v>10.450799999999999</v>
      </c>
      <c r="L518" s="9">
        <f>7.5599 * CHOOSE(CONTROL!$C$32, $C$9, 100%, $E$9)</f>
        <v>7.5598999999999998</v>
      </c>
      <c r="M518" s="9">
        <f>7.5631 * CHOOSE(CONTROL!$C$32, $C$9, 100%, $E$9)</f>
        <v>7.5631000000000004</v>
      </c>
      <c r="N518" s="9">
        <f>7.5599 * CHOOSE(CONTROL!$C$32, $C$9, 100%, $E$9)</f>
        <v>7.5598999999999998</v>
      </c>
      <c r="O518" s="9">
        <f>7.5631 * CHOOSE(CONTROL!$C$32, $C$9, 100%, $E$9)</f>
        <v>7.5631000000000004</v>
      </c>
    </row>
    <row r="519" spans="1:15" ht="15.75" x14ac:dyDescent="0.25">
      <c r="A519" s="13">
        <v>56673</v>
      </c>
      <c r="B519" s="10">
        <f>8.6782 * CHOOSE(CONTROL!$C$32, $C$9, 100%, $E$9)</f>
        <v>8.6782000000000004</v>
      </c>
      <c r="C519" s="10">
        <f>8.6782 * CHOOSE(CONTROL!$C$32, $C$9, 100%, $E$9)</f>
        <v>8.6782000000000004</v>
      </c>
      <c r="D519" s="10">
        <f>8.6791 * CHOOSE(CONTROL!$C$32, $C$9, 100%, $E$9)</f>
        <v>8.6791</v>
      </c>
      <c r="E519" s="9">
        <f>7.3895 * CHOOSE(CONTROL!$C$32, $C$9, 100%, $E$9)</f>
        <v>7.3895</v>
      </c>
      <c r="F519" s="9">
        <f>7.3895 * CHOOSE(CONTROL!$C$32, $C$9, 100%, $E$9)</f>
        <v>7.3895</v>
      </c>
      <c r="G519" s="9">
        <f>7.3927 * CHOOSE(CONTROL!$C$32, $C$9, 100%, $E$9)</f>
        <v>7.3926999999999996</v>
      </c>
      <c r="H519" s="9">
        <f>10.4456 * CHOOSE(CONTROL!$C$32, $C$9, 100%, $E$9)</f>
        <v>10.445600000000001</v>
      </c>
      <c r="I519" s="9">
        <f>10.4488 * CHOOSE(CONTROL!$C$32, $C$9, 100%, $E$9)</f>
        <v>10.4488</v>
      </c>
      <c r="J519" s="9">
        <f>10.4456 * CHOOSE(CONTROL!$C$32, $C$9, 100%, $E$9)</f>
        <v>10.445600000000001</v>
      </c>
      <c r="K519" s="9">
        <f>10.4488 * CHOOSE(CONTROL!$C$32, $C$9, 100%, $E$9)</f>
        <v>10.4488</v>
      </c>
      <c r="L519" s="9">
        <f>7.3895 * CHOOSE(CONTROL!$C$32, $C$9, 100%, $E$9)</f>
        <v>7.3895</v>
      </c>
      <c r="M519" s="9">
        <f>7.3927 * CHOOSE(CONTROL!$C$32, $C$9, 100%, $E$9)</f>
        <v>7.3926999999999996</v>
      </c>
      <c r="N519" s="9">
        <f>7.3895 * CHOOSE(CONTROL!$C$32, $C$9, 100%, $E$9)</f>
        <v>7.3895</v>
      </c>
      <c r="O519" s="9">
        <f>7.3927 * CHOOSE(CONTROL!$C$32, $C$9, 100%, $E$9)</f>
        <v>7.3926999999999996</v>
      </c>
    </row>
    <row r="520" spans="1:15" ht="15.75" x14ac:dyDescent="0.25">
      <c r="A520" s="13">
        <v>56704</v>
      </c>
      <c r="B520" s="10">
        <f>8.6751 * CHOOSE(CONTROL!$C$32, $C$9, 100%, $E$9)</f>
        <v>8.6751000000000005</v>
      </c>
      <c r="C520" s="10">
        <f>8.6751 * CHOOSE(CONTROL!$C$32, $C$9, 100%, $E$9)</f>
        <v>8.6751000000000005</v>
      </c>
      <c r="D520" s="10">
        <f>8.6761 * CHOOSE(CONTROL!$C$32, $C$9, 100%, $E$9)</f>
        <v>8.6760999999999999</v>
      </c>
      <c r="E520" s="9">
        <f>7.52 * CHOOSE(CONTROL!$C$32, $C$9, 100%, $E$9)</f>
        <v>7.52</v>
      </c>
      <c r="F520" s="9">
        <f>7.52 * CHOOSE(CONTROL!$C$32, $C$9, 100%, $E$9)</f>
        <v>7.52</v>
      </c>
      <c r="G520" s="9">
        <f>7.5233 * CHOOSE(CONTROL!$C$32, $C$9, 100%, $E$9)</f>
        <v>7.5232999999999999</v>
      </c>
      <c r="H520" s="9">
        <f>10.4436 * CHOOSE(CONTROL!$C$32, $C$9, 100%, $E$9)</f>
        <v>10.4436</v>
      </c>
      <c r="I520" s="9">
        <f>10.4468 * CHOOSE(CONTROL!$C$32, $C$9, 100%, $E$9)</f>
        <v>10.4468</v>
      </c>
      <c r="J520" s="9">
        <f>10.4436 * CHOOSE(CONTROL!$C$32, $C$9, 100%, $E$9)</f>
        <v>10.4436</v>
      </c>
      <c r="K520" s="9">
        <f>10.4468 * CHOOSE(CONTROL!$C$32, $C$9, 100%, $E$9)</f>
        <v>10.4468</v>
      </c>
      <c r="L520" s="9">
        <f>7.52 * CHOOSE(CONTROL!$C$32, $C$9, 100%, $E$9)</f>
        <v>7.52</v>
      </c>
      <c r="M520" s="9">
        <f>7.5233 * CHOOSE(CONTROL!$C$32, $C$9, 100%, $E$9)</f>
        <v>7.5232999999999999</v>
      </c>
      <c r="N520" s="9">
        <f>7.52 * CHOOSE(CONTROL!$C$32, $C$9, 100%, $E$9)</f>
        <v>7.52</v>
      </c>
      <c r="O520" s="9">
        <f>7.5233 * CHOOSE(CONTROL!$C$32, $C$9, 100%, $E$9)</f>
        <v>7.5232999999999999</v>
      </c>
    </row>
    <row r="521" spans="1:15" ht="15.75" x14ac:dyDescent="0.25">
      <c r="A521" s="13">
        <v>56734</v>
      </c>
      <c r="B521" s="10">
        <f>8.6776 * CHOOSE(CONTROL!$C$32, $C$9, 100%, $E$9)</f>
        <v>8.6776</v>
      </c>
      <c r="C521" s="10">
        <f>8.6776 * CHOOSE(CONTROL!$C$32, $C$9, 100%, $E$9)</f>
        <v>8.6776</v>
      </c>
      <c r="D521" s="10">
        <f>8.6785 * CHOOSE(CONTROL!$C$32, $C$9, 100%, $E$9)</f>
        <v>8.6784999999999997</v>
      </c>
      <c r="E521" s="9">
        <f>7.6583 * CHOOSE(CONTROL!$C$32, $C$9, 100%, $E$9)</f>
        <v>7.6582999999999997</v>
      </c>
      <c r="F521" s="9">
        <f>7.6583 * CHOOSE(CONTROL!$C$32, $C$9, 100%, $E$9)</f>
        <v>7.6582999999999997</v>
      </c>
      <c r="G521" s="9">
        <f>7.6615 * CHOOSE(CONTROL!$C$32, $C$9, 100%, $E$9)</f>
        <v>7.6615000000000002</v>
      </c>
      <c r="H521" s="9">
        <f>10.4449 * CHOOSE(CONTROL!$C$32, $C$9, 100%, $E$9)</f>
        <v>10.444900000000001</v>
      </c>
      <c r="I521" s="9">
        <f>10.4482 * CHOOSE(CONTROL!$C$32, $C$9, 100%, $E$9)</f>
        <v>10.4482</v>
      </c>
      <c r="J521" s="9">
        <f>10.4449 * CHOOSE(CONTROL!$C$32, $C$9, 100%, $E$9)</f>
        <v>10.444900000000001</v>
      </c>
      <c r="K521" s="9">
        <f>10.4482 * CHOOSE(CONTROL!$C$32, $C$9, 100%, $E$9)</f>
        <v>10.4482</v>
      </c>
      <c r="L521" s="9">
        <f>7.6583 * CHOOSE(CONTROL!$C$32, $C$9, 100%, $E$9)</f>
        <v>7.6582999999999997</v>
      </c>
      <c r="M521" s="9">
        <f>7.6615 * CHOOSE(CONTROL!$C$32, $C$9, 100%, $E$9)</f>
        <v>7.6615000000000002</v>
      </c>
      <c r="N521" s="9">
        <f>7.6583 * CHOOSE(CONTROL!$C$32, $C$9, 100%, $E$9)</f>
        <v>7.6582999999999997</v>
      </c>
      <c r="O521" s="9">
        <f>7.6615 * CHOOSE(CONTROL!$C$32, $C$9, 100%, $E$9)</f>
        <v>7.6615000000000002</v>
      </c>
    </row>
    <row r="522" spans="1:15" ht="15.75" x14ac:dyDescent="0.25">
      <c r="A522" s="13">
        <v>56765</v>
      </c>
      <c r="B522" s="10">
        <f>8.6776 * CHOOSE(CONTROL!$C$32, $C$9, 100%, $E$9)</f>
        <v>8.6776</v>
      </c>
      <c r="C522" s="10">
        <f>8.6776 * CHOOSE(CONTROL!$C$32, $C$9, 100%, $E$9)</f>
        <v>8.6776</v>
      </c>
      <c r="D522" s="10">
        <f>8.6788 * CHOOSE(CONTROL!$C$32, $C$9, 100%, $E$9)</f>
        <v>8.6788000000000007</v>
      </c>
      <c r="E522" s="9">
        <f>7.7118 * CHOOSE(CONTROL!$C$32, $C$9, 100%, $E$9)</f>
        <v>7.7118000000000002</v>
      </c>
      <c r="F522" s="9">
        <f>7.7118 * CHOOSE(CONTROL!$C$32, $C$9, 100%, $E$9)</f>
        <v>7.7118000000000002</v>
      </c>
      <c r="G522" s="9">
        <f>7.716 * CHOOSE(CONTROL!$C$32, $C$9, 100%, $E$9)</f>
        <v>7.7160000000000002</v>
      </c>
      <c r="H522" s="9">
        <f>10.4449 * CHOOSE(CONTROL!$C$32, $C$9, 100%, $E$9)</f>
        <v>10.444900000000001</v>
      </c>
      <c r="I522" s="9">
        <f>10.4491 * CHOOSE(CONTROL!$C$32, $C$9, 100%, $E$9)</f>
        <v>10.4491</v>
      </c>
      <c r="J522" s="9">
        <f>10.4449 * CHOOSE(CONTROL!$C$32, $C$9, 100%, $E$9)</f>
        <v>10.444900000000001</v>
      </c>
      <c r="K522" s="9">
        <f>10.4491 * CHOOSE(CONTROL!$C$32, $C$9, 100%, $E$9)</f>
        <v>10.4491</v>
      </c>
      <c r="L522" s="9">
        <f>7.7118 * CHOOSE(CONTROL!$C$32, $C$9, 100%, $E$9)</f>
        <v>7.7118000000000002</v>
      </c>
      <c r="M522" s="9">
        <f>7.716 * CHOOSE(CONTROL!$C$32, $C$9, 100%, $E$9)</f>
        <v>7.7160000000000002</v>
      </c>
      <c r="N522" s="9">
        <f>7.7118 * CHOOSE(CONTROL!$C$32, $C$9, 100%, $E$9)</f>
        <v>7.7118000000000002</v>
      </c>
      <c r="O522" s="9">
        <f>7.716 * CHOOSE(CONTROL!$C$32, $C$9, 100%, $E$9)</f>
        <v>7.7160000000000002</v>
      </c>
    </row>
    <row r="523" spans="1:15" ht="15.75" x14ac:dyDescent="0.25">
      <c r="A523" s="13">
        <v>56795</v>
      </c>
      <c r="B523" s="10">
        <f>8.6837 * CHOOSE(CONTROL!$C$32, $C$9, 100%, $E$9)</f>
        <v>8.6837</v>
      </c>
      <c r="C523" s="10">
        <f>8.6837 * CHOOSE(CONTROL!$C$32, $C$9, 100%, $E$9)</f>
        <v>8.6837</v>
      </c>
      <c r="D523" s="10">
        <f>8.6849 * CHOOSE(CONTROL!$C$32, $C$9, 100%, $E$9)</f>
        <v>8.6849000000000007</v>
      </c>
      <c r="E523" s="9">
        <f>7.6626 * CHOOSE(CONTROL!$C$32, $C$9, 100%, $E$9)</f>
        <v>7.6626000000000003</v>
      </c>
      <c r="F523" s="9">
        <f>7.6626 * CHOOSE(CONTROL!$C$32, $C$9, 100%, $E$9)</f>
        <v>7.6626000000000003</v>
      </c>
      <c r="G523" s="9">
        <f>7.6668 * CHOOSE(CONTROL!$C$32, $C$9, 100%, $E$9)</f>
        <v>7.6668000000000003</v>
      </c>
      <c r="H523" s="9">
        <f>10.4489 * CHOOSE(CONTROL!$C$32, $C$9, 100%, $E$9)</f>
        <v>10.4489</v>
      </c>
      <c r="I523" s="9">
        <f>10.4531 * CHOOSE(CONTROL!$C$32, $C$9, 100%, $E$9)</f>
        <v>10.453099999999999</v>
      </c>
      <c r="J523" s="9">
        <f>10.4489 * CHOOSE(CONTROL!$C$32, $C$9, 100%, $E$9)</f>
        <v>10.4489</v>
      </c>
      <c r="K523" s="9">
        <f>10.4531 * CHOOSE(CONTROL!$C$32, $C$9, 100%, $E$9)</f>
        <v>10.453099999999999</v>
      </c>
      <c r="L523" s="9">
        <f>7.6626 * CHOOSE(CONTROL!$C$32, $C$9, 100%, $E$9)</f>
        <v>7.6626000000000003</v>
      </c>
      <c r="M523" s="9">
        <f>7.6668 * CHOOSE(CONTROL!$C$32, $C$9, 100%, $E$9)</f>
        <v>7.6668000000000003</v>
      </c>
      <c r="N523" s="9">
        <f>7.6626 * CHOOSE(CONTROL!$C$32, $C$9, 100%, $E$9)</f>
        <v>7.6626000000000003</v>
      </c>
      <c r="O523" s="9">
        <f>7.6668 * CHOOSE(CONTROL!$C$32, $C$9, 100%, $E$9)</f>
        <v>7.6668000000000003</v>
      </c>
    </row>
    <row r="524" spans="1:15" ht="15.75" x14ac:dyDescent="0.25">
      <c r="A524" s="13">
        <v>56826</v>
      </c>
      <c r="B524" s="10">
        <f>8.8071 * CHOOSE(CONTROL!$C$32, $C$9, 100%, $E$9)</f>
        <v>8.8071000000000002</v>
      </c>
      <c r="C524" s="10">
        <f>8.8071 * CHOOSE(CONTROL!$C$32, $C$9, 100%, $E$9)</f>
        <v>8.8071000000000002</v>
      </c>
      <c r="D524" s="10">
        <f>8.8083 * CHOOSE(CONTROL!$C$32, $C$9, 100%, $E$9)</f>
        <v>8.8082999999999991</v>
      </c>
      <c r="E524" s="9">
        <f>7.7519 * CHOOSE(CONTROL!$C$32, $C$9, 100%, $E$9)</f>
        <v>7.7519</v>
      </c>
      <c r="F524" s="9">
        <f>7.7519 * CHOOSE(CONTROL!$C$32, $C$9, 100%, $E$9)</f>
        <v>7.7519</v>
      </c>
      <c r="G524" s="9">
        <f>7.7561 * CHOOSE(CONTROL!$C$32, $C$9, 100%, $E$9)</f>
        <v>7.7561</v>
      </c>
      <c r="H524" s="9">
        <f>10.6057 * CHOOSE(CONTROL!$C$32, $C$9, 100%, $E$9)</f>
        <v>10.605700000000001</v>
      </c>
      <c r="I524" s="9">
        <f>10.6099 * CHOOSE(CONTROL!$C$32, $C$9, 100%, $E$9)</f>
        <v>10.6099</v>
      </c>
      <c r="J524" s="9">
        <f>10.6057 * CHOOSE(CONTROL!$C$32, $C$9, 100%, $E$9)</f>
        <v>10.605700000000001</v>
      </c>
      <c r="K524" s="9">
        <f>10.6099 * CHOOSE(CONTROL!$C$32, $C$9, 100%, $E$9)</f>
        <v>10.6099</v>
      </c>
      <c r="L524" s="9">
        <f>7.7519 * CHOOSE(CONTROL!$C$32, $C$9, 100%, $E$9)</f>
        <v>7.7519</v>
      </c>
      <c r="M524" s="9">
        <f>7.7561 * CHOOSE(CONTROL!$C$32, $C$9, 100%, $E$9)</f>
        <v>7.7561</v>
      </c>
      <c r="N524" s="9">
        <f>7.7519 * CHOOSE(CONTROL!$C$32, $C$9, 100%, $E$9)</f>
        <v>7.7519</v>
      </c>
      <c r="O524" s="9">
        <f>7.7561 * CHOOSE(CONTROL!$C$32, $C$9, 100%, $E$9)</f>
        <v>7.7561</v>
      </c>
    </row>
    <row r="525" spans="1:15" ht="15.75" x14ac:dyDescent="0.25">
      <c r="A525" s="13">
        <v>56857</v>
      </c>
      <c r="B525" s="10">
        <f>8.8138 * CHOOSE(CONTROL!$C$32, $C$9, 100%, $E$9)</f>
        <v>8.8138000000000005</v>
      </c>
      <c r="C525" s="10">
        <f>8.8138 * CHOOSE(CONTROL!$C$32, $C$9, 100%, $E$9)</f>
        <v>8.8138000000000005</v>
      </c>
      <c r="D525" s="10">
        <f>8.815 * CHOOSE(CONTROL!$C$32, $C$9, 100%, $E$9)</f>
        <v>8.8149999999999995</v>
      </c>
      <c r="E525" s="9">
        <f>7.5962 * CHOOSE(CONTROL!$C$32, $C$9, 100%, $E$9)</f>
        <v>7.5961999999999996</v>
      </c>
      <c r="F525" s="9">
        <f>7.5962 * CHOOSE(CONTROL!$C$32, $C$9, 100%, $E$9)</f>
        <v>7.5961999999999996</v>
      </c>
      <c r="G525" s="9">
        <f>7.6004 * CHOOSE(CONTROL!$C$32, $C$9, 100%, $E$9)</f>
        <v>7.6003999999999996</v>
      </c>
      <c r="H525" s="9">
        <f>10.6101 * CHOOSE(CONTROL!$C$32, $C$9, 100%, $E$9)</f>
        <v>10.610099999999999</v>
      </c>
      <c r="I525" s="9">
        <f>10.6143 * CHOOSE(CONTROL!$C$32, $C$9, 100%, $E$9)</f>
        <v>10.6143</v>
      </c>
      <c r="J525" s="9">
        <f>10.6101 * CHOOSE(CONTROL!$C$32, $C$9, 100%, $E$9)</f>
        <v>10.610099999999999</v>
      </c>
      <c r="K525" s="9">
        <f>10.6143 * CHOOSE(CONTROL!$C$32, $C$9, 100%, $E$9)</f>
        <v>10.6143</v>
      </c>
      <c r="L525" s="9">
        <f>7.5962 * CHOOSE(CONTROL!$C$32, $C$9, 100%, $E$9)</f>
        <v>7.5961999999999996</v>
      </c>
      <c r="M525" s="9">
        <f>7.6004 * CHOOSE(CONTROL!$C$32, $C$9, 100%, $E$9)</f>
        <v>7.6003999999999996</v>
      </c>
      <c r="N525" s="9">
        <f>7.5962 * CHOOSE(CONTROL!$C$32, $C$9, 100%, $E$9)</f>
        <v>7.5961999999999996</v>
      </c>
      <c r="O525" s="9">
        <f>7.6004 * CHOOSE(CONTROL!$C$32, $C$9, 100%, $E$9)</f>
        <v>7.6003999999999996</v>
      </c>
    </row>
    <row r="526" spans="1:15" ht="15.75" x14ac:dyDescent="0.25">
      <c r="A526" s="13">
        <v>56887</v>
      </c>
      <c r="B526" s="10">
        <f>8.8107 * CHOOSE(CONTROL!$C$32, $C$9, 100%, $E$9)</f>
        <v>8.8107000000000006</v>
      </c>
      <c r="C526" s="10">
        <f>8.8107 * CHOOSE(CONTROL!$C$32, $C$9, 100%, $E$9)</f>
        <v>8.8107000000000006</v>
      </c>
      <c r="D526" s="10">
        <f>8.812 * CHOOSE(CONTROL!$C$32, $C$9, 100%, $E$9)</f>
        <v>8.8119999999999994</v>
      </c>
      <c r="E526" s="9">
        <f>7.5763 * CHOOSE(CONTROL!$C$32, $C$9, 100%, $E$9)</f>
        <v>7.5762999999999998</v>
      </c>
      <c r="F526" s="9">
        <f>7.5763 * CHOOSE(CONTROL!$C$32, $C$9, 100%, $E$9)</f>
        <v>7.5762999999999998</v>
      </c>
      <c r="G526" s="9">
        <f>7.5805 * CHOOSE(CONTROL!$C$32, $C$9, 100%, $E$9)</f>
        <v>7.5804999999999998</v>
      </c>
      <c r="H526" s="9">
        <f>10.6081 * CHOOSE(CONTROL!$C$32, $C$9, 100%, $E$9)</f>
        <v>10.6081</v>
      </c>
      <c r="I526" s="9">
        <f>10.6123 * CHOOSE(CONTROL!$C$32, $C$9, 100%, $E$9)</f>
        <v>10.612299999999999</v>
      </c>
      <c r="J526" s="9">
        <f>10.6081 * CHOOSE(CONTROL!$C$32, $C$9, 100%, $E$9)</f>
        <v>10.6081</v>
      </c>
      <c r="K526" s="9">
        <f>10.6123 * CHOOSE(CONTROL!$C$32, $C$9, 100%, $E$9)</f>
        <v>10.612299999999999</v>
      </c>
      <c r="L526" s="9">
        <f>7.5763 * CHOOSE(CONTROL!$C$32, $C$9, 100%, $E$9)</f>
        <v>7.5762999999999998</v>
      </c>
      <c r="M526" s="9">
        <f>7.5805 * CHOOSE(CONTROL!$C$32, $C$9, 100%, $E$9)</f>
        <v>7.5804999999999998</v>
      </c>
      <c r="N526" s="9">
        <f>7.5763 * CHOOSE(CONTROL!$C$32, $C$9, 100%, $E$9)</f>
        <v>7.5762999999999998</v>
      </c>
      <c r="O526" s="9">
        <f>7.5805 * CHOOSE(CONTROL!$C$32, $C$9, 100%, $E$9)</f>
        <v>7.5804999999999998</v>
      </c>
    </row>
    <row r="527" spans="1:15" ht="15.75" x14ac:dyDescent="0.25">
      <c r="A527" s="13">
        <v>56918</v>
      </c>
      <c r="B527" s="10">
        <f>8.8249 * CHOOSE(CONTROL!$C$32, $C$9, 100%, $E$9)</f>
        <v>8.8248999999999995</v>
      </c>
      <c r="C527" s="10">
        <f>8.8249 * CHOOSE(CONTROL!$C$32, $C$9, 100%, $E$9)</f>
        <v>8.8248999999999995</v>
      </c>
      <c r="D527" s="10">
        <f>8.8258 * CHOOSE(CONTROL!$C$32, $C$9, 100%, $E$9)</f>
        <v>8.8257999999999992</v>
      </c>
      <c r="E527" s="9">
        <f>7.6341 * CHOOSE(CONTROL!$C$32, $C$9, 100%, $E$9)</f>
        <v>7.6341000000000001</v>
      </c>
      <c r="F527" s="9">
        <f>7.6341 * CHOOSE(CONTROL!$C$32, $C$9, 100%, $E$9)</f>
        <v>7.6341000000000001</v>
      </c>
      <c r="G527" s="9">
        <f>7.6373 * CHOOSE(CONTROL!$C$32, $C$9, 100%, $E$9)</f>
        <v>7.6372999999999998</v>
      </c>
      <c r="H527" s="9">
        <f>10.6161 * CHOOSE(CONTROL!$C$32, $C$9, 100%, $E$9)</f>
        <v>10.616099999999999</v>
      </c>
      <c r="I527" s="9">
        <f>10.6194 * CHOOSE(CONTROL!$C$32, $C$9, 100%, $E$9)</f>
        <v>10.619400000000001</v>
      </c>
      <c r="J527" s="9">
        <f>10.6161 * CHOOSE(CONTROL!$C$32, $C$9, 100%, $E$9)</f>
        <v>10.616099999999999</v>
      </c>
      <c r="K527" s="9">
        <f>10.6194 * CHOOSE(CONTROL!$C$32, $C$9, 100%, $E$9)</f>
        <v>10.619400000000001</v>
      </c>
      <c r="L527" s="9">
        <f>7.6341 * CHOOSE(CONTROL!$C$32, $C$9, 100%, $E$9)</f>
        <v>7.6341000000000001</v>
      </c>
      <c r="M527" s="9">
        <f>7.6373 * CHOOSE(CONTROL!$C$32, $C$9, 100%, $E$9)</f>
        <v>7.6372999999999998</v>
      </c>
      <c r="N527" s="9">
        <f>7.6341 * CHOOSE(CONTROL!$C$32, $C$9, 100%, $E$9)</f>
        <v>7.6341000000000001</v>
      </c>
      <c r="O527" s="9">
        <f>7.6373 * CHOOSE(CONTROL!$C$32, $C$9, 100%, $E$9)</f>
        <v>7.6372999999999998</v>
      </c>
    </row>
    <row r="528" spans="1:15" ht="15.75" x14ac:dyDescent="0.25">
      <c r="A528" s="13">
        <v>56948</v>
      </c>
      <c r="B528" s="10">
        <f>8.8279 * CHOOSE(CONTROL!$C$32, $C$9, 100%, $E$9)</f>
        <v>8.8278999999999996</v>
      </c>
      <c r="C528" s="10">
        <f>8.8279 * CHOOSE(CONTROL!$C$32, $C$9, 100%, $E$9)</f>
        <v>8.8278999999999996</v>
      </c>
      <c r="D528" s="10">
        <f>8.8289 * CHOOSE(CONTROL!$C$32, $C$9, 100%, $E$9)</f>
        <v>8.8289000000000009</v>
      </c>
      <c r="E528" s="9">
        <f>7.6719 * CHOOSE(CONTROL!$C$32, $C$9, 100%, $E$9)</f>
        <v>7.6718999999999999</v>
      </c>
      <c r="F528" s="9">
        <f>7.6719 * CHOOSE(CONTROL!$C$32, $C$9, 100%, $E$9)</f>
        <v>7.6718999999999999</v>
      </c>
      <c r="G528" s="9">
        <f>7.6751 * CHOOSE(CONTROL!$C$32, $C$9, 100%, $E$9)</f>
        <v>7.6750999999999996</v>
      </c>
      <c r="H528" s="9">
        <f>10.6181 * CHOOSE(CONTROL!$C$32, $C$9, 100%, $E$9)</f>
        <v>10.6181</v>
      </c>
      <c r="I528" s="9">
        <f>10.6214 * CHOOSE(CONTROL!$C$32, $C$9, 100%, $E$9)</f>
        <v>10.6214</v>
      </c>
      <c r="J528" s="9">
        <f>10.6181 * CHOOSE(CONTROL!$C$32, $C$9, 100%, $E$9)</f>
        <v>10.6181</v>
      </c>
      <c r="K528" s="9">
        <f>10.6214 * CHOOSE(CONTROL!$C$32, $C$9, 100%, $E$9)</f>
        <v>10.6214</v>
      </c>
      <c r="L528" s="9">
        <f>7.6719 * CHOOSE(CONTROL!$C$32, $C$9, 100%, $E$9)</f>
        <v>7.6718999999999999</v>
      </c>
      <c r="M528" s="9">
        <f>7.6751 * CHOOSE(CONTROL!$C$32, $C$9, 100%, $E$9)</f>
        <v>7.6750999999999996</v>
      </c>
      <c r="N528" s="9">
        <f>7.6719 * CHOOSE(CONTROL!$C$32, $C$9, 100%, $E$9)</f>
        <v>7.6718999999999999</v>
      </c>
      <c r="O528" s="9">
        <f>7.6751 * CHOOSE(CONTROL!$C$32, $C$9, 100%, $E$9)</f>
        <v>7.6750999999999996</v>
      </c>
    </row>
    <row r="529" spans="1:15" ht="15.75" x14ac:dyDescent="0.25">
      <c r="A529" s="13">
        <v>56979</v>
      </c>
      <c r="B529" s="10">
        <f>8.8279 * CHOOSE(CONTROL!$C$32, $C$9, 100%, $E$9)</f>
        <v>8.8278999999999996</v>
      </c>
      <c r="C529" s="10">
        <f>8.8279 * CHOOSE(CONTROL!$C$32, $C$9, 100%, $E$9)</f>
        <v>8.8278999999999996</v>
      </c>
      <c r="D529" s="10">
        <f>8.8289 * CHOOSE(CONTROL!$C$32, $C$9, 100%, $E$9)</f>
        <v>8.8289000000000009</v>
      </c>
      <c r="E529" s="9">
        <f>7.5828 * CHOOSE(CONTROL!$C$32, $C$9, 100%, $E$9)</f>
        <v>7.5827999999999998</v>
      </c>
      <c r="F529" s="9">
        <f>7.5828 * CHOOSE(CONTROL!$C$32, $C$9, 100%, $E$9)</f>
        <v>7.5827999999999998</v>
      </c>
      <c r="G529" s="9">
        <f>7.586 * CHOOSE(CONTROL!$C$32, $C$9, 100%, $E$9)</f>
        <v>7.5860000000000003</v>
      </c>
      <c r="H529" s="9">
        <f>10.6181 * CHOOSE(CONTROL!$C$32, $C$9, 100%, $E$9)</f>
        <v>10.6181</v>
      </c>
      <c r="I529" s="9">
        <f>10.6214 * CHOOSE(CONTROL!$C$32, $C$9, 100%, $E$9)</f>
        <v>10.6214</v>
      </c>
      <c r="J529" s="9">
        <f>10.6181 * CHOOSE(CONTROL!$C$32, $C$9, 100%, $E$9)</f>
        <v>10.6181</v>
      </c>
      <c r="K529" s="9">
        <f>10.6214 * CHOOSE(CONTROL!$C$32, $C$9, 100%, $E$9)</f>
        <v>10.6214</v>
      </c>
      <c r="L529" s="9">
        <f>7.5828 * CHOOSE(CONTROL!$C$32, $C$9, 100%, $E$9)</f>
        <v>7.5827999999999998</v>
      </c>
      <c r="M529" s="9">
        <f>7.586 * CHOOSE(CONTROL!$C$32, $C$9, 100%, $E$9)</f>
        <v>7.5860000000000003</v>
      </c>
      <c r="N529" s="9">
        <f>7.5828 * CHOOSE(CONTROL!$C$32, $C$9, 100%, $E$9)</f>
        <v>7.5827999999999998</v>
      </c>
      <c r="O529" s="9">
        <f>7.586 * CHOOSE(CONTROL!$C$32, $C$9, 100%, $E$9)</f>
        <v>7.5860000000000003</v>
      </c>
    </row>
    <row r="530" spans="1:15" ht="15.75" x14ac:dyDescent="0.25">
      <c r="A530" s="13">
        <v>57010</v>
      </c>
      <c r="B530" s="10">
        <f>8.9008 * CHOOSE(CONTROL!$C$32, $C$9, 100%, $E$9)</f>
        <v>8.9008000000000003</v>
      </c>
      <c r="C530" s="10">
        <f>8.9008 * CHOOSE(CONTROL!$C$32, $C$9, 100%, $E$9)</f>
        <v>8.9008000000000003</v>
      </c>
      <c r="D530" s="10">
        <f>8.9017 * CHOOSE(CONTROL!$C$32, $C$9, 100%, $E$9)</f>
        <v>8.9016999999999999</v>
      </c>
      <c r="E530" s="9">
        <f>7.7003 * CHOOSE(CONTROL!$C$32, $C$9, 100%, $E$9)</f>
        <v>7.7003000000000004</v>
      </c>
      <c r="F530" s="9">
        <f>7.7003 * CHOOSE(CONTROL!$C$32, $C$9, 100%, $E$9)</f>
        <v>7.7003000000000004</v>
      </c>
      <c r="G530" s="9">
        <f>7.7036 * CHOOSE(CONTROL!$C$32, $C$9, 100%, $E$9)</f>
        <v>7.7035999999999998</v>
      </c>
      <c r="H530" s="9">
        <f>10.6968 * CHOOSE(CONTROL!$C$32, $C$9, 100%, $E$9)</f>
        <v>10.6968</v>
      </c>
      <c r="I530" s="9">
        <f>10.7001 * CHOOSE(CONTROL!$C$32, $C$9, 100%, $E$9)</f>
        <v>10.700100000000001</v>
      </c>
      <c r="J530" s="9">
        <f>10.6968 * CHOOSE(CONTROL!$C$32, $C$9, 100%, $E$9)</f>
        <v>10.6968</v>
      </c>
      <c r="K530" s="9">
        <f>10.7001 * CHOOSE(CONTROL!$C$32, $C$9, 100%, $E$9)</f>
        <v>10.700100000000001</v>
      </c>
      <c r="L530" s="9">
        <f>7.7003 * CHOOSE(CONTROL!$C$32, $C$9, 100%, $E$9)</f>
        <v>7.7003000000000004</v>
      </c>
      <c r="M530" s="9">
        <f>7.7036 * CHOOSE(CONTROL!$C$32, $C$9, 100%, $E$9)</f>
        <v>7.7035999999999998</v>
      </c>
      <c r="N530" s="9">
        <f>7.7003 * CHOOSE(CONTROL!$C$32, $C$9, 100%, $E$9)</f>
        <v>7.7003000000000004</v>
      </c>
      <c r="O530" s="9">
        <f>7.7036 * CHOOSE(CONTROL!$C$32, $C$9, 100%, $E$9)</f>
        <v>7.7035999999999998</v>
      </c>
    </row>
    <row r="531" spans="1:15" ht="15.75" x14ac:dyDescent="0.25">
      <c r="A531" s="13">
        <v>57038</v>
      </c>
      <c r="B531" s="10">
        <f>8.8978 * CHOOSE(CONTROL!$C$32, $C$9, 100%, $E$9)</f>
        <v>8.8978000000000002</v>
      </c>
      <c r="C531" s="10">
        <f>8.8978 * CHOOSE(CONTROL!$C$32, $C$9, 100%, $E$9)</f>
        <v>8.8978000000000002</v>
      </c>
      <c r="D531" s="10">
        <f>8.8987 * CHOOSE(CONTROL!$C$32, $C$9, 100%, $E$9)</f>
        <v>8.8986999999999998</v>
      </c>
      <c r="E531" s="9">
        <f>7.5248 * CHOOSE(CONTROL!$C$32, $C$9, 100%, $E$9)</f>
        <v>7.5247999999999999</v>
      </c>
      <c r="F531" s="9">
        <f>7.5248 * CHOOSE(CONTROL!$C$32, $C$9, 100%, $E$9)</f>
        <v>7.5247999999999999</v>
      </c>
      <c r="G531" s="9">
        <f>7.5281 * CHOOSE(CONTROL!$C$32, $C$9, 100%, $E$9)</f>
        <v>7.5281000000000002</v>
      </c>
      <c r="H531" s="9">
        <f>10.6948 * CHOOSE(CONTROL!$C$32, $C$9, 100%, $E$9)</f>
        <v>10.694800000000001</v>
      </c>
      <c r="I531" s="9">
        <f>10.6981 * CHOOSE(CONTROL!$C$32, $C$9, 100%, $E$9)</f>
        <v>10.6981</v>
      </c>
      <c r="J531" s="9">
        <f>10.6948 * CHOOSE(CONTROL!$C$32, $C$9, 100%, $E$9)</f>
        <v>10.694800000000001</v>
      </c>
      <c r="K531" s="9">
        <f>10.6981 * CHOOSE(CONTROL!$C$32, $C$9, 100%, $E$9)</f>
        <v>10.6981</v>
      </c>
      <c r="L531" s="9">
        <f>7.5248 * CHOOSE(CONTROL!$C$32, $C$9, 100%, $E$9)</f>
        <v>7.5247999999999999</v>
      </c>
      <c r="M531" s="9">
        <f>7.5281 * CHOOSE(CONTROL!$C$32, $C$9, 100%, $E$9)</f>
        <v>7.5281000000000002</v>
      </c>
      <c r="N531" s="9">
        <f>7.5248 * CHOOSE(CONTROL!$C$32, $C$9, 100%, $E$9)</f>
        <v>7.5247999999999999</v>
      </c>
      <c r="O531" s="9">
        <f>7.5281 * CHOOSE(CONTROL!$C$32, $C$9, 100%, $E$9)</f>
        <v>7.5281000000000002</v>
      </c>
    </row>
    <row r="532" spans="1:15" ht="15.75" x14ac:dyDescent="0.25">
      <c r="A532" s="13">
        <v>57070</v>
      </c>
      <c r="B532" s="10">
        <f>8.8947 * CHOOSE(CONTROL!$C$32, $C$9, 100%, $E$9)</f>
        <v>8.8947000000000003</v>
      </c>
      <c r="C532" s="10">
        <f>8.8947 * CHOOSE(CONTROL!$C$32, $C$9, 100%, $E$9)</f>
        <v>8.8947000000000003</v>
      </c>
      <c r="D532" s="10">
        <f>8.8957 * CHOOSE(CONTROL!$C$32, $C$9, 100%, $E$9)</f>
        <v>8.8956999999999997</v>
      </c>
      <c r="E532" s="9">
        <f>7.6594 * CHOOSE(CONTROL!$C$32, $C$9, 100%, $E$9)</f>
        <v>7.6593999999999998</v>
      </c>
      <c r="F532" s="9">
        <f>7.6594 * CHOOSE(CONTROL!$C$32, $C$9, 100%, $E$9)</f>
        <v>7.6593999999999998</v>
      </c>
      <c r="G532" s="9">
        <f>7.6626 * CHOOSE(CONTROL!$C$32, $C$9, 100%, $E$9)</f>
        <v>7.6626000000000003</v>
      </c>
      <c r="H532" s="9">
        <f>10.6928 * CHOOSE(CONTROL!$C$32, $C$9, 100%, $E$9)</f>
        <v>10.6928</v>
      </c>
      <c r="I532" s="9">
        <f>10.6961 * CHOOSE(CONTROL!$C$32, $C$9, 100%, $E$9)</f>
        <v>10.696099999999999</v>
      </c>
      <c r="J532" s="9">
        <f>10.6928 * CHOOSE(CONTROL!$C$32, $C$9, 100%, $E$9)</f>
        <v>10.6928</v>
      </c>
      <c r="K532" s="9">
        <f>10.6961 * CHOOSE(CONTROL!$C$32, $C$9, 100%, $E$9)</f>
        <v>10.696099999999999</v>
      </c>
      <c r="L532" s="9">
        <f>7.6594 * CHOOSE(CONTROL!$C$32, $C$9, 100%, $E$9)</f>
        <v>7.6593999999999998</v>
      </c>
      <c r="M532" s="9">
        <f>7.6626 * CHOOSE(CONTROL!$C$32, $C$9, 100%, $E$9)</f>
        <v>7.6626000000000003</v>
      </c>
      <c r="N532" s="9">
        <f>7.6594 * CHOOSE(CONTROL!$C$32, $C$9, 100%, $E$9)</f>
        <v>7.6593999999999998</v>
      </c>
      <c r="O532" s="9">
        <f>7.6626 * CHOOSE(CONTROL!$C$32, $C$9, 100%, $E$9)</f>
        <v>7.6626000000000003</v>
      </c>
    </row>
    <row r="533" spans="1:15" ht="15.75" x14ac:dyDescent="0.25">
      <c r="A533" s="13">
        <v>57100</v>
      </c>
      <c r="B533" s="10">
        <f>8.8974 * CHOOSE(CONTROL!$C$32, $C$9, 100%, $E$9)</f>
        <v>8.8973999999999993</v>
      </c>
      <c r="C533" s="10">
        <f>8.8974 * CHOOSE(CONTROL!$C$32, $C$9, 100%, $E$9)</f>
        <v>8.8973999999999993</v>
      </c>
      <c r="D533" s="10">
        <f>8.8984 * CHOOSE(CONTROL!$C$32, $C$9, 100%, $E$9)</f>
        <v>8.8984000000000005</v>
      </c>
      <c r="E533" s="9">
        <f>7.8019 * CHOOSE(CONTROL!$C$32, $C$9, 100%, $E$9)</f>
        <v>7.8018999999999998</v>
      </c>
      <c r="F533" s="9">
        <f>7.8019 * CHOOSE(CONTROL!$C$32, $C$9, 100%, $E$9)</f>
        <v>7.8018999999999998</v>
      </c>
      <c r="G533" s="9">
        <f>7.8052 * CHOOSE(CONTROL!$C$32, $C$9, 100%, $E$9)</f>
        <v>7.8052000000000001</v>
      </c>
      <c r="H533" s="9">
        <f>10.6943 * CHOOSE(CONTROL!$C$32, $C$9, 100%, $E$9)</f>
        <v>10.6943</v>
      </c>
      <c r="I533" s="9">
        <f>10.6975 * CHOOSE(CONTROL!$C$32, $C$9, 100%, $E$9)</f>
        <v>10.6975</v>
      </c>
      <c r="J533" s="9">
        <f>10.6943 * CHOOSE(CONTROL!$C$32, $C$9, 100%, $E$9)</f>
        <v>10.6943</v>
      </c>
      <c r="K533" s="9">
        <f>10.6975 * CHOOSE(CONTROL!$C$32, $C$9, 100%, $E$9)</f>
        <v>10.6975</v>
      </c>
      <c r="L533" s="9">
        <f>7.8019 * CHOOSE(CONTROL!$C$32, $C$9, 100%, $E$9)</f>
        <v>7.8018999999999998</v>
      </c>
      <c r="M533" s="9">
        <f>7.8052 * CHOOSE(CONTROL!$C$32, $C$9, 100%, $E$9)</f>
        <v>7.8052000000000001</v>
      </c>
      <c r="N533" s="9">
        <f>7.8019 * CHOOSE(CONTROL!$C$32, $C$9, 100%, $E$9)</f>
        <v>7.8018999999999998</v>
      </c>
      <c r="O533" s="9">
        <f>7.8052 * CHOOSE(CONTROL!$C$32, $C$9, 100%, $E$9)</f>
        <v>7.8052000000000001</v>
      </c>
    </row>
    <row r="534" spans="1:15" ht="15.75" x14ac:dyDescent="0.25">
      <c r="A534" s="13">
        <v>57131</v>
      </c>
      <c r="B534" s="10">
        <f>8.8974 * CHOOSE(CONTROL!$C$32, $C$9, 100%, $E$9)</f>
        <v>8.8973999999999993</v>
      </c>
      <c r="C534" s="10">
        <f>8.8974 * CHOOSE(CONTROL!$C$32, $C$9, 100%, $E$9)</f>
        <v>8.8973999999999993</v>
      </c>
      <c r="D534" s="10">
        <f>8.8987 * CHOOSE(CONTROL!$C$32, $C$9, 100%, $E$9)</f>
        <v>8.8986999999999998</v>
      </c>
      <c r="E534" s="9">
        <f>7.857 * CHOOSE(CONTROL!$C$32, $C$9, 100%, $E$9)</f>
        <v>7.8570000000000002</v>
      </c>
      <c r="F534" s="9">
        <f>7.857 * CHOOSE(CONTROL!$C$32, $C$9, 100%, $E$9)</f>
        <v>7.8570000000000002</v>
      </c>
      <c r="G534" s="9">
        <f>7.8612 * CHOOSE(CONTROL!$C$32, $C$9, 100%, $E$9)</f>
        <v>7.8612000000000002</v>
      </c>
      <c r="H534" s="9">
        <f>10.6943 * CHOOSE(CONTROL!$C$32, $C$9, 100%, $E$9)</f>
        <v>10.6943</v>
      </c>
      <c r="I534" s="9">
        <f>10.6985 * CHOOSE(CONTROL!$C$32, $C$9, 100%, $E$9)</f>
        <v>10.698499999999999</v>
      </c>
      <c r="J534" s="9">
        <f>10.6943 * CHOOSE(CONTROL!$C$32, $C$9, 100%, $E$9)</f>
        <v>10.6943</v>
      </c>
      <c r="K534" s="9">
        <f>10.6985 * CHOOSE(CONTROL!$C$32, $C$9, 100%, $E$9)</f>
        <v>10.698499999999999</v>
      </c>
      <c r="L534" s="9">
        <f>7.857 * CHOOSE(CONTROL!$C$32, $C$9, 100%, $E$9)</f>
        <v>7.8570000000000002</v>
      </c>
      <c r="M534" s="9">
        <f>7.8612 * CHOOSE(CONTROL!$C$32, $C$9, 100%, $E$9)</f>
        <v>7.8612000000000002</v>
      </c>
      <c r="N534" s="9">
        <f>7.857 * CHOOSE(CONTROL!$C$32, $C$9, 100%, $E$9)</f>
        <v>7.8570000000000002</v>
      </c>
      <c r="O534" s="9">
        <f>7.8612 * CHOOSE(CONTROL!$C$32, $C$9, 100%, $E$9)</f>
        <v>7.8612000000000002</v>
      </c>
    </row>
    <row r="535" spans="1:15" ht="15.75" x14ac:dyDescent="0.25">
      <c r="A535" s="13">
        <v>57161</v>
      </c>
      <c r="B535" s="10">
        <f>8.9035 * CHOOSE(CONTROL!$C$32, $C$9, 100%, $E$9)</f>
        <v>8.9034999999999993</v>
      </c>
      <c r="C535" s="10">
        <f>8.9035 * CHOOSE(CONTROL!$C$32, $C$9, 100%, $E$9)</f>
        <v>8.9034999999999993</v>
      </c>
      <c r="D535" s="10">
        <f>8.9047 * CHOOSE(CONTROL!$C$32, $C$9, 100%, $E$9)</f>
        <v>8.9047000000000001</v>
      </c>
      <c r="E535" s="9">
        <f>7.8062 * CHOOSE(CONTROL!$C$32, $C$9, 100%, $E$9)</f>
        <v>7.8061999999999996</v>
      </c>
      <c r="F535" s="9">
        <f>7.8062 * CHOOSE(CONTROL!$C$32, $C$9, 100%, $E$9)</f>
        <v>7.8061999999999996</v>
      </c>
      <c r="G535" s="9">
        <f>7.8104 * CHOOSE(CONTROL!$C$32, $C$9, 100%, $E$9)</f>
        <v>7.8103999999999996</v>
      </c>
      <c r="H535" s="9">
        <f>10.6983 * CHOOSE(CONTROL!$C$32, $C$9, 100%, $E$9)</f>
        <v>10.6983</v>
      </c>
      <c r="I535" s="9">
        <f>10.7025 * CHOOSE(CONTROL!$C$32, $C$9, 100%, $E$9)</f>
        <v>10.702500000000001</v>
      </c>
      <c r="J535" s="9">
        <f>10.6983 * CHOOSE(CONTROL!$C$32, $C$9, 100%, $E$9)</f>
        <v>10.6983</v>
      </c>
      <c r="K535" s="9">
        <f>10.7025 * CHOOSE(CONTROL!$C$32, $C$9, 100%, $E$9)</f>
        <v>10.702500000000001</v>
      </c>
      <c r="L535" s="9">
        <f>7.8062 * CHOOSE(CONTROL!$C$32, $C$9, 100%, $E$9)</f>
        <v>7.8061999999999996</v>
      </c>
      <c r="M535" s="9">
        <f>7.8104 * CHOOSE(CONTROL!$C$32, $C$9, 100%, $E$9)</f>
        <v>7.8103999999999996</v>
      </c>
      <c r="N535" s="9">
        <f>7.8062 * CHOOSE(CONTROL!$C$32, $C$9, 100%, $E$9)</f>
        <v>7.8061999999999996</v>
      </c>
      <c r="O535" s="9">
        <f>7.8104 * CHOOSE(CONTROL!$C$32, $C$9, 100%, $E$9)</f>
        <v>7.8103999999999996</v>
      </c>
    </row>
    <row r="536" spans="1:15" ht="15.75" x14ac:dyDescent="0.25">
      <c r="A536" s="13">
        <v>57192</v>
      </c>
      <c r="B536" s="10">
        <f>9.0297 * CHOOSE(CONTROL!$C$32, $C$9, 100%, $E$9)</f>
        <v>9.0297000000000001</v>
      </c>
      <c r="C536" s="10">
        <f>9.0297 * CHOOSE(CONTROL!$C$32, $C$9, 100%, $E$9)</f>
        <v>9.0297000000000001</v>
      </c>
      <c r="D536" s="10">
        <f>9.0309 * CHOOSE(CONTROL!$C$32, $C$9, 100%, $E$9)</f>
        <v>9.0309000000000008</v>
      </c>
      <c r="E536" s="9">
        <f>7.897 * CHOOSE(CONTROL!$C$32, $C$9, 100%, $E$9)</f>
        <v>7.8970000000000002</v>
      </c>
      <c r="F536" s="9">
        <f>7.897 * CHOOSE(CONTROL!$C$32, $C$9, 100%, $E$9)</f>
        <v>7.8970000000000002</v>
      </c>
      <c r="G536" s="9">
        <f>7.9012 * CHOOSE(CONTROL!$C$32, $C$9, 100%, $E$9)</f>
        <v>7.9012000000000002</v>
      </c>
      <c r="H536" s="9">
        <f>10.8585 * CHOOSE(CONTROL!$C$32, $C$9, 100%, $E$9)</f>
        <v>10.858499999999999</v>
      </c>
      <c r="I536" s="9">
        <f>10.8627 * CHOOSE(CONTROL!$C$32, $C$9, 100%, $E$9)</f>
        <v>10.8627</v>
      </c>
      <c r="J536" s="9">
        <f>10.8585 * CHOOSE(CONTROL!$C$32, $C$9, 100%, $E$9)</f>
        <v>10.858499999999999</v>
      </c>
      <c r="K536" s="9">
        <f>10.8627 * CHOOSE(CONTROL!$C$32, $C$9, 100%, $E$9)</f>
        <v>10.8627</v>
      </c>
      <c r="L536" s="9">
        <f>7.897 * CHOOSE(CONTROL!$C$32, $C$9, 100%, $E$9)</f>
        <v>7.8970000000000002</v>
      </c>
      <c r="M536" s="9">
        <f>7.9012 * CHOOSE(CONTROL!$C$32, $C$9, 100%, $E$9)</f>
        <v>7.9012000000000002</v>
      </c>
      <c r="N536" s="9">
        <f>7.897 * CHOOSE(CONTROL!$C$32, $C$9, 100%, $E$9)</f>
        <v>7.8970000000000002</v>
      </c>
      <c r="O536" s="9">
        <f>7.9012 * CHOOSE(CONTROL!$C$32, $C$9, 100%, $E$9)</f>
        <v>7.9012000000000002</v>
      </c>
    </row>
    <row r="537" spans="1:15" ht="15.75" x14ac:dyDescent="0.25">
      <c r="A537" s="13">
        <v>57223</v>
      </c>
      <c r="B537" s="10">
        <f>9.0364 * CHOOSE(CONTROL!$C$32, $C$9, 100%, $E$9)</f>
        <v>9.0364000000000004</v>
      </c>
      <c r="C537" s="10">
        <f>9.0364 * CHOOSE(CONTROL!$C$32, $C$9, 100%, $E$9)</f>
        <v>9.0364000000000004</v>
      </c>
      <c r="D537" s="10">
        <f>9.0376 * CHOOSE(CONTROL!$C$32, $C$9, 100%, $E$9)</f>
        <v>9.0375999999999994</v>
      </c>
      <c r="E537" s="9">
        <f>7.7365 * CHOOSE(CONTROL!$C$32, $C$9, 100%, $E$9)</f>
        <v>7.7365000000000004</v>
      </c>
      <c r="F537" s="9">
        <f>7.7365 * CHOOSE(CONTROL!$C$32, $C$9, 100%, $E$9)</f>
        <v>7.7365000000000004</v>
      </c>
      <c r="G537" s="9">
        <f>7.7407 * CHOOSE(CONTROL!$C$32, $C$9, 100%, $E$9)</f>
        <v>7.7407000000000004</v>
      </c>
      <c r="H537" s="9">
        <f>10.8629 * CHOOSE(CONTROL!$C$32, $C$9, 100%, $E$9)</f>
        <v>10.8629</v>
      </c>
      <c r="I537" s="9">
        <f>10.8671 * CHOOSE(CONTROL!$C$32, $C$9, 100%, $E$9)</f>
        <v>10.867100000000001</v>
      </c>
      <c r="J537" s="9">
        <f>10.8629 * CHOOSE(CONTROL!$C$32, $C$9, 100%, $E$9)</f>
        <v>10.8629</v>
      </c>
      <c r="K537" s="9">
        <f>10.8671 * CHOOSE(CONTROL!$C$32, $C$9, 100%, $E$9)</f>
        <v>10.867100000000001</v>
      </c>
      <c r="L537" s="9">
        <f>7.7365 * CHOOSE(CONTROL!$C$32, $C$9, 100%, $E$9)</f>
        <v>7.7365000000000004</v>
      </c>
      <c r="M537" s="9">
        <f>7.7407 * CHOOSE(CONTROL!$C$32, $C$9, 100%, $E$9)</f>
        <v>7.7407000000000004</v>
      </c>
      <c r="N537" s="9">
        <f>7.7365 * CHOOSE(CONTROL!$C$32, $C$9, 100%, $E$9)</f>
        <v>7.7365000000000004</v>
      </c>
      <c r="O537" s="9">
        <f>7.7407 * CHOOSE(CONTROL!$C$32, $C$9, 100%, $E$9)</f>
        <v>7.7407000000000004</v>
      </c>
    </row>
    <row r="538" spans="1:15" ht="15.75" x14ac:dyDescent="0.25">
      <c r="A538" s="13">
        <v>57253</v>
      </c>
      <c r="B538" s="10">
        <f>9.0333 * CHOOSE(CONTROL!$C$32, $C$9, 100%, $E$9)</f>
        <v>9.0333000000000006</v>
      </c>
      <c r="C538" s="10">
        <f>9.0333 * CHOOSE(CONTROL!$C$32, $C$9, 100%, $E$9)</f>
        <v>9.0333000000000006</v>
      </c>
      <c r="D538" s="10">
        <f>9.0346 * CHOOSE(CONTROL!$C$32, $C$9, 100%, $E$9)</f>
        <v>9.0345999999999993</v>
      </c>
      <c r="E538" s="9">
        <f>7.716 * CHOOSE(CONTROL!$C$32, $C$9, 100%, $E$9)</f>
        <v>7.7160000000000002</v>
      </c>
      <c r="F538" s="9">
        <f>7.716 * CHOOSE(CONTROL!$C$32, $C$9, 100%, $E$9)</f>
        <v>7.7160000000000002</v>
      </c>
      <c r="G538" s="9">
        <f>7.7202 * CHOOSE(CONTROL!$C$32, $C$9, 100%, $E$9)</f>
        <v>7.7202000000000002</v>
      </c>
      <c r="H538" s="9">
        <f>10.8609 * CHOOSE(CONTROL!$C$32, $C$9, 100%, $E$9)</f>
        <v>10.860900000000001</v>
      </c>
      <c r="I538" s="9">
        <f>10.8651 * CHOOSE(CONTROL!$C$32, $C$9, 100%, $E$9)</f>
        <v>10.8651</v>
      </c>
      <c r="J538" s="9">
        <f>10.8609 * CHOOSE(CONTROL!$C$32, $C$9, 100%, $E$9)</f>
        <v>10.860900000000001</v>
      </c>
      <c r="K538" s="9">
        <f>10.8651 * CHOOSE(CONTROL!$C$32, $C$9, 100%, $E$9)</f>
        <v>10.8651</v>
      </c>
      <c r="L538" s="9">
        <f>7.716 * CHOOSE(CONTROL!$C$32, $C$9, 100%, $E$9)</f>
        <v>7.7160000000000002</v>
      </c>
      <c r="M538" s="9">
        <f>7.7202 * CHOOSE(CONTROL!$C$32, $C$9, 100%, $E$9)</f>
        <v>7.7202000000000002</v>
      </c>
      <c r="N538" s="9">
        <f>7.716 * CHOOSE(CONTROL!$C$32, $C$9, 100%, $E$9)</f>
        <v>7.7160000000000002</v>
      </c>
      <c r="O538" s="9">
        <f>7.7202 * CHOOSE(CONTROL!$C$32, $C$9, 100%, $E$9)</f>
        <v>7.7202000000000002</v>
      </c>
    </row>
    <row r="539" spans="1:15" ht="15.75" x14ac:dyDescent="0.25">
      <c r="A539" s="13">
        <v>57284</v>
      </c>
      <c r="B539" s="10">
        <f>9.0483 * CHOOSE(CONTROL!$C$32, $C$9, 100%, $E$9)</f>
        <v>9.0482999999999993</v>
      </c>
      <c r="C539" s="10">
        <f>9.0483 * CHOOSE(CONTROL!$C$32, $C$9, 100%, $E$9)</f>
        <v>9.0482999999999993</v>
      </c>
      <c r="D539" s="10">
        <f>9.0493 * CHOOSE(CONTROL!$C$32, $C$9, 100%, $E$9)</f>
        <v>9.0493000000000006</v>
      </c>
      <c r="E539" s="9">
        <f>7.776 * CHOOSE(CONTROL!$C$32, $C$9, 100%, $E$9)</f>
        <v>7.7759999999999998</v>
      </c>
      <c r="F539" s="9">
        <f>7.776 * CHOOSE(CONTROL!$C$32, $C$9, 100%, $E$9)</f>
        <v>7.7759999999999998</v>
      </c>
      <c r="G539" s="9">
        <f>7.7792 * CHOOSE(CONTROL!$C$32, $C$9, 100%, $E$9)</f>
        <v>7.7792000000000003</v>
      </c>
      <c r="H539" s="9">
        <f>10.8695 * CHOOSE(CONTROL!$C$32, $C$9, 100%, $E$9)</f>
        <v>10.8695</v>
      </c>
      <c r="I539" s="9">
        <f>10.8727 * CHOOSE(CONTROL!$C$32, $C$9, 100%, $E$9)</f>
        <v>10.8727</v>
      </c>
      <c r="J539" s="9">
        <f>10.8695 * CHOOSE(CONTROL!$C$32, $C$9, 100%, $E$9)</f>
        <v>10.8695</v>
      </c>
      <c r="K539" s="9">
        <f>10.8727 * CHOOSE(CONTROL!$C$32, $C$9, 100%, $E$9)</f>
        <v>10.8727</v>
      </c>
      <c r="L539" s="9">
        <f>7.776 * CHOOSE(CONTROL!$C$32, $C$9, 100%, $E$9)</f>
        <v>7.7759999999999998</v>
      </c>
      <c r="M539" s="9">
        <f>7.7792 * CHOOSE(CONTROL!$C$32, $C$9, 100%, $E$9)</f>
        <v>7.7792000000000003</v>
      </c>
      <c r="N539" s="9">
        <f>7.776 * CHOOSE(CONTROL!$C$32, $C$9, 100%, $E$9)</f>
        <v>7.7759999999999998</v>
      </c>
      <c r="O539" s="9">
        <f>7.7792 * CHOOSE(CONTROL!$C$32, $C$9, 100%, $E$9)</f>
        <v>7.7792000000000003</v>
      </c>
    </row>
    <row r="540" spans="1:15" ht="15.75" x14ac:dyDescent="0.25">
      <c r="A540" s="13">
        <v>57314</v>
      </c>
      <c r="B540" s="10">
        <f>9.0514 * CHOOSE(CONTROL!$C$32, $C$9, 100%, $E$9)</f>
        <v>9.0513999999999992</v>
      </c>
      <c r="C540" s="10">
        <f>9.0514 * CHOOSE(CONTROL!$C$32, $C$9, 100%, $E$9)</f>
        <v>9.0513999999999992</v>
      </c>
      <c r="D540" s="10">
        <f>9.0523 * CHOOSE(CONTROL!$C$32, $C$9, 100%, $E$9)</f>
        <v>9.0523000000000007</v>
      </c>
      <c r="E540" s="9">
        <f>7.8148 * CHOOSE(CONTROL!$C$32, $C$9, 100%, $E$9)</f>
        <v>7.8148</v>
      </c>
      <c r="F540" s="9">
        <f>7.8148 * CHOOSE(CONTROL!$C$32, $C$9, 100%, $E$9)</f>
        <v>7.8148</v>
      </c>
      <c r="G540" s="9">
        <f>7.818 * CHOOSE(CONTROL!$C$32, $C$9, 100%, $E$9)</f>
        <v>7.8179999999999996</v>
      </c>
      <c r="H540" s="9">
        <f>10.8715 * CHOOSE(CONTROL!$C$32, $C$9, 100%, $E$9)</f>
        <v>10.871499999999999</v>
      </c>
      <c r="I540" s="9">
        <f>10.8747 * CHOOSE(CONTROL!$C$32, $C$9, 100%, $E$9)</f>
        <v>10.874700000000001</v>
      </c>
      <c r="J540" s="9">
        <f>10.8715 * CHOOSE(CONTROL!$C$32, $C$9, 100%, $E$9)</f>
        <v>10.871499999999999</v>
      </c>
      <c r="K540" s="9">
        <f>10.8747 * CHOOSE(CONTROL!$C$32, $C$9, 100%, $E$9)</f>
        <v>10.874700000000001</v>
      </c>
      <c r="L540" s="9">
        <f>7.8148 * CHOOSE(CONTROL!$C$32, $C$9, 100%, $E$9)</f>
        <v>7.8148</v>
      </c>
      <c r="M540" s="9">
        <f>7.818 * CHOOSE(CONTROL!$C$32, $C$9, 100%, $E$9)</f>
        <v>7.8179999999999996</v>
      </c>
      <c r="N540" s="9">
        <f>7.8148 * CHOOSE(CONTROL!$C$32, $C$9, 100%, $E$9)</f>
        <v>7.8148</v>
      </c>
      <c r="O540" s="9">
        <f>7.818 * CHOOSE(CONTROL!$C$32, $C$9, 100%, $E$9)</f>
        <v>7.8179999999999996</v>
      </c>
    </row>
    <row r="541" spans="1:15" ht="15.75" x14ac:dyDescent="0.25">
      <c r="A541" s="13">
        <v>57345</v>
      </c>
      <c r="B541" s="10">
        <f>9.0514 * CHOOSE(CONTROL!$C$32, $C$9, 100%, $E$9)</f>
        <v>9.0513999999999992</v>
      </c>
      <c r="C541" s="10">
        <f>9.0514 * CHOOSE(CONTROL!$C$32, $C$9, 100%, $E$9)</f>
        <v>9.0513999999999992</v>
      </c>
      <c r="D541" s="10">
        <f>9.0523 * CHOOSE(CONTROL!$C$32, $C$9, 100%, $E$9)</f>
        <v>9.0523000000000007</v>
      </c>
      <c r="E541" s="9">
        <f>7.7231 * CHOOSE(CONTROL!$C$32, $C$9, 100%, $E$9)</f>
        <v>7.7230999999999996</v>
      </c>
      <c r="F541" s="9">
        <f>7.7231 * CHOOSE(CONTROL!$C$32, $C$9, 100%, $E$9)</f>
        <v>7.7230999999999996</v>
      </c>
      <c r="G541" s="9">
        <f>7.7263 * CHOOSE(CONTROL!$C$32, $C$9, 100%, $E$9)</f>
        <v>7.7263000000000002</v>
      </c>
      <c r="H541" s="9">
        <f>10.8715 * CHOOSE(CONTROL!$C$32, $C$9, 100%, $E$9)</f>
        <v>10.871499999999999</v>
      </c>
      <c r="I541" s="9">
        <f>10.8747 * CHOOSE(CONTROL!$C$32, $C$9, 100%, $E$9)</f>
        <v>10.874700000000001</v>
      </c>
      <c r="J541" s="9">
        <f>10.8715 * CHOOSE(CONTROL!$C$32, $C$9, 100%, $E$9)</f>
        <v>10.871499999999999</v>
      </c>
      <c r="K541" s="9">
        <f>10.8747 * CHOOSE(CONTROL!$C$32, $C$9, 100%, $E$9)</f>
        <v>10.874700000000001</v>
      </c>
      <c r="L541" s="9">
        <f>7.7231 * CHOOSE(CONTROL!$C$32, $C$9, 100%, $E$9)</f>
        <v>7.7230999999999996</v>
      </c>
      <c r="M541" s="9">
        <f>7.7263 * CHOOSE(CONTROL!$C$32, $C$9, 100%, $E$9)</f>
        <v>7.7263000000000002</v>
      </c>
      <c r="N541" s="9">
        <f>7.7231 * CHOOSE(CONTROL!$C$32, $C$9, 100%, $E$9)</f>
        <v>7.7230999999999996</v>
      </c>
      <c r="O541" s="9">
        <f>7.7263 * CHOOSE(CONTROL!$C$32, $C$9, 100%, $E$9)</f>
        <v>7.7263000000000002</v>
      </c>
    </row>
    <row r="542" spans="1:15" ht="15.75" x14ac:dyDescent="0.25">
      <c r="A542" s="13">
        <v>57376</v>
      </c>
      <c r="B542" s="10">
        <f>9.126 * CHOOSE(CONTROL!$C$32, $C$9, 100%, $E$9)</f>
        <v>9.1259999999999994</v>
      </c>
      <c r="C542" s="10">
        <f>9.126 * CHOOSE(CONTROL!$C$32, $C$9, 100%, $E$9)</f>
        <v>9.1259999999999994</v>
      </c>
      <c r="D542" s="10">
        <f>9.1269 * CHOOSE(CONTROL!$C$32, $C$9, 100%, $E$9)</f>
        <v>9.1268999999999991</v>
      </c>
      <c r="E542" s="9">
        <f>7.8437 * CHOOSE(CONTROL!$C$32, $C$9, 100%, $E$9)</f>
        <v>7.8437000000000001</v>
      </c>
      <c r="F542" s="9">
        <f>7.8437 * CHOOSE(CONTROL!$C$32, $C$9, 100%, $E$9)</f>
        <v>7.8437000000000001</v>
      </c>
      <c r="G542" s="9">
        <f>7.8469 * CHOOSE(CONTROL!$C$32, $C$9, 100%, $E$9)</f>
        <v>7.8468999999999998</v>
      </c>
      <c r="H542" s="9">
        <f>10.952 * CHOOSE(CONTROL!$C$32, $C$9, 100%, $E$9)</f>
        <v>10.952</v>
      </c>
      <c r="I542" s="9">
        <f>10.9553 * CHOOSE(CONTROL!$C$32, $C$9, 100%, $E$9)</f>
        <v>10.955299999999999</v>
      </c>
      <c r="J542" s="9">
        <f>10.952 * CHOOSE(CONTROL!$C$32, $C$9, 100%, $E$9)</f>
        <v>10.952</v>
      </c>
      <c r="K542" s="9">
        <f>10.9553 * CHOOSE(CONTROL!$C$32, $C$9, 100%, $E$9)</f>
        <v>10.955299999999999</v>
      </c>
      <c r="L542" s="9">
        <f>7.8437 * CHOOSE(CONTROL!$C$32, $C$9, 100%, $E$9)</f>
        <v>7.8437000000000001</v>
      </c>
      <c r="M542" s="9">
        <f>7.8469 * CHOOSE(CONTROL!$C$32, $C$9, 100%, $E$9)</f>
        <v>7.8468999999999998</v>
      </c>
      <c r="N542" s="9">
        <f>7.8437 * CHOOSE(CONTROL!$C$32, $C$9, 100%, $E$9)</f>
        <v>7.8437000000000001</v>
      </c>
      <c r="O542" s="9">
        <f>7.8469 * CHOOSE(CONTROL!$C$32, $C$9, 100%, $E$9)</f>
        <v>7.8468999999999998</v>
      </c>
    </row>
    <row r="543" spans="1:15" ht="15.75" x14ac:dyDescent="0.25">
      <c r="A543" s="13">
        <v>57404</v>
      </c>
      <c r="B543" s="10">
        <f>9.1229 * CHOOSE(CONTROL!$C$32, $C$9, 100%, $E$9)</f>
        <v>9.1228999999999996</v>
      </c>
      <c r="C543" s="10">
        <f>9.1229 * CHOOSE(CONTROL!$C$32, $C$9, 100%, $E$9)</f>
        <v>9.1228999999999996</v>
      </c>
      <c r="D543" s="10">
        <f>9.1239 * CHOOSE(CONTROL!$C$32, $C$9, 100%, $E$9)</f>
        <v>9.1239000000000008</v>
      </c>
      <c r="E543" s="9">
        <f>7.663 * CHOOSE(CONTROL!$C$32, $C$9, 100%, $E$9)</f>
        <v>7.6630000000000003</v>
      </c>
      <c r="F543" s="9">
        <f>7.663 * CHOOSE(CONTROL!$C$32, $C$9, 100%, $E$9)</f>
        <v>7.6630000000000003</v>
      </c>
      <c r="G543" s="9">
        <f>7.6662 * CHOOSE(CONTROL!$C$32, $C$9, 100%, $E$9)</f>
        <v>7.6661999999999999</v>
      </c>
      <c r="H543" s="9">
        <f>10.95 * CHOOSE(CONTROL!$C$32, $C$9, 100%, $E$9)</f>
        <v>10.95</v>
      </c>
      <c r="I543" s="9">
        <f>10.9533 * CHOOSE(CONTROL!$C$32, $C$9, 100%, $E$9)</f>
        <v>10.9533</v>
      </c>
      <c r="J543" s="9">
        <f>10.95 * CHOOSE(CONTROL!$C$32, $C$9, 100%, $E$9)</f>
        <v>10.95</v>
      </c>
      <c r="K543" s="9">
        <f>10.9533 * CHOOSE(CONTROL!$C$32, $C$9, 100%, $E$9)</f>
        <v>10.9533</v>
      </c>
      <c r="L543" s="9">
        <f>7.663 * CHOOSE(CONTROL!$C$32, $C$9, 100%, $E$9)</f>
        <v>7.6630000000000003</v>
      </c>
      <c r="M543" s="9">
        <f>7.6662 * CHOOSE(CONTROL!$C$32, $C$9, 100%, $E$9)</f>
        <v>7.6661999999999999</v>
      </c>
      <c r="N543" s="9">
        <f>7.663 * CHOOSE(CONTROL!$C$32, $C$9, 100%, $E$9)</f>
        <v>7.6630000000000003</v>
      </c>
      <c r="O543" s="9">
        <f>7.6662 * CHOOSE(CONTROL!$C$32, $C$9, 100%, $E$9)</f>
        <v>7.6661999999999999</v>
      </c>
    </row>
    <row r="544" spans="1:15" ht="15.75" x14ac:dyDescent="0.25">
      <c r="A544" s="13">
        <v>57435</v>
      </c>
      <c r="B544" s="10">
        <f>9.1199 * CHOOSE(CONTROL!$C$32, $C$9, 100%, $E$9)</f>
        <v>9.1198999999999995</v>
      </c>
      <c r="C544" s="10">
        <f>9.1199 * CHOOSE(CONTROL!$C$32, $C$9, 100%, $E$9)</f>
        <v>9.1198999999999995</v>
      </c>
      <c r="D544" s="10">
        <f>9.1208 * CHOOSE(CONTROL!$C$32, $C$9, 100%, $E$9)</f>
        <v>9.1207999999999991</v>
      </c>
      <c r="E544" s="9">
        <f>7.8016 * CHOOSE(CONTROL!$C$32, $C$9, 100%, $E$9)</f>
        <v>7.8015999999999996</v>
      </c>
      <c r="F544" s="9">
        <f>7.8016 * CHOOSE(CONTROL!$C$32, $C$9, 100%, $E$9)</f>
        <v>7.8015999999999996</v>
      </c>
      <c r="G544" s="9">
        <f>7.8048 * CHOOSE(CONTROL!$C$32, $C$9, 100%, $E$9)</f>
        <v>7.8048000000000002</v>
      </c>
      <c r="H544" s="9">
        <f>10.948 * CHOOSE(CONTROL!$C$32, $C$9, 100%, $E$9)</f>
        <v>10.948</v>
      </c>
      <c r="I544" s="9">
        <f>10.9513 * CHOOSE(CONTROL!$C$32, $C$9, 100%, $E$9)</f>
        <v>10.9513</v>
      </c>
      <c r="J544" s="9">
        <f>10.948 * CHOOSE(CONTROL!$C$32, $C$9, 100%, $E$9)</f>
        <v>10.948</v>
      </c>
      <c r="K544" s="9">
        <f>10.9513 * CHOOSE(CONTROL!$C$32, $C$9, 100%, $E$9)</f>
        <v>10.9513</v>
      </c>
      <c r="L544" s="9">
        <f>7.8016 * CHOOSE(CONTROL!$C$32, $C$9, 100%, $E$9)</f>
        <v>7.8015999999999996</v>
      </c>
      <c r="M544" s="9">
        <f>7.8048 * CHOOSE(CONTROL!$C$32, $C$9, 100%, $E$9)</f>
        <v>7.8048000000000002</v>
      </c>
      <c r="N544" s="9">
        <f>7.8016 * CHOOSE(CONTROL!$C$32, $C$9, 100%, $E$9)</f>
        <v>7.8015999999999996</v>
      </c>
      <c r="O544" s="9">
        <f>7.8048 * CHOOSE(CONTROL!$C$32, $C$9, 100%, $E$9)</f>
        <v>7.8048000000000002</v>
      </c>
    </row>
    <row r="545" spans="1:15" ht="15.75" x14ac:dyDescent="0.25">
      <c r="A545" s="13">
        <v>57465</v>
      </c>
      <c r="B545" s="10">
        <f>9.1228 * CHOOSE(CONTROL!$C$32, $C$9, 100%, $E$9)</f>
        <v>9.1227999999999998</v>
      </c>
      <c r="C545" s="10">
        <f>9.1228 * CHOOSE(CONTROL!$C$32, $C$9, 100%, $E$9)</f>
        <v>9.1227999999999998</v>
      </c>
      <c r="D545" s="10">
        <f>9.1238 * CHOOSE(CONTROL!$C$32, $C$9, 100%, $E$9)</f>
        <v>9.1237999999999992</v>
      </c>
      <c r="E545" s="9">
        <f>7.9486 * CHOOSE(CONTROL!$C$32, $C$9, 100%, $E$9)</f>
        <v>7.9485999999999999</v>
      </c>
      <c r="F545" s="9">
        <f>7.9486 * CHOOSE(CONTROL!$C$32, $C$9, 100%, $E$9)</f>
        <v>7.9485999999999999</v>
      </c>
      <c r="G545" s="9">
        <f>7.9518 * CHOOSE(CONTROL!$C$32, $C$9, 100%, $E$9)</f>
        <v>7.9518000000000004</v>
      </c>
      <c r="H545" s="9">
        <f>10.9496 * CHOOSE(CONTROL!$C$32, $C$9, 100%, $E$9)</f>
        <v>10.9496</v>
      </c>
      <c r="I545" s="9">
        <f>10.9528 * CHOOSE(CONTROL!$C$32, $C$9, 100%, $E$9)</f>
        <v>10.9528</v>
      </c>
      <c r="J545" s="9">
        <f>10.9496 * CHOOSE(CONTROL!$C$32, $C$9, 100%, $E$9)</f>
        <v>10.9496</v>
      </c>
      <c r="K545" s="9">
        <f>10.9528 * CHOOSE(CONTROL!$C$32, $C$9, 100%, $E$9)</f>
        <v>10.9528</v>
      </c>
      <c r="L545" s="9">
        <f>7.9486 * CHOOSE(CONTROL!$C$32, $C$9, 100%, $E$9)</f>
        <v>7.9485999999999999</v>
      </c>
      <c r="M545" s="9">
        <f>7.9518 * CHOOSE(CONTROL!$C$32, $C$9, 100%, $E$9)</f>
        <v>7.9518000000000004</v>
      </c>
      <c r="N545" s="9">
        <f>7.9486 * CHOOSE(CONTROL!$C$32, $C$9, 100%, $E$9)</f>
        <v>7.9485999999999999</v>
      </c>
      <c r="O545" s="9">
        <f>7.9518 * CHOOSE(CONTROL!$C$32, $C$9, 100%, $E$9)</f>
        <v>7.9518000000000004</v>
      </c>
    </row>
    <row r="546" spans="1:15" ht="15.75" x14ac:dyDescent="0.25">
      <c r="A546" s="13">
        <v>57496</v>
      </c>
      <c r="B546" s="10">
        <f>9.1228 * CHOOSE(CONTROL!$C$32, $C$9, 100%, $E$9)</f>
        <v>9.1227999999999998</v>
      </c>
      <c r="C546" s="10">
        <f>9.1228 * CHOOSE(CONTROL!$C$32, $C$9, 100%, $E$9)</f>
        <v>9.1227999999999998</v>
      </c>
      <c r="D546" s="10">
        <f>9.124 * CHOOSE(CONTROL!$C$32, $C$9, 100%, $E$9)</f>
        <v>9.1240000000000006</v>
      </c>
      <c r="E546" s="9">
        <f>8.0053 * CHOOSE(CONTROL!$C$32, $C$9, 100%, $E$9)</f>
        <v>8.0053000000000001</v>
      </c>
      <c r="F546" s="9">
        <f>8.0053 * CHOOSE(CONTROL!$C$32, $C$9, 100%, $E$9)</f>
        <v>8.0053000000000001</v>
      </c>
      <c r="G546" s="9">
        <f>8.0095 * CHOOSE(CONTROL!$C$32, $C$9, 100%, $E$9)</f>
        <v>8.0094999999999992</v>
      </c>
      <c r="H546" s="9">
        <f>10.9496 * CHOOSE(CONTROL!$C$32, $C$9, 100%, $E$9)</f>
        <v>10.9496</v>
      </c>
      <c r="I546" s="9">
        <f>10.9538 * CHOOSE(CONTROL!$C$32, $C$9, 100%, $E$9)</f>
        <v>10.953799999999999</v>
      </c>
      <c r="J546" s="9">
        <f>10.9496 * CHOOSE(CONTROL!$C$32, $C$9, 100%, $E$9)</f>
        <v>10.9496</v>
      </c>
      <c r="K546" s="9">
        <f>10.9538 * CHOOSE(CONTROL!$C$32, $C$9, 100%, $E$9)</f>
        <v>10.953799999999999</v>
      </c>
      <c r="L546" s="9">
        <f>8.0053 * CHOOSE(CONTROL!$C$32, $C$9, 100%, $E$9)</f>
        <v>8.0053000000000001</v>
      </c>
      <c r="M546" s="9">
        <f>8.0095 * CHOOSE(CONTROL!$C$32, $C$9, 100%, $E$9)</f>
        <v>8.0094999999999992</v>
      </c>
      <c r="N546" s="9">
        <f>8.0053 * CHOOSE(CONTROL!$C$32, $C$9, 100%, $E$9)</f>
        <v>8.0053000000000001</v>
      </c>
      <c r="O546" s="9">
        <f>8.0095 * CHOOSE(CONTROL!$C$32, $C$9, 100%, $E$9)</f>
        <v>8.0094999999999992</v>
      </c>
    </row>
    <row r="547" spans="1:15" ht="15.75" x14ac:dyDescent="0.25">
      <c r="A547" s="13">
        <v>57526</v>
      </c>
      <c r="B547" s="10">
        <f>9.1289 * CHOOSE(CONTROL!$C$32, $C$9, 100%, $E$9)</f>
        <v>9.1288999999999998</v>
      </c>
      <c r="C547" s="10">
        <f>9.1289 * CHOOSE(CONTROL!$C$32, $C$9, 100%, $E$9)</f>
        <v>9.1288999999999998</v>
      </c>
      <c r="D547" s="10">
        <f>9.1301 * CHOOSE(CONTROL!$C$32, $C$9, 100%, $E$9)</f>
        <v>9.1301000000000005</v>
      </c>
      <c r="E547" s="9">
        <f>7.9528 * CHOOSE(CONTROL!$C$32, $C$9, 100%, $E$9)</f>
        <v>7.9527999999999999</v>
      </c>
      <c r="F547" s="9">
        <f>7.9528 * CHOOSE(CONTROL!$C$32, $C$9, 100%, $E$9)</f>
        <v>7.9527999999999999</v>
      </c>
      <c r="G547" s="9">
        <f>7.957 * CHOOSE(CONTROL!$C$32, $C$9, 100%, $E$9)</f>
        <v>7.9569999999999999</v>
      </c>
      <c r="H547" s="9">
        <f>10.9536 * CHOOSE(CONTROL!$C$32, $C$9, 100%, $E$9)</f>
        <v>10.9536</v>
      </c>
      <c r="I547" s="9">
        <f>10.9578 * CHOOSE(CONTROL!$C$32, $C$9, 100%, $E$9)</f>
        <v>10.957800000000001</v>
      </c>
      <c r="J547" s="9">
        <f>10.9536 * CHOOSE(CONTROL!$C$32, $C$9, 100%, $E$9)</f>
        <v>10.9536</v>
      </c>
      <c r="K547" s="9">
        <f>10.9578 * CHOOSE(CONTROL!$C$32, $C$9, 100%, $E$9)</f>
        <v>10.957800000000001</v>
      </c>
      <c r="L547" s="9">
        <f>7.9528 * CHOOSE(CONTROL!$C$32, $C$9, 100%, $E$9)</f>
        <v>7.9527999999999999</v>
      </c>
      <c r="M547" s="9">
        <f>7.957 * CHOOSE(CONTROL!$C$32, $C$9, 100%, $E$9)</f>
        <v>7.9569999999999999</v>
      </c>
      <c r="N547" s="9">
        <f>7.9528 * CHOOSE(CONTROL!$C$32, $C$9, 100%, $E$9)</f>
        <v>7.9527999999999999</v>
      </c>
      <c r="O547" s="9">
        <f>7.957 * CHOOSE(CONTROL!$C$32, $C$9, 100%, $E$9)</f>
        <v>7.9569999999999999</v>
      </c>
    </row>
    <row r="548" spans="1:15" ht="15.75" x14ac:dyDescent="0.25">
      <c r="A548" s="13">
        <v>57557</v>
      </c>
      <c r="B548" s="10">
        <f>9.2579 * CHOOSE(CONTROL!$C$32, $C$9, 100%, $E$9)</f>
        <v>9.2578999999999994</v>
      </c>
      <c r="C548" s="10">
        <f>9.2579 * CHOOSE(CONTROL!$C$32, $C$9, 100%, $E$9)</f>
        <v>9.2578999999999994</v>
      </c>
      <c r="D548" s="10">
        <f>9.2591 * CHOOSE(CONTROL!$C$32, $C$9, 100%, $E$9)</f>
        <v>9.2591000000000001</v>
      </c>
      <c r="E548" s="9">
        <f>8.0451 * CHOOSE(CONTROL!$C$32, $C$9, 100%, $E$9)</f>
        <v>8.0450999999999997</v>
      </c>
      <c r="F548" s="9">
        <f>8.0451 * CHOOSE(CONTROL!$C$32, $C$9, 100%, $E$9)</f>
        <v>8.0450999999999997</v>
      </c>
      <c r="G548" s="9">
        <f>8.0493 * CHOOSE(CONTROL!$C$32, $C$9, 100%, $E$9)</f>
        <v>8.0493000000000006</v>
      </c>
      <c r="H548" s="9">
        <f>11.1174 * CHOOSE(CONTROL!$C$32, $C$9, 100%, $E$9)</f>
        <v>11.1174</v>
      </c>
      <c r="I548" s="9">
        <f>11.1216 * CHOOSE(CONTROL!$C$32, $C$9, 100%, $E$9)</f>
        <v>11.121600000000001</v>
      </c>
      <c r="J548" s="9">
        <f>11.1174 * CHOOSE(CONTROL!$C$32, $C$9, 100%, $E$9)</f>
        <v>11.1174</v>
      </c>
      <c r="K548" s="9">
        <f>11.1216 * CHOOSE(CONTROL!$C$32, $C$9, 100%, $E$9)</f>
        <v>11.121600000000001</v>
      </c>
      <c r="L548" s="9">
        <f>8.0451 * CHOOSE(CONTROL!$C$32, $C$9, 100%, $E$9)</f>
        <v>8.0450999999999997</v>
      </c>
      <c r="M548" s="9">
        <f>8.0493 * CHOOSE(CONTROL!$C$32, $C$9, 100%, $E$9)</f>
        <v>8.0493000000000006</v>
      </c>
      <c r="N548" s="9">
        <f>8.0451 * CHOOSE(CONTROL!$C$32, $C$9, 100%, $E$9)</f>
        <v>8.0450999999999997</v>
      </c>
      <c r="O548" s="9">
        <f>8.0493 * CHOOSE(CONTROL!$C$32, $C$9, 100%, $E$9)</f>
        <v>8.0493000000000006</v>
      </c>
    </row>
    <row r="549" spans="1:15" ht="15.75" x14ac:dyDescent="0.25">
      <c r="A549" s="13">
        <v>57588</v>
      </c>
      <c r="B549" s="10">
        <f>9.2646 * CHOOSE(CONTROL!$C$32, $C$9, 100%, $E$9)</f>
        <v>9.2645999999999997</v>
      </c>
      <c r="C549" s="10">
        <f>9.2646 * CHOOSE(CONTROL!$C$32, $C$9, 100%, $E$9)</f>
        <v>9.2645999999999997</v>
      </c>
      <c r="D549" s="10">
        <f>9.2658 * CHOOSE(CONTROL!$C$32, $C$9, 100%, $E$9)</f>
        <v>9.2658000000000005</v>
      </c>
      <c r="E549" s="9">
        <f>7.8797 * CHOOSE(CONTROL!$C$32, $C$9, 100%, $E$9)</f>
        <v>7.8796999999999997</v>
      </c>
      <c r="F549" s="9">
        <f>7.8797 * CHOOSE(CONTROL!$C$32, $C$9, 100%, $E$9)</f>
        <v>7.8796999999999997</v>
      </c>
      <c r="G549" s="9">
        <f>7.8839 * CHOOSE(CONTROL!$C$32, $C$9, 100%, $E$9)</f>
        <v>7.8838999999999997</v>
      </c>
      <c r="H549" s="9">
        <f>11.1218 * CHOOSE(CONTROL!$C$32, $C$9, 100%, $E$9)</f>
        <v>11.1218</v>
      </c>
      <c r="I549" s="9">
        <f>11.126 * CHOOSE(CONTROL!$C$32, $C$9, 100%, $E$9)</f>
        <v>11.125999999999999</v>
      </c>
      <c r="J549" s="9">
        <f>11.1218 * CHOOSE(CONTROL!$C$32, $C$9, 100%, $E$9)</f>
        <v>11.1218</v>
      </c>
      <c r="K549" s="9">
        <f>11.126 * CHOOSE(CONTROL!$C$32, $C$9, 100%, $E$9)</f>
        <v>11.125999999999999</v>
      </c>
      <c r="L549" s="9">
        <f>7.8797 * CHOOSE(CONTROL!$C$32, $C$9, 100%, $E$9)</f>
        <v>7.8796999999999997</v>
      </c>
      <c r="M549" s="9">
        <f>7.8839 * CHOOSE(CONTROL!$C$32, $C$9, 100%, $E$9)</f>
        <v>7.8838999999999997</v>
      </c>
      <c r="N549" s="9">
        <f>7.8797 * CHOOSE(CONTROL!$C$32, $C$9, 100%, $E$9)</f>
        <v>7.8796999999999997</v>
      </c>
      <c r="O549" s="9">
        <f>7.8839 * CHOOSE(CONTROL!$C$32, $C$9, 100%, $E$9)</f>
        <v>7.8838999999999997</v>
      </c>
    </row>
    <row r="550" spans="1:15" ht="15.75" x14ac:dyDescent="0.25">
      <c r="A550" s="13">
        <v>57618</v>
      </c>
      <c r="B550" s="10">
        <f>9.2615 * CHOOSE(CONTROL!$C$32, $C$9, 100%, $E$9)</f>
        <v>9.2614999999999998</v>
      </c>
      <c r="C550" s="10">
        <f>9.2615 * CHOOSE(CONTROL!$C$32, $C$9, 100%, $E$9)</f>
        <v>9.2614999999999998</v>
      </c>
      <c r="D550" s="10">
        <f>9.2628 * CHOOSE(CONTROL!$C$32, $C$9, 100%, $E$9)</f>
        <v>9.2628000000000004</v>
      </c>
      <c r="E550" s="9">
        <f>7.8586 * CHOOSE(CONTROL!$C$32, $C$9, 100%, $E$9)</f>
        <v>7.8586</v>
      </c>
      <c r="F550" s="9">
        <f>7.8586 * CHOOSE(CONTROL!$C$32, $C$9, 100%, $E$9)</f>
        <v>7.8586</v>
      </c>
      <c r="G550" s="9">
        <f>7.8628 * CHOOSE(CONTROL!$C$32, $C$9, 100%, $E$9)</f>
        <v>7.8628</v>
      </c>
      <c r="H550" s="9">
        <f>11.1198 * CHOOSE(CONTROL!$C$32, $C$9, 100%, $E$9)</f>
        <v>11.1198</v>
      </c>
      <c r="I550" s="9">
        <f>11.124 * CHOOSE(CONTROL!$C$32, $C$9, 100%, $E$9)</f>
        <v>11.124000000000001</v>
      </c>
      <c r="J550" s="9">
        <f>11.1198 * CHOOSE(CONTROL!$C$32, $C$9, 100%, $E$9)</f>
        <v>11.1198</v>
      </c>
      <c r="K550" s="9">
        <f>11.124 * CHOOSE(CONTROL!$C$32, $C$9, 100%, $E$9)</f>
        <v>11.124000000000001</v>
      </c>
      <c r="L550" s="9">
        <f>7.8586 * CHOOSE(CONTROL!$C$32, $C$9, 100%, $E$9)</f>
        <v>7.8586</v>
      </c>
      <c r="M550" s="9">
        <f>7.8628 * CHOOSE(CONTROL!$C$32, $C$9, 100%, $E$9)</f>
        <v>7.8628</v>
      </c>
      <c r="N550" s="9">
        <f>7.8586 * CHOOSE(CONTROL!$C$32, $C$9, 100%, $E$9)</f>
        <v>7.8586</v>
      </c>
      <c r="O550" s="9">
        <f>7.8628 * CHOOSE(CONTROL!$C$32, $C$9, 100%, $E$9)</f>
        <v>7.8628</v>
      </c>
    </row>
    <row r="551" spans="1:15" ht="15.75" x14ac:dyDescent="0.25">
      <c r="A551" s="13">
        <v>57649</v>
      </c>
      <c r="B551" s="10">
        <f>9.2774 * CHOOSE(CONTROL!$C$32, $C$9, 100%, $E$9)</f>
        <v>9.2774000000000001</v>
      </c>
      <c r="C551" s="10">
        <f>9.2774 * CHOOSE(CONTROL!$C$32, $C$9, 100%, $E$9)</f>
        <v>9.2774000000000001</v>
      </c>
      <c r="D551" s="10">
        <f>9.2784 * CHOOSE(CONTROL!$C$32, $C$9, 100%, $E$9)</f>
        <v>9.2783999999999995</v>
      </c>
      <c r="E551" s="9">
        <f>7.9208 * CHOOSE(CONTROL!$C$32, $C$9, 100%, $E$9)</f>
        <v>7.9207999999999998</v>
      </c>
      <c r="F551" s="9">
        <f>7.9208 * CHOOSE(CONTROL!$C$32, $C$9, 100%, $E$9)</f>
        <v>7.9207999999999998</v>
      </c>
      <c r="G551" s="9">
        <f>7.9241 * CHOOSE(CONTROL!$C$32, $C$9, 100%, $E$9)</f>
        <v>7.9241000000000001</v>
      </c>
      <c r="H551" s="9">
        <f>11.129 * CHOOSE(CONTROL!$C$32, $C$9, 100%, $E$9)</f>
        <v>11.129</v>
      </c>
      <c r="I551" s="9">
        <f>11.1322 * CHOOSE(CONTROL!$C$32, $C$9, 100%, $E$9)</f>
        <v>11.132199999999999</v>
      </c>
      <c r="J551" s="9">
        <f>11.129 * CHOOSE(CONTROL!$C$32, $C$9, 100%, $E$9)</f>
        <v>11.129</v>
      </c>
      <c r="K551" s="9">
        <f>11.1322 * CHOOSE(CONTROL!$C$32, $C$9, 100%, $E$9)</f>
        <v>11.132199999999999</v>
      </c>
      <c r="L551" s="9">
        <f>7.9208 * CHOOSE(CONTROL!$C$32, $C$9, 100%, $E$9)</f>
        <v>7.9207999999999998</v>
      </c>
      <c r="M551" s="9">
        <f>7.9241 * CHOOSE(CONTROL!$C$32, $C$9, 100%, $E$9)</f>
        <v>7.9241000000000001</v>
      </c>
      <c r="N551" s="9">
        <f>7.9208 * CHOOSE(CONTROL!$C$32, $C$9, 100%, $E$9)</f>
        <v>7.9207999999999998</v>
      </c>
      <c r="O551" s="9">
        <f>7.9241 * CHOOSE(CONTROL!$C$32, $C$9, 100%, $E$9)</f>
        <v>7.9241000000000001</v>
      </c>
    </row>
    <row r="552" spans="1:15" ht="15.75" x14ac:dyDescent="0.25">
      <c r="A552" s="13">
        <v>57679</v>
      </c>
      <c r="B552" s="10">
        <f>9.2805 * CHOOSE(CONTROL!$C$32, $C$9, 100%, $E$9)</f>
        <v>9.2805</v>
      </c>
      <c r="C552" s="10">
        <f>9.2805 * CHOOSE(CONTROL!$C$32, $C$9, 100%, $E$9)</f>
        <v>9.2805</v>
      </c>
      <c r="D552" s="10">
        <f>9.2814 * CHOOSE(CONTROL!$C$32, $C$9, 100%, $E$9)</f>
        <v>9.2813999999999997</v>
      </c>
      <c r="E552" s="9">
        <f>7.9607 * CHOOSE(CONTROL!$C$32, $C$9, 100%, $E$9)</f>
        <v>7.9607000000000001</v>
      </c>
      <c r="F552" s="9">
        <f>7.9607 * CHOOSE(CONTROL!$C$32, $C$9, 100%, $E$9)</f>
        <v>7.9607000000000001</v>
      </c>
      <c r="G552" s="9">
        <f>7.964 * CHOOSE(CONTROL!$C$32, $C$9, 100%, $E$9)</f>
        <v>7.9640000000000004</v>
      </c>
      <c r="H552" s="9">
        <f>11.131 * CHOOSE(CONTROL!$C$32, $C$9, 100%, $E$9)</f>
        <v>11.131</v>
      </c>
      <c r="I552" s="9">
        <f>11.1342 * CHOOSE(CONTROL!$C$32, $C$9, 100%, $E$9)</f>
        <v>11.1342</v>
      </c>
      <c r="J552" s="9">
        <f>11.131 * CHOOSE(CONTROL!$C$32, $C$9, 100%, $E$9)</f>
        <v>11.131</v>
      </c>
      <c r="K552" s="9">
        <f>11.1342 * CHOOSE(CONTROL!$C$32, $C$9, 100%, $E$9)</f>
        <v>11.1342</v>
      </c>
      <c r="L552" s="9">
        <f>7.9607 * CHOOSE(CONTROL!$C$32, $C$9, 100%, $E$9)</f>
        <v>7.9607000000000001</v>
      </c>
      <c r="M552" s="9">
        <f>7.964 * CHOOSE(CONTROL!$C$32, $C$9, 100%, $E$9)</f>
        <v>7.9640000000000004</v>
      </c>
      <c r="N552" s="9">
        <f>7.9607 * CHOOSE(CONTROL!$C$32, $C$9, 100%, $E$9)</f>
        <v>7.9607000000000001</v>
      </c>
      <c r="O552" s="9">
        <f>7.964 * CHOOSE(CONTROL!$C$32, $C$9, 100%, $E$9)</f>
        <v>7.9640000000000004</v>
      </c>
    </row>
    <row r="553" spans="1:15" ht="15.75" x14ac:dyDescent="0.25">
      <c r="A553" s="13">
        <v>57710</v>
      </c>
      <c r="B553" s="10">
        <f>9.2805 * CHOOSE(CONTROL!$C$32, $C$9, 100%, $E$9)</f>
        <v>9.2805</v>
      </c>
      <c r="C553" s="10">
        <f>9.2805 * CHOOSE(CONTROL!$C$32, $C$9, 100%, $E$9)</f>
        <v>9.2805</v>
      </c>
      <c r="D553" s="10">
        <f>9.2814 * CHOOSE(CONTROL!$C$32, $C$9, 100%, $E$9)</f>
        <v>9.2813999999999997</v>
      </c>
      <c r="E553" s="9">
        <f>7.8662 * CHOOSE(CONTROL!$C$32, $C$9, 100%, $E$9)</f>
        <v>7.8662000000000001</v>
      </c>
      <c r="F553" s="9">
        <f>7.8662 * CHOOSE(CONTROL!$C$32, $C$9, 100%, $E$9)</f>
        <v>7.8662000000000001</v>
      </c>
      <c r="G553" s="9">
        <f>7.8695 * CHOOSE(CONTROL!$C$32, $C$9, 100%, $E$9)</f>
        <v>7.8695000000000004</v>
      </c>
      <c r="H553" s="9">
        <f>11.131 * CHOOSE(CONTROL!$C$32, $C$9, 100%, $E$9)</f>
        <v>11.131</v>
      </c>
      <c r="I553" s="9">
        <f>11.1342 * CHOOSE(CONTROL!$C$32, $C$9, 100%, $E$9)</f>
        <v>11.1342</v>
      </c>
      <c r="J553" s="9">
        <f>11.131 * CHOOSE(CONTROL!$C$32, $C$9, 100%, $E$9)</f>
        <v>11.131</v>
      </c>
      <c r="K553" s="9">
        <f>11.1342 * CHOOSE(CONTROL!$C$32, $C$9, 100%, $E$9)</f>
        <v>11.1342</v>
      </c>
      <c r="L553" s="9">
        <f>7.8662 * CHOOSE(CONTROL!$C$32, $C$9, 100%, $E$9)</f>
        <v>7.8662000000000001</v>
      </c>
      <c r="M553" s="9">
        <f>7.8695 * CHOOSE(CONTROL!$C$32, $C$9, 100%, $E$9)</f>
        <v>7.8695000000000004</v>
      </c>
      <c r="N553" s="9">
        <f>7.8662 * CHOOSE(CONTROL!$C$32, $C$9, 100%, $E$9)</f>
        <v>7.8662000000000001</v>
      </c>
      <c r="O553" s="9">
        <f>7.8695 * CHOOSE(CONTROL!$C$32, $C$9, 100%, $E$9)</f>
        <v>7.8695000000000004</v>
      </c>
    </row>
    <row r="554" spans="1:15" ht="15.75" x14ac:dyDescent="0.25">
      <c r="A554" s="13">
        <v>57741</v>
      </c>
      <c r="B554" s="10">
        <f>9.3568 * CHOOSE(CONTROL!$C$32, $C$9, 100%, $E$9)</f>
        <v>9.3567999999999998</v>
      </c>
      <c r="C554" s="10">
        <f>9.3568 * CHOOSE(CONTROL!$C$32, $C$9, 100%, $E$9)</f>
        <v>9.3567999999999998</v>
      </c>
      <c r="D554" s="10">
        <f>9.3578 * CHOOSE(CONTROL!$C$32, $C$9, 100%, $E$9)</f>
        <v>9.3577999999999992</v>
      </c>
      <c r="E554" s="9">
        <f>7.99 * CHOOSE(CONTROL!$C$32, $C$9, 100%, $E$9)</f>
        <v>7.99</v>
      </c>
      <c r="F554" s="9">
        <f>7.99 * CHOOSE(CONTROL!$C$32, $C$9, 100%, $E$9)</f>
        <v>7.99</v>
      </c>
      <c r="G554" s="9">
        <f>7.9932 * CHOOSE(CONTROL!$C$32, $C$9, 100%, $E$9)</f>
        <v>7.9931999999999999</v>
      </c>
      <c r="H554" s="9">
        <f>11.2134 * CHOOSE(CONTROL!$C$32, $C$9, 100%, $E$9)</f>
        <v>11.2134</v>
      </c>
      <c r="I554" s="9">
        <f>11.2166 * CHOOSE(CONTROL!$C$32, $C$9, 100%, $E$9)</f>
        <v>11.2166</v>
      </c>
      <c r="J554" s="9">
        <f>11.2134 * CHOOSE(CONTROL!$C$32, $C$9, 100%, $E$9)</f>
        <v>11.2134</v>
      </c>
      <c r="K554" s="9">
        <f>11.2166 * CHOOSE(CONTROL!$C$32, $C$9, 100%, $E$9)</f>
        <v>11.2166</v>
      </c>
      <c r="L554" s="9">
        <f>7.99 * CHOOSE(CONTROL!$C$32, $C$9, 100%, $E$9)</f>
        <v>7.99</v>
      </c>
      <c r="M554" s="9">
        <f>7.9932 * CHOOSE(CONTROL!$C$32, $C$9, 100%, $E$9)</f>
        <v>7.9931999999999999</v>
      </c>
      <c r="N554" s="9">
        <f>7.99 * CHOOSE(CONTROL!$C$32, $C$9, 100%, $E$9)</f>
        <v>7.99</v>
      </c>
      <c r="O554" s="9">
        <f>7.9932 * CHOOSE(CONTROL!$C$32, $C$9, 100%, $E$9)</f>
        <v>7.9931999999999999</v>
      </c>
    </row>
    <row r="555" spans="1:15" ht="15.75" x14ac:dyDescent="0.25">
      <c r="A555" s="13">
        <v>57769</v>
      </c>
      <c r="B555" s="10">
        <f>9.3538 * CHOOSE(CONTROL!$C$32, $C$9, 100%, $E$9)</f>
        <v>9.3537999999999997</v>
      </c>
      <c r="C555" s="10">
        <f>9.3538 * CHOOSE(CONTROL!$C$32, $C$9, 100%, $E$9)</f>
        <v>9.3537999999999997</v>
      </c>
      <c r="D555" s="10">
        <f>9.3547 * CHOOSE(CONTROL!$C$32, $C$9, 100%, $E$9)</f>
        <v>9.3546999999999993</v>
      </c>
      <c r="E555" s="9">
        <f>7.8039 * CHOOSE(CONTROL!$C$32, $C$9, 100%, $E$9)</f>
        <v>7.8038999999999996</v>
      </c>
      <c r="F555" s="9">
        <f>7.8039 * CHOOSE(CONTROL!$C$32, $C$9, 100%, $E$9)</f>
        <v>7.8038999999999996</v>
      </c>
      <c r="G555" s="9">
        <f>7.8071 * CHOOSE(CONTROL!$C$32, $C$9, 100%, $E$9)</f>
        <v>7.8071000000000002</v>
      </c>
      <c r="H555" s="9">
        <f>11.2114 * CHOOSE(CONTROL!$C$32, $C$9, 100%, $E$9)</f>
        <v>11.211399999999999</v>
      </c>
      <c r="I555" s="9">
        <f>11.2146 * CHOOSE(CONTROL!$C$32, $C$9, 100%, $E$9)</f>
        <v>11.214600000000001</v>
      </c>
      <c r="J555" s="9">
        <f>11.2114 * CHOOSE(CONTROL!$C$32, $C$9, 100%, $E$9)</f>
        <v>11.211399999999999</v>
      </c>
      <c r="K555" s="9">
        <f>11.2146 * CHOOSE(CONTROL!$C$32, $C$9, 100%, $E$9)</f>
        <v>11.214600000000001</v>
      </c>
      <c r="L555" s="9">
        <f>7.8039 * CHOOSE(CONTROL!$C$32, $C$9, 100%, $E$9)</f>
        <v>7.8038999999999996</v>
      </c>
      <c r="M555" s="9">
        <f>7.8071 * CHOOSE(CONTROL!$C$32, $C$9, 100%, $E$9)</f>
        <v>7.8071000000000002</v>
      </c>
      <c r="N555" s="9">
        <f>7.8039 * CHOOSE(CONTROL!$C$32, $C$9, 100%, $E$9)</f>
        <v>7.8038999999999996</v>
      </c>
      <c r="O555" s="9">
        <f>7.8071 * CHOOSE(CONTROL!$C$32, $C$9, 100%, $E$9)</f>
        <v>7.8071000000000002</v>
      </c>
    </row>
    <row r="556" spans="1:15" ht="15.75" x14ac:dyDescent="0.25">
      <c r="A556" s="13">
        <v>57800</v>
      </c>
      <c r="B556" s="10">
        <f>9.3508 * CHOOSE(CONTROL!$C$32, $C$9, 100%, $E$9)</f>
        <v>9.3507999999999996</v>
      </c>
      <c r="C556" s="10">
        <f>9.3508 * CHOOSE(CONTROL!$C$32, $C$9, 100%, $E$9)</f>
        <v>9.3507999999999996</v>
      </c>
      <c r="D556" s="10">
        <f>9.3517 * CHOOSE(CONTROL!$C$32, $C$9, 100%, $E$9)</f>
        <v>9.3516999999999992</v>
      </c>
      <c r="E556" s="9">
        <f>7.9468 * CHOOSE(CONTROL!$C$32, $C$9, 100%, $E$9)</f>
        <v>7.9467999999999996</v>
      </c>
      <c r="F556" s="9">
        <f>7.9468 * CHOOSE(CONTROL!$C$32, $C$9, 100%, $E$9)</f>
        <v>7.9467999999999996</v>
      </c>
      <c r="G556" s="9">
        <f>7.95 * CHOOSE(CONTROL!$C$32, $C$9, 100%, $E$9)</f>
        <v>7.95</v>
      </c>
      <c r="H556" s="9">
        <f>11.2094 * CHOOSE(CONTROL!$C$32, $C$9, 100%, $E$9)</f>
        <v>11.2094</v>
      </c>
      <c r="I556" s="9">
        <f>11.2126 * CHOOSE(CONTROL!$C$32, $C$9, 100%, $E$9)</f>
        <v>11.2126</v>
      </c>
      <c r="J556" s="9">
        <f>11.2094 * CHOOSE(CONTROL!$C$32, $C$9, 100%, $E$9)</f>
        <v>11.2094</v>
      </c>
      <c r="K556" s="9">
        <f>11.2126 * CHOOSE(CONTROL!$C$32, $C$9, 100%, $E$9)</f>
        <v>11.2126</v>
      </c>
      <c r="L556" s="9">
        <f>7.9468 * CHOOSE(CONTROL!$C$32, $C$9, 100%, $E$9)</f>
        <v>7.9467999999999996</v>
      </c>
      <c r="M556" s="9">
        <f>7.95 * CHOOSE(CONTROL!$C$32, $C$9, 100%, $E$9)</f>
        <v>7.95</v>
      </c>
      <c r="N556" s="9">
        <f>7.9468 * CHOOSE(CONTROL!$C$32, $C$9, 100%, $E$9)</f>
        <v>7.9467999999999996</v>
      </c>
      <c r="O556" s="9">
        <f>7.95 * CHOOSE(CONTROL!$C$32, $C$9, 100%, $E$9)</f>
        <v>7.95</v>
      </c>
    </row>
    <row r="557" spans="1:15" ht="15.75" x14ac:dyDescent="0.25">
      <c r="A557" s="13">
        <v>57830</v>
      </c>
      <c r="B557" s="10">
        <f>9.3539 * CHOOSE(CONTROL!$C$32, $C$9, 100%, $E$9)</f>
        <v>9.3538999999999994</v>
      </c>
      <c r="C557" s="10">
        <f>9.3539 * CHOOSE(CONTROL!$C$32, $C$9, 100%, $E$9)</f>
        <v>9.3538999999999994</v>
      </c>
      <c r="D557" s="10">
        <f>9.3549 * CHOOSE(CONTROL!$C$32, $C$9, 100%, $E$9)</f>
        <v>9.3549000000000007</v>
      </c>
      <c r="E557" s="9">
        <f>8.0983 * CHOOSE(CONTROL!$C$32, $C$9, 100%, $E$9)</f>
        <v>8.0983000000000001</v>
      </c>
      <c r="F557" s="9">
        <f>8.0983 * CHOOSE(CONTROL!$C$32, $C$9, 100%, $E$9)</f>
        <v>8.0983000000000001</v>
      </c>
      <c r="G557" s="9">
        <f>8.1015 * CHOOSE(CONTROL!$C$32, $C$9, 100%, $E$9)</f>
        <v>8.1014999999999997</v>
      </c>
      <c r="H557" s="9">
        <f>11.2111 * CHOOSE(CONTROL!$C$32, $C$9, 100%, $E$9)</f>
        <v>11.2111</v>
      </c>
      <c r="I557" s="9">
        <f>11.2143 * CHOOSE(CONTROL!$C$32, $C$9, 100%, $E$9)</f>
        <v>11.2143</v>
      </c>
      <c r="J557" s="9">
        <f>11.2111 * CHOOSE(CONTROL!$C$32, $C$9, 100%, $E$9)</f>
        <v>11.2111</v>
      </c>
      <c r="K557" s="9">
        <f>11.2143 * CHOOSE(CONTROL!$C$32, $C$9, 100%, $E$9)</f>
        <v>11.2143</v>
      </c>
      <c r="L557" s="9">
        <f>8.0983 * CHOOSE(CONTROL!$C$32, $C$9, 100%, $E$9)</f>
        <v>8.0983000000000001</v>
      </c>
      <c r="M557" s="9">
        <f>8.1015 * CHOOSE(CONTROL!$C$32, $C$9, 100%, $E$9)</f>
        <v>8.1014999999999997</v>
      </c>
      <c r="N557" s="9">
        <f>8.0983 * CHOOSE(CONTROL!$C$32, $C$9, 100%, $E$9)</f>
        <v>8.0983000000000001</v>
      </c>
      <c r="O557" s="9">
        <f>8.1015 * CHOOSE(CONTROL!$C$32, $C$9, 100%, $E$9)</f>
        <v>8.1014999999999997</v>
      </c>
    </row>
    <row r="558" spans="1:15" ht="15.75" x14ac:dyDescent="0.25">
      <c r="A558" s="13">
        <v>57861</v>
      </c>
      <c r="B558" s="10">
        <f>9.3539 * CHOOSE(CONTROL!$C$32, $C$9, 100%, $E$9)</f>
        <v>9.3538999999999994</v>
      </c>
      <c r="C558" s="10">
        <f>9.3539 * CHOOSE(CONTROL!$C$32, $C$9, 100%, $E$9)</f>
        <v>9.3538999999999994</v>
      </c>
      <c r="D558" s="10">
        <f>9.3552 * CHOOSE(CONTROL!$C$32, $C$9, 100%, $E$9)</f>
        <v>9.3552</v>
      </c>
      <c r="E558" s="9">
        <f>8.1567 * CHOOSE(CONTROL!$C$32, $C$9, 100%, $E$9)</f>
        <v>8.1567000000000007</v>
      </c>
      <c r="F558" s="9">
        <f>8.1567 * CHOOSE(CONTROL!$C$32, $C$9, 100%, $E$9)</f>
        <v>8.1567000000000007</v>
      </c>
      <c r="G558" s="9">
        <f>8.1609 * CHOOSE(CONTROL!$C$32, $C$9, 100%, $E$9)</f>
        <v>8.1608999999999998</v>
      </c>
      <c r="H558" s="9">
        <f>11.2111 * CHOOSE(CONTROL!$C$32, $C$9, 100%, $E$9)</f>
        <v>11.2111</v>
      </c>
      <c r="I558" s="9">
        <f>11.2153 * CHOOSE(CONTROL!$C$32, $C$9, 100%, $E$9)</f>
        <v>11.215299999999999</v>
      </c>
      <c r="J558" s="9">
        <f>11.2111 * CHOOSE(CONTROL!$C$32, $C$9, 100%, $E$9)</f>
        <v>11.2111</v>
      </c>
      <c r="K558" s="9">
        <f>11.2153 * CHOOSE(CONTROL!$C$32, $C$9, 100%, $E$9)</f>
        <v>11.215299999999999</v>
      </c>
      <c r="L558" s="9">
        <f>8.1567 * CHOOSE(CONTROL!$C$32, $C$9, 100%, $E$9)</f>
        <v>8.1567000000000007</v>
      </c>
      <c r="M558" s="9">
        <f>8.1609 * CHOOSE(CONTROL!$C$32, $C$9, 100%, $E$9)</f>
        <v>8.1608999999999998</v>
      </c>
      <c r="N558" s="9">
        <f>8.1567 * CHOOSE(CONTROL!$C$32, $C$9, 100%, $E$9)</f>
        <v>8.1567000000000007</v>
      </c>
      <c r="O558" s="9">
        <f>8.1609 * CHOOSE(CONTROL!$C$32, $C$9, 100%, $E$9)</f>
        <v>8.1608999999999998</v>
      </c>
    </row>
    <row r="559" spans="1:15" ht="15.75" x14ac:dyDescent="0.25">
      <c r="A559" s="13">
        <v>57891</v>
      </c>
      <c r="B559" s="10">
        <f>9.36 * CHOOSE(CONTROL!$C$32, $C$9, 100%, $E$9)</f>
        <v>9.36</v>
      </c>
      <c r="C559" s="10">
        <f>9.36 * CHOOSE(CONTROL!$C$32, $C$9, 100%, $E$9)</f>
        <v>9.36</v>
      </c>
      <c r="D559" s="10">
        <f>9.3612 * CHOOSE(CONTROL!$C$32, $C$9, 100%, $E$9)</f>
        <v>9.3612000000000002</v>
      </c>
      <c r="E559" s="9">
        <f>8.1025 * CHOOSE(CONTROL!$C$32, $C$9, 100%, $E$9)</f>
        <v>8.1024999999999991</v>
      </c>
      <c r="F559" s="9">
        <f>8.1025 * CHOOSE(CONTROL!$C$32, $C$9, 100%, $E$9)</f>
        <v>8.1024999999999991</v>
      </c>
      <c r="G559" s="9">
        <f>8.1067 * CHOOSE(CONTROL!$C$32, $C$9, 100%, $E$9)</f>
        <v>8.1067</v>
      </c>
      <c r="H559" s="9">
        <f>11.2151 * CHOOSE(CONTROL!$C$32, $C$9, 100%, $E$9)</f>
        <v>11.2151</v>
      </c>
      <c r="I559" s="9">
        <f>11.2193 * CHOOSE(CONTROL!$C$32, $C$9, 100%, $E$9)</f>
        <v>11.2193</v>
      </c>
      <c r="J559" s="9">
        <f>11.2151 * CHOOSE(CONTROL!$C$32, $C$9, 100%, $E$9)</f>
        <v>11.2151</v>
      </c>
      <c r="K559" s="9">
        <f>11.2193 * CHOOSE(CONTROL!$C$32, $C$9, 100%, $E$9)</f>
        <v>11.2193</v>
      </c>
      <c r="L559" s="9">
        <f>8.1025 * CHOOSE(CONTROL!$C$32, $C$9, 100%, $E$9)</f>
        <v>8.1024999999999991</v>
      </c>
      <c r="M559" s="9">
        <f>8.1067 * CHOOSE(CONTROL!$C$32, $C$9, 100%, $E$9)</f>
        <v>8.1067</v>
      </c>
      <c r="N559" s="9">
        <f>8.1025 * CHOOSE(CONTROL!$C$32, $C$9, 100%, $E$9)</f>
        <v>8.1024999999999991</v>
      </c>
      <c r="O559" s="9">
        <f>8.1067 * CHOOSE(CONTROL!$C$32, $C$9, 100%, $E$9)</f>
        <v>8.1067</v>
      </c>
    </row>
    <row r="560" spans="1:15" ht="15.75" x14ac:dyDescent="0.25">
      <c r="A560" s="13">
        <v>57922</v>
      </c>
      <c r="B560" s="10">
        <f>9.4919 * CHOOSE(CONTROL!$C$32, $C$9, 100%, $E$9)</f>
        <v>9.4918999999999993</v>
      </c>
      <c r="C560" s="10">
        <f>9.4919 * CHOOSE(CONTROL!$C$32, $C$9, 100%, $E$9)</f>
        <v>9.4918999999999993</v>
      </c>
      <c r="D560" s="10">
        <f>9.4931 * CHOOSE(CONTROL!$C$32, $C$9, 100%, $E$9)</f>
        <v>9.4931000000000001</v>
      </c>
      <c r="E560" s="9">
        <f>8.1963 * CHOOSE(CONTROL!$C$32, $C$9, 100%, $E$9)</f>
        <v>8.1963000000000008</v>
      </c>
      <c r="F560" s="9">
        <f>8.1963 * CHOOSE(CONTROL!$C$32, $C$9, 100%, $E$9)</f>
        <v>8.1963000000000008</v>
      </c>
      <c r="G560" s="9">
        <f>8.2005 * CHOOSE(CONTROL!$C$32, $C$9, 100%, $E$9)</f>
        <v>8.2004999999999999</v>
      </c>
      <c r="H560" s="9">
        <f>11.3825 * CHOOSE(CONTROL!$C$32, $C$9, 100%, $E$9)</f>
        <v>11.3825</v>
      </c>
      <c r="I560" s="9">
        <f>11.3867 * CHOOSE(CONTROL!$C$32, $C$9, 100%, $E$9)</f>
        <v>11.386699999999999</v>
      </c>
      <c r="J560" s="9">
        <f>11.3825 * CHOOSE(CONTROL!$C$32, $C$9, 100%, $E$9)</f>
        <v>11.3825</v>
      </c>
      <c r="K560" s="9">
        <f>11.3867 * CHOOSE(CONTROL!$C$32, $C$9, 100%, $E$9)</f>
        <v>11.386699999999999</v>
      </c>
      <c r="L560" s="9">
        <f>8.1963 * CHOOSE(CONTROL!$C$32, $C$9, 100%, $E$9)</f>
        <v>8.1963000000000008</v>
      </c>
      <c r="M560" s="9">
        <f>8.2005 * CHOOSE(CONTROL!$C$32, $C$9, 100%, $E$9)</f>
        <v>8.2004999999999999</v>
      </c>
      <c r="N560" s="9">
        <f>8.1963 * CHOOSE(CONTROL!$C$32, $C$9, 100%, $E$9)</f>
        <v>8.1963000000000008</v>
      </c>
      <c r="O560" s="9">
        <f>8.2005 * CHOOSE(CONTROL!$C$32, $C$9, 100%, $E$9)</f>
        <v>8.2004999999999999</v>
      </c>
    </row>
    <row r="561" spans="1:15" ht="15.75" x14ac:dyDescent="0.25">
      <c r="A561" s="13">
        <v>57953</v>
      </c>
      <c r="B561" s="10">
        <f>9.4986 * CHOOSE(CONTROL!$C$32, $C$9, 100%, $E$9)</f>
        <v>9.4985999999999997</v>
      </c>
      <c r="C561" s="10">
        <f>9.4986 * CHOOSE(CONTROL!$C$32, $C$9, 100%, $E$9)</f>
        <v>9.4985999999999997</v>
      </c>
      <c r="D561" s="10">
        <f>9.4998 * CHOOSE(CONTROL!$C$32, $C$9, 100%, $E$9)</f>
        <v>9.4998000000000005</v>
      </c>
      <c r="E561" s="9">
        <f>8.0258 * CHOOSE(CONTROL!$C$32, $C$9, 100%, $E$9)</f>
        <v>8.0258000000000003</v>
      </c>
      <c r="F561" s="9">
        <f>8.0258 * CHOOSE(CONTROL!$C$32, $C$9, 100%, $E$9)</f>
        <v>8.0258000000000003</v>
      </c>
      <c r="G561" s="9">
        <f>8.03 * CHOOSE(CONTROL!$C$32, $C$9, 100%, $E$9)</f>
        <v>8.0299999999999994</v>
      </c>
      <c r="H561" s="9">
        <f>11.3869 * CHOOSE(CONTROL!$C$32, $C$9, 100%, $E$9)</f>
        <v>11.386900000000001</v>
      </c>
      <c r="I561" s="9">
        <f>11.3911 * CHOOSE(CONTROL!$C$32, $C$9, 100%, $E$9)</f>
        <v>11.3911</v>
      </c>
      <c r="J561" s="9">
        <f>11.3869 * CHOOSE(CONTROL!$C$32, $C$9, 100%, $E$9)</f>
        <v>11.386900000000001</v>
      </c>
      <c r="K561" s="9">
        <f>11.3911 * CHOOSE(CONTROL!$C$32, $C$9, 100%, $E$9)</f>
        <v>11.3911</v>
      </c>
      <c r="L561" s="9">
        <f>8.0258 * CHOOSE(CONTROL!$C$32, $C$9, 100%, $E$9)</f>
        <v>8.0258000000000003</v>
      </c>
      <c r="M561" s="9">
        <f>8.03 * CHOOSE(CONTROL!$C$32, $C$9, 100%, $E$9)</f>
        <v>8.0299999999999994</v>
      </c>
      <c r="N561" s="9">
        <f>8.0258 * CHOOSE(CONTROL!$C$32, $C$9, 100%, $E$9)</f>
        <v>8.0258000000000003</v>
      </c>
      <c r="O561" s="9">
        <f>8.03 * CHOOSE(CONTROL!$C$32, $C$9, 100%, $E$9)</f>
        <v>8.0299999999999994</v>
      </c>
    </row>
    <row r="562" spans="1:15" ht="15.75" x14ac:dyDescent="0.25">
      <c r="A562" s="13">
        <v>57983</v>
      </c>
      <c r="B562" s="10">
        <f>9.4955 * CHOOSE(CONTROL!$C$32, $C$9, 100%, $E$9)</f>
        <v>9.4954999999999998</v>
      </c>
      <c r="C562" s="10">
        <f>9.4955 * CHOOSE(CONTROL!$C$32, $C$9, 100%, $E$9)</f>
        <v>9.4954999999999998</v>
      </c>
      <c r="D562" s="10">
        <f>9.4968 * CHOOSE(CONTROL!$C$32, $C$9, 100%, $E$9)</f>
        <v>9.4968000000000004</v>
      </c>
      <c r="E562" s="9">
        <f>8.0042 * CHOOSE(CONTROL!$C$32, $C$9, 100%, $E$9)</f>
        <v>8.0042000000000009</v>
      </c>
      <c r="F562" s="9">
        <f>8.0042 * CHOOSE(CONTROL!$C$32, $C$9, 100%, $E$9)</f>
        <v>8.0042000000000009</v>
      </c>
      <c r="G562" s="9">
        <f>8.0084 * CHOOSE(CONTROL!$C$32, $C$9, 100%, $E$9)</f>
        <v>8.0084</v>
      </c>
      <c r="H562" s="9">
        <f>11.3849 * CHOOSE(CONTROL!$C$32, $C$9, 100%, $E$9)</f>
        <v>11.3849</v>
      </c>
      <c r="I562" s="9">
        <f>11.3891 * CHOOSE(CONTROL!$C$32, $C$9, 100%, $E$9)</f>
        <v>11.389099999999999</v>
      </c>
      <c r="J562" s="9">
        <f>11.3849 * CHOOSE(CONTROL!$C$32, $C$9, 100%, $E$9)</f>
        <v>11.3849</v>
      </c>
      <c r="K562" s="9">
        <f>11.3891 * CHOOSE(CONTROL!$C$32, $C$9, 100%, $E$9)</f>
        <v>11.389099999999999</v>
      </c>
      <c r="L562" s="9">
        <f>8.0042 * CHOOSE(CONTROL!$C$32, $C$9, 100%, $E$9)</f>
        <v>8.0042000000000009</v>
      </c>
      <c r="M562" s="9">
        <f>8.0084 * CHOOSE(CONTROL!$C$32, $C$9, 100%, $E$9)</f>
        <v>8.0084</v>
      </c>
      <c r="N562" s="9">
        <f>8.0042 * CHOOSE(CONTROL!$C$32, $C$9, 100%, $E$9)</f>
        <v>8.0042000000000009</v>
      </c>
      <c r="O562" s="9">
        <f>8.0084 * CHOOSE(CONTROL!$C$32, $C$9, 100%, $E$9)</f>
        <v>8.0084</v>
      </c>
    </row>
    <row r="563" spans="1:15" ht="15.75" x14ac:dyDescent="0.25">
      <c r="A563" s="13">
        <v>58014</v>
      </c>
      <c r="B563" s="10">
        <f>9.5123 * CHOOSE(CONTROL!$C$32, $C$9, 100%, $E$9)</f>
        <v>9.5122999999999998</v>
      </c>
      <c r="C563" s="10">
        <f>9.5123 * CHOOSE(CONTROL!$C$32, $C$9, 100%, $E$9)</f>
        <v>9.5122999999999998</v>
      </c>
      <c r="D563" s="10">
        <f>9.5133 * CHOOSE(CONTROL!$C$32, $C$9, 100%, $E$9)</f>
        <v>9.5132999999999992</v>
      </c>
      <c r="E563" s="9">
        <f>8.0687 * CHOOSE(CONTROL!$C$32, $C$9, 100%, $E$9)</f>
        <v>8.0686999999999998</v>
      </c>
      <c r="F563" s="9">
        <f>8.0687 * CHOOSE(CONTROL!$C$32, $C$9, 100%, $E$9)</f>
        <v>8.0686999999999998</v>
      </c>
      <c r="G563" s="9">
        <f>8.0719 * CHOOSE(CONTROL!$C$32, $C$9, 100%, $E$9)</f>
        <v>8.0718999999999994</v>
      </c>
      <c r="H563" s="9">
        <f>11.3946 * CHOOSE(CONTROL!$C$32, $C$9, 100%, $E$9)</f>
        <v>11.394600000000001</v>
      </c>
      <c r="I563" s="9">
        <f>11.3979 * CHOOSE(CONTROL!$C$32, $C$9, 100%, $E$9)</f>
        <v>11.3979</v>
      </c>
      <c r="J563" s="9">
        <f>11.3946 * CHOOSE(CONTROL!$C$32, $C$9, 100%, $E$9)</f>
        <v>11.394600000000001</v>
      </c>
      <c r="K563" s="9">
        <f>11.3979 * CHOOSE(CONTROL!$C$32, $C$9, 100%, $E$9)</f>
        <v>11.3979</v>
      </c>
      <c r="L563" s="9">
        <f>8.0687 * CHOOSE(CONTROL!$C$32, $C$9, 100%, $E$9)</f>
        <v>8.0686999999999998</v>
      </c>
      <c r="M563" s="9">
        <f>8.0719 * CHOOSE(CONTROL!$C$32, $C$9, 100%, $E$9)</f>
        <v>8.0718999999999994</v>
      </c>
      <c r="N563" s="9">
        <f>8.0687 * CHOOSE(CONTROL!$C$32, $C$9, 100%, $E$9)</f>
        <v>8.0686999999999998</v>
      </c>
      <c r="O563" s="9">
        <f>8.0719 * CHOOSE(CONTROL!$C$32, $C$9, 100%, $E$9)</f>
        <v>8.0718999999999994</v>
      </c>
    </row>
    <row r="564" spans="1:15" ht="15.75" x14ac:dyDescent="0.25">
      <c r="A564" s="13">
        <v>58044</v>
      </c>
      <c r="B564" s="10">
        <f>9.5154 * CHOOSE(CONTROL!$C$32, $C$9, 100%, $E$9)</f>
        <v>9.5153999999999996</v>
      </c>
      <c r="C564" s="10">
        <f>9.5154 * CHOOSE(CONTROL!$C$32, $C$9, 100%, $E$9)</f>
        <v>9.5153999999999996</v>
      </c>
      <c r="D564" s="10">
        <f>9.5163 * CHOOSE(CONTROL!$C$32, $C$9, 100%, $E$9)</f>
        <v>9.5162999999999993</v>
      </c>
      <c r="E564" s="9">
        <f>8.1097 * CHOOSE(CONTROL!$C$32, $C$9, 100%, $E$9)</f>
        <v>8.1097000000000001</v>
      </c>
      <c r="F564" s="9">
        <f>8.1097 * CHOOSE(CONTROL!$C$32, $C$9, 100%, $E$9)</f>
        <v>8.1097000000000001</v>
      </c>
      <c r="G564" s="9">
        <f>8.1129 * CHOOSE(CONTROL!$C$32, $C$9, 100%, $E$9)</f>
        <v>8.1128999999999998</v>
      </c>
      <c r="H564" s="9">
        <f>11.3966 * CHOOSE(CONTROL!$C$32, $C$9, 100%, $E$9)</f>
        <v>11.396599999999999</v>
      </c>
      <c r="I564" s="9">
        <f>11.3999 * CHOOSE(CONTROL!$C$32, $C$9, 100%, $E$9)</f>
        <v>11.399900000000001</v>
      </c>
      <c r="J564" s="9">
        <f>11.3966 * CHOOSE(CONTROL!$C$32, $C$9, 100%, $E$9)</f>
        <v>11.396599999999999</v>
      </c>
      <c r="K564" s="9">
        <f>11.3999 * CHOOSE(CONTROL!$C$32, $C$9, 100%, $E$9)</f>
        <v>11.399900000000001</v>
      </c>
      <c r="L564" s="9">
        <f>8.1097 * CHOOSE(CONTROL!$C$32, $C$9, 100%, $E$9)</f>
        <v>8.1097000000000001</v>
      </c>
      <c r="M564" s="9">
        <f>8.1129 * CHOOSE(CONTROL!$C$32, $C$9, 100%, $E$9)</f>
        <v>8.1128999999999998</v>
      </c>
      <c r="N564" s="9">
        <f>8.1097 * CHOOSE(CONTROL!$C$32, $C$9, 100%, $E$9)</f>
        <v>8.1097000000000001</v>
      </c>
      <c r="O564" s="9">
        <f>8.1129 * CHOOSE(CONTROL!$C$32, $C$9, 100%, $E$9)</f>
        <v>8.1128999999999998</v>
      </c>
    </row>
    <row r="565" spans="1:15" ht="15.75" x14ac:dyDescent="0.25">
      <c r="A565" s="13">
        <v>58075</v>
      </c>
      <c r="B565" s="10">
        <f>9.5154 * CHOOSE(CONTROL!$C$32, $C$9, 100%, $E$9)</f>
        <v>9.5153999999999996</v>
      </c>
      <c r="C565" s="10">
        <f>9.5154 * CHOOSE(CONTROL!$C$32, $C$9, 100%, $E$9)</f>
        <v>9.5153999999999996</v>
      </c>
      <c r="D565" s="10">
        <f>9.5163 * CHOOSE(CONTROL!$C$32, $C$9, 100%, $E$9)</f>
        <v>9.5162999999999993</v>
      </c>
      <c r="E565" s="9">
        <f>8.0124 * CHOOSE(CONTROL!$C$32, $C$9, 100%, $E$9)</f>
        <v>8.0123999999999995</v>
      </c>
      <c r="F565" s="9">
        <f>8.0124 * CHOOSE(CONTROL!$C$32, $C$9, 100%, $E$9)</f>
        <v>8.0123999999999995</v>
      </c>
      <c r="G565" s="9">
        <f>8.0156 * CHOOSE(CONTROL!$C$32, $C$9, 100%, $E$9)</f>
        <v>8.0155999999999992</v>
      </c>
      <c r="H565" s="9">
        <f>11.3966 * CHOOSE(CONTROL!$C$32, $C$9, 100%, $E$9)</f>
        <v>11.396599999999999</v>
      </c>
      <c r="I565" s="9">
        <f>11.3999 * CHOOSE(CONTROL!$C$32, $C$9, 100%, $E$9)</f>
        <v>11.399900000000001</v>
      </c>
      <c r="J565" s="9">
        <f>11.3966 * CHOOSE(CONTROL!$C$32, $C$9, 100%, $E$9)</f>
        <v>11.396599999999999</v>
      </c>
      <c r="K565" s="9">
        <f>11.3999 * CHOOSE(CONTROL!$C$32, $C$9, 100%, $E$9)</f>
        <v>11.399900000000001</v>
      </c>
      <c r="L565" s="9">
        <f>8.0124 * CHOOSE(CONTROL!$C$32, $C$9, 100%, $E$9)</f>
        <v>8.0123999999999995</v>
      </c>
      <c r="M565" s="9">
        <f>8.0156 * CHOOSE(CONTROL!$C$32, $C$9, 100%, $E$9)</f>
        <v>8.0155999999999992</v>
      </c>
      <c r="N565" s="9">
        <f>8.0124 * CHOOSE(CONTROL!$C$32, $C$9, 100%, $E$9)</f>
        <v>8.0123999999999995</v>
      </c>
      <c r="O565" s="9">
        <f>8.0156 * CHOOSE(CONTROL!$C$32, $C$9, 100%, $E$9)</f>
        <v>8.0155999999999992</v>
      </c>
    </row>
    <row r="566" spans="1:15" ht="15.75" x14ac:dyDescent="0.25">
      <c r="A566" s="13">
        <v>58106</v>
      </c>
      <c r="B566" s="10">
        <f>9.5936 * CHOOSE(CONTROL!$C$32, $C$9, 100%, $E$9)</f>
        <v>9.5936000000000003</v>
      </c>
      <c r="C566" s="10">
        <f>9.5936 * CHOOSE(CONTROL!$C$32, $C$9, 100%, $E$9)</f>
        <v>9.5936000000000003</v>
      </c>
      <c r="D566" s="10">
        <f>9.5945 * CHOOSE(CONTROL!$C$32, $C$9, 100%, $E$9)</f>
        <v>9.5945</v>
      </c>
      <c r="E566" s="9">
        <f>8.1393 * CHOOSE(CONTROL!$C$32, $C$9, 100%, $E$9)</f>
        <v>8.1393000000000004</v>
      </c>
      <c r="F566" s="9">
        <f>8.1393 * CHOOSE(CONTROL!$C$32, $C$9, 100%, $E$9)</f>
        <v>8.1393000000000004</v>
      </c>
      <c r="G566" s="9">
        <f>8.1425 * CHOOSE(CONTROL!$C$32, $C$9, 100%, $E$9)</f>
        <v>8.1425000000000001</v>
      </c>
      <c r="H566" s="9">
        <f>11.4809 * CHOOSE(CONTROL!$C$32, $C$9, 100%, $E$9)</f>
        <v>11.4809</v>
      </c>
      <c r="I566" s="9">
        <f>11.4842 * CHOOSE(CONTROL!$C$32, $C$9, 100%, $E$9)</f>
        <v>11.4842</v>
      </c>
      <c r="J566" s="9">
        <f>11.4809 * CHOOSE(CONTROL!$C$32, $C$9, 100%, $E$9)</f>
        <v>11.4809</v>
      </c>
      <c r="K566" s="9">
        <f>11.4842 * CHOOSE(CONTROL!$C$32, $C$9, 100%, $E$9)</f>
        <v>11.4842</v>
      </c>
      <c r="L566" s="9">
        <f>8.1393 * CHOOSE(CONTROL!$C$32, $C$9, 100%, $E$9)</f>
        <v>8.1393000000000004</v>
      </c>
      <c r="M566" s="9">
        <f>8.1425 * CHOOSE(CONTROL!$C$32, $C$9, 100%, $E$9)</f>
        <v>8.1425000000000001</v>
      </c>
      <c r="N566" s="9">
        <f>8.1393 * CHOOSE(CONTROL!$C$32, $C$9, 100%, $E$9)</f>
        <v>8.1393000000000004</v>
      </c>
      <c r="O566" s="9">
        <f>8.1425 * CHOOSE(CONTROL!$C$32, $C$9, 100%, $E$9)</f>
        <v>8.1425000000000001</v>
      </c>
    </row>
    <row r="567" spans="1:15" ht="15.75" x14ac:dyDescent="0.25">
      <c r="A567" s="13">
        <v>58134</v>
      </c>
      <c r="B567" s="10">
        <f>9.5905 * CHOOSE(CONTROL!$C$32, $C$9, 100%, $E$9)</f>
        <v>9.5905000000000005</v>
      </c>
      <c r="C567" s="10">
        <f>9.5905 * CHOOSE(CONTROL!$C$32, $C$9, 100%, $E$9)</f>
        <v>9.5905000000000005</v>
      </c>
      <c r="D567" s="10">
        <f>9.5915 * CHOOSE(CONTROL!$C$32, $C$9, 100%, $E$9)</f>
        <v>9.5914999999999999</v>
      </c>
      <c r="E567" s="9">
        <f>7.9477 * CHOOSE(CONTROL!$C$32, $C$9, 100%, $E$9)</f>
        <v>7.9477000000000002</v>
      </c>
      <c r="F567" s="9">
        <f>7.9477 * CHOOSE(CONTROL!$C$32, $C$9, 100%, $E$9)</f>
        <v>7.9477000000000002</v>
      </c>
      <c r="G567" s="9">
        <f>7.951 * CHOOSE(CONTROL!$C$32, $C$9, 100%, $E$9)</f>
        <v>7.9509999999999996</v>
      </c>
      <c r="H567" s="9">
        <f>11.4789 * CHOOSE(CONTROL!$C$32, $C$9, 100%, $E$9)</f>
        <v>11.478899999999999</v>
      </c>
      <c r="I567" s="9">
        <f>11.4822 * CHOOSE(CONTROL!$C$32, $C$9, 100%, $E$9)</f>
        <v>11.482200000000001</v>
      </c>
      <c r="J567" s="9">
        <f>11.4789 * CHOOSE(CONTROL!$C$32, $C$9, 100%, $E$9)</f>
        <v>11.478899999999999</v>
      </c>
      <c r="K567" s="9">
        <f>11.4822 * CHOOSE(CONTROL!$C$32, $C$9, 100%, $E$9)</f>
        <v>11.482200000000001</v>
      </c>
      <c r="L567" s="9">
        <f>7.9477 * CHOOSE(CONTROL!$C$32, $C$9, 100%, $E$9)</f>
        <v>7.9477000000000002</v>
      </c>
      <c r="M567" s="9">
        <f>7.951 * CHOOSE(CONTROL!$C$32, $C$9, 100%, $E$9)</f>
        <v>7.9509999999999996</v>
      </c>
      <c r="N567" s="9">
        <f>7.9477 * CHOOSE(CONTROL!$C$32, $C$9, 100%, $E$9)</f>
        <v>7.9477000000000002</v>
      </c>
      <c r="O567" s="9">
        <f>7.951 * CHOOSE(CONTROL!$C$32, $C$9, 100%, $E$9)</f>
        <v>7.9509999999999996</v>
      </c>
    </row>
    <row r="568" spans="1:15" ht="15.75" x14ac:dyDescent="0.25">
      <c r="A568" s="13">
        <v>58165</v>
      </c>
      <c r="B568" s="10">
        <f>9.5875 * CHOOSE(CONTROL!$C$32, $C$9, 100%, $E$9)</f>
        <v>9.5875000000000004</v>
      </c>
      <c r="C568" s="10">
        <f>9.5875 * CHOOSE(CONTROL!$C$32, $C$9, 100%, $E$9)</f>
        <v>9.5875000000000004</v>
      </c>
      <c r="D568" s="10">
        <f>9.5884 * CHOOSE(CONTROL!$C$32, $C$9, 100%, $E$9)</f>
        <v>9.5884</v>
      </c>
      <c r="E568" s="9">
        <f>8.095 * CHOOSE(CONTROL!$C$32, $C$9, 100%, $E$9)</f>
        <v>8.0950000000000006</v>
      </c>
      <c r="F568" s="9">
        <f>8.095 * CHOOSE(CONTROL!$C$32, $C$9, 100%, $E$9)</f>
        <v>8.0950000000000006</v>
      </c>
      <c r="G568" s="9">
        <f>8.0982 * CHOOSE(CONTROL!$C$32, $C$9, 100%, $E$9)</f>
        <v>8.0982000000000003</v>
      </c>
      <c r="H568" s="9">
        <f>11.4769 * CHOOSE(CONTROL!$C$32, $C$9, 100%, $E$9)</f>
        <v>11.476900000000001</v>
      </c>
      <c r="I568" s="9">
        <f>11.4802 * CHOOSE(CONTROL!$C$32, $C$9, 100%, $E$9)</f>
        <v>11.4802</v>
      </c>
      <c r="J568" s="9">
        <f>11.4769 * CHOOSE(CONTROL!$C$32, $C$9, 100%, $E$9)</f>
        <v>11.476900000000001</v>
      </c>
      <c r="K568" s="9">
        <f>11.4802 * CHOOSE(CONTROL!$C$32, $C$9, 100%, $E$9)</f>
        <v>11.4802</v>
      </c>
      <c r="L568" s="9">
        <f>8.095 * CHOOSE(CONTROL!$C$32, $C$9, 100%, $E$9)</f>
        <v>8.0950000000000006</v>
      </c>
      <c r="M568" s="9">
        <f>8.0982 * CHOOSE(CONTROL!$C$32, $C$9, 100%, $E$9)</f>
        <v>8.0982000000000003</v>
      </c>
      <c r="N568" s="9">
        <f>8.095 * CHOOSE(CONTROL!$C$32, $C$9, 100%, $E$9)</f>
        <v>8.0950000000000006</v>
      </c>
      <c r="O568" s="9">
        <f>8.0982 * CHOOSE(CONTROL!$C$32, $C$9, 100%, $E$9)</f>
        <v>8.0982000000000003</v>
      </c>
    </row>
    <row r="569" spans="1:15" ht="15.75" x14ac:dyDescent="0.25">
      <c r="A569" s="13">
        <v>58195</v>
      </c>
      <c r="B569" s="10">
        <f>9.5909 * CHOOSE(CONTROL!$C$32, $C$9, 100%, $E$9)</f>
        <v>9.5908999999999995</v>
      </c>
      <c r="C569" s="10">
        <f>9.5909 * CHOOSE(CONTROL!$C$32, $C$9, 100%, $E$9)</f>
        <v>9.5908999999999995</v>
      </c>
      <c r="D569" s="10">
        <f>9.5918 * CHOOSE(CONTROL!$C$32, $C$9, 100%, $E$9)</f>
        <v>9.5917999999999992</v>
      </c>
      <c r="E569" s="9">
        <f>8.2511 * CHOOSE(CONTROL!$C$32, $C$9, 100%, $E$9)</f>
        <v>8.2510999999999992</v>
      </c>
      <c r="F569" s="9">
        <f>8.2511 * CHOOSE(CONTROL!$C$32, $C$9, 100%, $E$9)</f>
        <v>8.2510999999999992</v>
      </c>
      <c r="G569" s="9">
        <f>8.2544 * CHOOSE(CONTROL!$C$32, $C$9, 100%, $E$9)</f>
        <v>8.2544000000000004</v>
      </c>
      <c r="H569" s="9">
        <f>11.4788 * CHOOSE(CONTROL!$C$32, $C$9, 100%, $E$9)</f>
        <v>11.4788</v>
      </c>
      <c r="I569" s="9">
        <f>11.482 * CHOOSE(CONTROL!$C$32, $C$9, 100%, $E$9)</f>
        <v>11.481999999999999</v>
      </c>
      <c r="J569" s="9">
        <f>11.4788 * CHOOSE(CONTROL!$C$32, $C$9, 100%, $E$9)</f>
        <v>11.4788</v>
      </c>
      <c r="K569" s="9">
        <f>11.482 * CHOOSE(CONTROL!$C$32, $C$9, 100%, $E$9)</f>
        <v>11.481999999999999</v>
      </c>
      <c r="L569" s="9">
        <f>8.2511 * CHOOSE(CONTROL!$C$32, $C$9, 100%, $E$9)</f>
        <v>8.2510999999999992</v>
      </c>
      <c r="M569" s="9">
        <f>8.2544 * CHOOSE(CONTROL!$C$32, $C$9, 100%, $E$9)</f>
        <v>8.2544000000000004</v>
      </c>
      <c r="N569" s="9">
        <f>8.2511 * CHOOSE(CONTROL!$C$32, $C$9, 100%, $E$9)</f>
        <v>8.2510999999999992</v>
      </c>
      <c r="O569" s="9">
        <f>8.2544 * CHOOSE(CONTROL!$C$32, $C$9, 100%, $E$9)</f>
        <v>8.2544000000000004</v>
      </c>
    </row>
    <row r="570" spans="1:15" ht="15.75" x14ac:dyDescent="0.25">
      <c r="A570" s="13">
        <v>58226</v>
      </c>
      <c r="B570" s="10">
        <f>9.5909 * CHOOSE(CONTROL!$C$32, $C$9, 100%, $E$9)</f>
        <v>9.5908999999999995</v>
      </c>
      <c r="C570" s="10">
        <f>9.5909 * CHOOSE(CONTROL!$C$32, $C$9, 100%, $E$9)</f>
        <v>9.5908999999999995</v>
      </c>
      <c r="D570" s="10">
        <f>9.5921 * CHOOSE(CONTROL!$C$32, $C$9, 100%, $E$9)</f>
        <v>9.5921000000000003</v>
      </c>
      <c r="E570" s="9">
        <f>8.3113 * CHOOSE(CONTROL!$C$32, $C$9, 100%, $E$9)</f>
        <v>8.3112999999999992</v>
      </c>
      <c r="F570" s="9">
        <f>8.3113 * CHOOSE(CONTROL!$C$32, $C$9, 100%, $E$9)</f>
        <v>8.3112999999999992</v>
      </c>
      <c r="G570" s="9">
        <f>8.3155 * CHOOSE(CONTROL!$C$32, $C$9, 100%, $E$9)</f>
        <v>8.3155000000000001</v>
      </c>
      <c r="H570" s="9">
        <f>11.4788 * CHOOSE(CONTROL!$C$32, $C$9, 100%, $E$9)</f>
        <v>11.4788</v>
      </c>
      <c r="I570" s="9">
        <f>11.483 * CHOOSE(CONTROL!$C$32, $C$9, 100%, $E$9)</f>
        <v>11.483000000000001</v>
      </c>
      <c r="J570" s="9">
        <f>11.4788 * CHOOSE(CONTROL!$C$32, $C$9, 100%, $E$9)</f>
        <v>11.4788</v>
      </c>
      <c r="K570" s="9">
        <f>11.483 * CHOOSE(CONTROL!$C$32, $C$9, 100%, $E$9)</f>
        <v>11.483000000000001</v>
      </c>
      <c r="L570" s="9">
        <f>8.3113 * CHOOSE(CONTROL!$C$32, $C$9, 100%, $E$9)</f>
        <v>8.3112999999999992</v>
      </c>
      <c r="M570" s="9">
        <f>8.3155 * CHOOSE(CONTROL!$C$32, $C$9, 100%, $E$9)</f>
        <v>8.3155000000000001</v>
      </c>
      <c r="N570" s="9">
        <f>8.3113 * CHOOSE(CONTROL!$C$32, $C$9, 100%, $E$9)</f>
        <v>8.3112999999999992</v>
      </c>
      <c r="O570" s="9">
        <f>8.3155 * CHOOSE(CONTROL!$C$32, $C$9, 100%, $E$9)</f>
        <v>8.3155000000000001</v>
      </c>
    </row>
    <row r="571" spans="1:15" ht="15.75" x14ac:dyDescent="0.25">
      <c r="A571" s="13">
        <v>58256</v>
      </c>
      <c r="B571" s="10">
        <f>9.597 * CHOOSE(CONTROL!$C$32, $C$9, 100%, $E$9)</f>
        <v>9.5969999999999995</v>
      </c>
      <c r="C571" s="10">
        <f>9.597 * CHOOSE(CONTROL!$C$32, $C$9, 100%, $E$9)</f>
        <v>9.5969999999999995</v>
      </c>
      <c r="D571" s="10">
        <f>9.5982 * CHOOSE(CONTROL!$C$32, $C$9, 100%, $E$9)</f>
        <v>9.5982000000000003</v>
      </c>
      <c r="E571" s="9">
        <f>8.2554 * CHOOSE(CONTROL!$C$32, $C$9, 100%, $E$9)</f>
        <v>8.2553999999999998</v>
      </c>
      <c r="F571" s="9">
        <f>8.2554 * CHOOSE(CONTROL!$C$32, $C$9, 100%, $E$9)</f>
        <v>8.2553999999999998</v>
      </c>
      <c r="G571" s="9">
        <f>8.2596 * CHOOSE(CONTROL!$C$32, $C$9, 100%, $E$9)</f>
        <v>8.2596000000000007</v>
      </c>
      <c r="H571" s="9">
        <f>11.4828 * CHOOSE(CONTROL!$C$32, $C$9, 100%, $E$9)</f>
        <v>11.482799999999999</v>
      </c>
      <c r="I571" s="9">
        <f>11.487 * CHOOSE(CONTROL!$C$32, $C$9, 100%, $E$9)</f>
        <v>11.487</v>
      </c>
      <c r="J571" s="9">
        <f>11.4828 * CHOOSE(CONTROL!$C$32, $C$9, 100%, $E$9)</f>
        <v>11.482799999999999</v>
      </c>
      <c r="K571" s="9">
        <f>11.487 * CHOOSE(CONTROL!$C$32, $C$9, 100%, $E$9)</f>
        <v>11.487</v>
      </c>
      <c r="L571" s="9">
        <f>8.2554 * CHOOSE(CONTROL!$C$32, $C$9, 100%, $E$9)</f>
        <v>8.2553999999999998</v>
      </c>
      <c r="M571" s="9">
        <f>8.2596 * CHOOSE(CONTROL!$C$32, $C$9, 100%, $E$9)</f>
        <v>8.2596000000000007</v>
      </c>
      <c r="N571" s="9">
        <f>8.2554 * CHOOSE(CONTROL!$C$32, $C$9, 100%, $E$9)</f>
        <v>8.2553999999999998</v>
      </c>
      <c r="O571" s="9">
        <f>8.2596 * CHOOSE(CONTROL!$C$32, $C$9, 100%, $E$9)</f>
        <v>8.2596000000000007</v>
      </c>
    </row>
    <row r="572" spans="1:15" ht="15.75" x14ac:dyDescent="0.25">
      <c r="A572" s="13">
        <v>58287</v>
      </c>
      <c r="B572" s="10">
        <f>9.7318 * CHOOSE(CONTROL!$C$32, $C$9, 100%, $E$9)</f>
        <v>9.7317999999999998</v>
      </c>
      <c r="C572" s="10">
        <f>9.7318 * CHOOSE(CONTROL!$C$32, $C$9, 100%, $E$9)</f>
        <v>9.7317999999999998</v>
      </c>
      <c r="D572" s="10">
        <f>9.7331 * CHOOSE(CONTROL!$C$32, $C$9, 100%, $E$9)</f>
        <v>9.7331000000000003</v>
      </c>
      <c r="E572" s="9">
        <f>8.3508 * CHOOSE(CONTROL!$C$32, $C$9, 100%, $E$9)</f>
        <v>8.3507999999999996</v>
      </c>
      <c r="F572" s="9">
        <f>8.3508 * CHOOSE(CONTROL!$C$32, $C$9, 100%, $E$9)</f>
        <v>8.3507999999999996</v>
      </c>
      <c r="G572" s="9">
        <f>8.355 * CHOOSE(CONTROL!$C$32, $C$9, 100%, $E$9)</f>
        <v>8.3550000000000004</v>
      </c>
      <c r="H572" s="9">
        <f>11.654 * CHOOSE(CONTROL!$C$32, $C$9, 100%, $E$9)</f>
        <v>11.654</v>
      </c>
      <c r="I572" s="9">
        <f>11.6582 * CHOOSE(CONTROL!$C$32, $C$9, 100%, $E$9)</f>
        <v>11.658200000000001</v>
      </c>
      <c r="J572" s="9">
        <f>11.654 * CHOOSE(CONTROL!$C$32, $C$9, 100%, $E$9)</f>
        <v>11.654</v>
      </c>
      <c r="K572" s="9">
        <f>11.6582 * CHOOSE(CONTROL!$C$32, $C$9, 100%, $E$9)</f>
        <v>11.658200000000001</v>
      </c>
      <c r="L572" s="9">
        <f>8.3508 * CHOOSE(CONTROL!$C$32, $C$9, 100%, $E$9)</f>
        <v>8.3507999999999996</v>
      </c>
      <c r="M572" s="9">
        <f>8.355 * CHOOSE(CONTROL!$C$32, $C$9, 100%, $E$9)</f>
        <v>8.3550000000000004</v>
      </c>
      <c r="N572" s="9">
        <f>8.3508 * CHOOSE(CONTROL!$C$32, $C$9, 100%, $E$9)</f>
        <v>8.3507999999999996</v>
      </c>
      <c r="O572" s="9">
        <f>8.355 * CHOOSE(CONTROL!$C$32, $C$9, 100%, $E$9)</f>
        <v>8.3550000000000004</v>
      </c>
    </row>
    <row r="573" spans="1:15" ht="15.75" x14ac:dyDescent="0.25">
      <c r="A573" s="13">
        <v>58318</v>
      </c>
      <c r="B573" s="10">
        <f>9.7385 * CHOOSE(CONTROL!$C$32, $C$9, 100%, $E$9)</f>
        <v>9.7385000000000002</v>
      </c>
      <c r="C573" s="10">
        <f>9.7385 * CHOOSE(CONTROL!$C$32, $C$9, 100%, $E$9)</f>
        <v>9.7385000000000002</v>
      </c>
      <c r="D573" s="10">
        <f>9.7397 * CHOOSE(CONTROL!$C$32, $C$9, 100%, $E$9)</f>
        <v>9.7396999999999991</v>
      </c>
      <c r="E573" s="9">
        <f>8.175 * CHOOSE(CONTROL!$C$32, $C$9, 100%, $E$9)</f>
        <v>8.1750000000000007</v>
      </c>
      <c r="F573" s="9">
        <f>8.175 * CHOOSE(CONTROL!$C$32, $C$9, 100%, $E$9)</f>
        <v>8.1750000000000007</v>
      </c>
      <c r="G573" s="9">
        <f>8.1792 * CHOOSE(CONTROL!$C$32, $C$9, 100%, $E$9)</f>
        <v>8.1791999999999998</v>
      </c>
      <c r="H573" s="9">
        <f>11.6584 * CHOOSE(CONTROL!$C$32, $C$9, 100%, $E$9)</f>
        <v>11.6584</v>
      </c>
      <c r="I573" s="9">
        <f>11.6626 * CHOOSE(CONTROL!$C$32, $C$9, 100%, $E$9)</f>
        <v>11.662599999999999</v>
      </c>
      <c r="J573" s="9">
        <f>11.6584 * CHOOSE(CONTROL!$C$32, $C$9, 100%, $E$9)</f>
        <v>11.6584</v>
      </c>
      <c r="K573" s="9">
        <f>11.6626 * CHOOSE(CONTROL!$C$32, $C$9, 100%, $E$9)</f>
        <v>11.662599999999999</v>
      </c>
      <c r="L573" s="9">
        <f>8.175 * CHOOSE(CONTROL!$C$32, $C$9, 100%, $E$9)</f>
        <v>8.1750000000000007</v>
      </c>
      <c r="M573" s="9">
        <f>8.1792 * CHOOSE(CONTROL!$C$32, $C$9, 100%, $E$9)</f>
        <v>8.1791999999999998</v>
      </c>
      <c r="N573" s="9">
        <f>8.175 * CHOOSE(CONTROL!$C$32, $C$9, 100%, $E$9)</f>
        <v>8.1750000000000007</v>
      </c>
      <c r="O573" s="9">
        <f>8.1792 * CHOOSE(CONTROL!$C$32, $C$9, 100%, $E$9)</f>
        <v>8.1791999999999998</v>
      </c>
    </row>
    <row r="574" spans="1:15" ht="15.75" x14ac:dyDescent="0.25">
      <c r="A574" s="13">
        <v>58348</v>
      </c>
      <c r="B574" s="10">
        <f>9.7355 * CHOOSE(CONTROL!$C$32, $C$9, 100%, $E$9)</f>
        <v>9.7355</v>
      </c>
      <c r="C574" s="10">
        <f>9.7355 * CHOOSE(CONTROL!$C$32, $C$9, 100%, $E$9)</f>
        <v>9.7355</v>
      </c>
      <c r="D574" s="10">
        <f>9.7367 * CHOOSE(CONTROL!$C$32, $C$9, 100%, $E$9)</f>
        <v>9.7367000000000008</v>
      </c>
      <c r="E574" s="9">
        <f>8.1528 * CHOOSE(CONTROL!$C$32, $C$9, 100%, $E$9)</f>
        <v>8.1527999999999992</v>
      </c>
      <c r="F574" s="9">
        <f>8.1528 * CHOOSE(CONTROL!$C$32, $C$9, 100%, $E$9)</f>
        <v>8.1527999999999992</v>
      </c>
      <c r="G574" s="9">
        <f>8.157 * CHOOSE(CONTROL!$C$32, $C$9, 100%, $E$9)</f>
        <v>8.157</v>
      </c>
      <c r="H574" s="9">
        <f>11.6564 * CHOOSE(CONTROL!$C$32, $C$9, 100%, $E$9)</f>
        <v>11.6564</v>
      </c>
      <c r="I574" s="9">
        <f>11.6606 * CHOOSE(CONTROL!$C$32, $C$9, 100%, $E$9)</f>
        <v>11.660600000000001</v>
      </c>
      <c r="J574" s="9">
        <f>11.6564 * CHOOSE(CONTROL!$C$32, $C$9, 100%, $E$9)</f>
        <v>11.6564</v>
      </c>
      <c r="K574" s="9">
        <f>11.6606 * CHOOSE(CONTROL!$C$32, $C$9, 100%, $E$9)</f>
        <v>11.660600000000001</v>
      </c>
      <c r="L574" s="9">
        <f>8.1528 * CHOOSE(CONTROL!$C$32, $C$9, 100%, $E$9)</f>
        <v>8.1527999999999992</v>
      </c>
      <c r="M574" s="9">
        <f>8.157 * CHOOSE(CONTROL!$C$32, $C$9, 100%, $E$9)</f>
        <v>8.157</v>
      </c>
      <c r="N574" s="9">
        <f>8.1528 * CHOOSE(CONTROL!$C$32, $C$9, 100%, $E$9)</f>
        <v>8.1527999999999992</v>
      </c>
      <c r="O574" s="9">
        <f>8.157 * CHOOSE(CONTROL!$C$32, $C$9, 100%, $E$9)</f>
        <v>8.157</v>
      </c>
    </row>
    <row r="575" spans="1:15" ht="15.75" x14ac:dyDescent="0.25">
      <c r="A575" s="13">
        <v>58379</v>
      </c>
      <c r="B575" s="10">
        <f>9.7532 * CHOOSE(CONTROL!$C$32, $C$9, 100%, $E$9)</f>
        <v>9.7531999999999996</v>
      </c>
      <c r="C575" s="10">
        <f>9.7532 * CHOOSE(CONTROL!$C$32, $C$9, 100%, $E$9)</f>
        <v>9.7531999999999996</v>
      </c>
      <c r="D575" s="10">
        <f>9.7541 * CHOOSE(CONTROL!$C$32, $C$9, 100%, $E$9)</f>
        <v>9.7540999999999993</v>
      </c>
      <c r="E575" s="9">
        <f>8.2196 * CHOOSE(CONTROL!$C$32, $C$9, 100%, $E$9)</f>
        <v>8.2195999999999998</v>
      </c>
      <c r="F575" s="9">
        <f>8.2196 * CHOOSE(CONTROL!$C$32, $C$9, 100%, $E$9)</f>
        <v>8.2195999999999998</v>
      </c>
      <c r="G575" s="9">
        <f>8.2228 * CHOOSE(CONTROL!$C$32, $C$9, 100%, $E$9)</f>
        <v>8.2227999999999994</v>
      </c>
      <c r="H575" s="9">
        <f>11.6667 * CHOOSE(CONTROL!$C$32, $C$9, 100%, $E$9)</f>
        <v>11.666700000000001</v>
      </c>
      <c r="I575" s="9">
        <f>11.6699 * CHOOSE(CONTROL!$C$32, $C$9, 100%, $E$9)</f>
        <v>11.6699</v>
      </c>
      <c r="J575" s="9">
        <f>11.6667 * CHOOSE(CONTROL!$C$32, $C$9, 100%, $E$9)</f>
        <v>11.666700000000001</v>
      </c>
      <c r="K575" s="9">
        <f>11.6699 * CHOOSE(CONTROL!$C$32, $C$9, 100%, $E$9)</f>
        <v>11.6699</v>
      </c>
      <c r="L575" s="9">
        <f>8.2196 * CHOOSE(CONTROL!$C$32, $C$9, 100%, $E$9)</f>
        <v>8.2195999999999998</v>
      </c>
      <c r="M575" s="9">
        <f>8.2228 * CHOOSE(CONTROL!$C$32, $C$9, 100%, $E$9)</f>
        <v>8.2227999999999994</v>
      </c>
      <c r="N575" s="9">
        <f>8.2196 * CHOOSE(CONTROL!$C$32, $C$9, 100%, $E$9)</f>
        <v>8.2195999999999998</v>
      </c>
      <c r="O575" s="9">
        <f>8.2228 * CHOOSE(CONTROL!$C$32, $C$9, 100%, $E$9)</f>
        <v>8.2227999999999994</v>
      </c>
    </row>
    <row r="576" spans="1:15" ht="15.75" x14ac:dyDescent="0.25">
      <c r="A576" s="13">
        <v>58409</v>
      </c>
      <c r="B576" s="10">
        <f>9.7562 * CHOOSE(CONTROL!$C$32, $C$9, 100%, $E$9)</f>
        <v>9.7561999999999998</v>
      </c>
      <c r="C576" s="10">
        <f>9.7562 * CHOOSE(CONTROL!$C$32, $C$9, 100%, $E$9)</f>
        <v>9.7561999999999998</v>
      </c>
      <c r="D576" s="10">
        <f>9.7572 * CHOOSE(CONTROL!$C$32, $C$9, 100%, $E$9)</f>
        <v>9.7571999999999992</v>
      </c>
      <c r="E576" s="9">
        <f>8.2618 * CHOOSE(CONTROL!$C$32, $C$9, 100%, $E$9)</f>
        <v>8.2617999999999991</v>
      </c>
      <c r="F576" s="9">
        <f>8.2618 * CHOOSE(CONTROL!$C$32, $C$9, 100%, $E$9)</f>
        <v>8.2617999999999991</v>
      </c>
      <c r="G576" s="9">
        <f>8.265 * CHOOSE(CONTROL!$C$32, $C$9, 100%, $E$9)</f>
        <v>8.2650000000000006</v>
      </c>
      <c r="H576" s="9">
        <f>11.6687 * CHOOSE(CONTROL!$C$32, $C$9, 100%, $E$9)</f>
        <v>11.668699999999999</v>
      </c>
      <c r="I576" s="9">
        <f>11.6719 * CHOOSE(CONTROL!$C$32, $C$9, 100%, $E$9)</f>
        <v>11.671900000000001</v>
      </c>
      <c r="J576" s="9">
        <f>11.6687 * CHOOSE(CONTROL!$C$32, $C$9, 100%, $E$9)</f>
        <v>11.668699999999999</v>
      </c>
      <c r="K576" s="9">
        <f>11.6719 * CHOOSE(CONTROL!$C$32, $C$9, 100%, $E$9)</f>
        <v>11.671900000000001</v>
      </c>
      <c r="L576" s="9">
        <f>8.2618 * CHOOSE(CONTROL!$C$32, $C$9, 100%, $E$9)</f>
        <v>8.2617999999999991</v>
      </c>
      <c r="M576" s="9">
        <f>8.265 * CHOOSE(CONTROL!$C$32, $C$9, 100%, $E$9)</f>
        <v>8.2650000000000006</v>
      </c>
      <c r="N576" s="9">
        <f>8.2618 * CHOOSE(CONTROL!$C$32, $C$9, 100%, $E$9)</f>
        <v>8.2617999999999991</v>
      </c>
      <c r="O576" s="9">
        <f>8.265 * CHOOSE(CONTROL!$C$32, $C$9, 100%, $E$9)</f>
        <v>8.2650000000000006</v>
      </c>
    </row>
    <row r="577" spans="1:15" ht="15.75" x14ac:dyDescent="0.25">
      <c r="A577" s="13">
        <v>58440</v>
      </c>
      <c r="B577" s="10">
        <f>9.7562 * CHOOSE(CONTROL!$C$32, $C$9, 100%, $E$9)</f>
        <v>9.7561999999999998</v>
      </c>
      <c r="C577" s="10">
        <f>9.7562 * CHOOSE(CONTROL!$C$32, $C$9, 100%, $E$9)</f>
        <v>9.7561999999999998</v>
      </c>
      <c r="D577" s="10">
        <f>9.7572 * CHOOSE(CONTROL!$C$32, $C$9, 100%, $E$9)</f>
        <v>9.7571999999999992</v>
      </c>
      <c r="E577" s="9">
        <f>8.1615 * CHOOSE(CONTROL!$C$32, $C$9, 100%, $E$9)</f>
        <v>8.1615000000000002</v>
      </c>
      <c r="F577" s="9">
        <f>8.1615 * CHOOSE(CONTROL!$C$32, $C$9, 100%, $E$9)</f>
        <v>8.1615000000000002</v>
      </c>
      <c r="G577" s="9">
        <f>8.1648 * CHOOSE(CONTROL!$C$32, $C$9, 100%, $E$9)</f>
        <v>8.1647999999999996</v>
      </c>
      <c r="H577" s="9">
        <f>11.6687 * CHOOSE(CONTROL!$C$32, $C$9, 100%, $E$9)</f>
        <v>11.668699999999999</v>
      </c>
      <c r="I577" s="9">
        <f>11.6719 * CHOOSE(CONTROL!$C$32, $C$9, 100%, $E$9)</f>
        <v>11.671900000000001</v>
      </c>
      <c r="J577" s="9">
        <f>11.6687 * CHOOSE(CONTROL!$C$32, $C$9, 100%, $E$9)</f>
        <v>11.668699999999999</v>
      </c>
      <c r="K577" s="9">
        <f>11.6719 * CHOOSE(CONTROL!$C$32, $C$9, 100%, $E$9)</f>
        <v>11.671900000000001</v>
      </c>
      <c r="L577" s="9">
        <f>8.1615 * CHOOSE(CONTROL!$C$32, $C$9, 100%, $E$9)</f>
        <v>8.1615000000000002</v>
      </c>
      <c r="M577" s="9">
        <f>8.1648 * CHOOSE(CONTROL!$C$32, $C$9, 100%, $E$9)</f>
        <v>8.1647999999999996</v>
      </c>
      <c r="N577" s="9">
        <f>8.1615 * CHOOSE(CONTROL!$C$32, $C$9, 100%, $E$9)</f>
        <v>8.1615000000000002</v>
      </c>
      <c r="O577" s="9">
        <f>8.1648 * CHOOSE(CONTROL!$C$32, $C$9, 100%, $E$9)</f>
        <v>8.1647999999999996</v>
      </c>
    </row>
    <row r="578" spans="1:15" ht="15.75" x14ac:dyDescent="0.25">
      <c r="A578" s="13">
        <v>58471</v>
      </c>
      <c r="B578" s="10">
        <f>9.8363 * CHOOSE(CONTROL!$C$32, $C$9, 100%, $E$9)</f>
        <v>9.8362999999999996</v>
      </c>
      <c r="C578" s="10">
        <f>9.8363 * CHOOSE(CONTROL!$C$32, $C$9, 100%, $E$9)</f>
        <v>9.8362999999999996</v>
      </c>
      <c r="D578" s="10">
        <f>9.8372 * CHOOSE(CONTROL!$C$32, $C$9, 100%, $E$9)</f>
        <v>9.8371999999999993</v>
      </c>
      <c r="E578" s="9">
        <f>8.2918 * CHOOSE(CONTROL!$C$32, $C$9, 100%, $E$9)</f>
        <v>8.2918000000000003</v>
      </c>
      <c r="F578" s="9">
        <f>8.2918 * CHOOSE(CONTROL!$C$32, $C$9, 100%, $E$9)</f>
        <v>8.2918000000000003</v>
      </c>
      <c r="G578" s="9">
        <f>8.295 * CHOOSE(CONTROL!$C$32, $C$9, 100%, $E$9)</f>
        <v>8.2949999999999999</v>
      </c>
      <c r="H578" s="9">
        <f>11.7549 * CHOOSE(CONTROL!$C$32, $C$9, 100%, $E$9)</f>
        <v>11.754899999999999</v>
      </c>
      <c r="I578" s="9">
        <f>11.7582 * CHOOSE(CONTROL!$C$32, $C$9, 100%, $E$9)</f>
        <v>11.7582</v>
      </c>
      <c r="J578" s="9">
        <f>11.7549 * CHOOSE(CONTROL!$C$32, $C$9, 100%, $E$9)</f>
        <v>11.754899999999999</v>
      </c>
      <c r="K578" s="9">
        <f>11.7582 * CHOOSE(CONTROL!$C$32, $C$9, 100%, $E$9)</f>
        <v>11.7582</v>
      </c>
      <c r="L578" s="9">
        <f>8.2918 * CHOOSE(CONTROL!$C$32, $C$9, 100%, $E$9)</f>
        <v>8.2918000000000003</v>
      </c>
      <c r="M578" s="9">
        <f>8.295 * CHOOSE(CONTROL!$C$32, $C$9, 100%, $E$9)</f>
        <v>8.2949999999999999</v>
      </c>
      <c r="N578" s="9">
        <f>8.2918 * CHOOSE(CONTROL!$C$32, $C$9, 100%, $E$9)</f>
        <v>8.2918000000000003</v>
      </c>
      <c r="O578" s="9">
        <f>8.295 * CHOOSE(CONTROL!$C$32, $C$9, 100%, $E$9)</f>
        <v>8.2949999999999999</v>
      </c>
    </row>
    <row r="579" spans="1:15" ht="15.75" x14ac:dyDescent="0.25">
      <c r="A579" s="13">
        <v>58499</v>
      </c>
      <c r="B579" s="10">
        <f>9.8333 * CHOOSE(CONTROL!$C$32, $C$9, 100%, $E$9)</f>
        <v>9.8332999999999995</v>
      </c>
      <c r="C579" s="10">
        <f>9.8333 * CHOOSE(CONTROL!$C$32, $C$9, 100%, $E$9)</f>
        <v>9.8332999999999995</v>
      </c>
      <c r="D579" s="10">
        <f>9.8342 * CHOOSE(CONTROL!$C$32, $C$9, 100%, $E$9)</f>
        <v>9.8341999999999992</v>
      </c>
      <c r="E579" s="9">
        <f>8.0945 * CHOOSE(CONTROL!$C$32, $C$9, 100%, $E$9)</f>
        <v>8.0945</v>
      </c>
      <c r="F579" s="9">
        <f>8.0945 * CHOOSE(CONTROL!$C$32, $C$9, 100%, $E$9)</f>
        <v>8.0945</v>
      </c>
      <c r="G579" s="9">
        <f>8.0978 * CHOOSE(CONTROL!$C$32, $C$9, 100%, $E$9)</f>
        <v>8.0977999999999994</v>
      </c>
      <c r="H579" s="9">
        <f>11.7529 * CHOOSE(CONTROL!$C$32, $C$9, 100%, $E$9)</f>
        <v>11.7529</v>
      </c>
      <c r="I579" s="9">
        <f>11.7562 * CHOOSE(CONTROL!$C$32, $C$9, 100%, $E$9)</f>
        <v>11.7562</v>
      </c>
      <c r="J579" s="9">
        <f>11.7529 * CHOOSE(CONTROL!$C$32, $C$9, 100%, $E$9)</f>
        <v>11.7529</v>
      </c>
      <c r="K579" s="9">
        <f>11.7562 * CHOOSE(CONTROL!$C$32, $C$9, 100%, $E$9)</f>
        <v>11.7562</v>
      </c>
      <c r="L579" s="9">
        <f>8.0945 * CHOOSE(CONTROL!$C$32, $C$9, 100%, $E$9)</f>
        <v>8.0945</v>
      </c>
      <c r="M579" s="9">
        <f>8.0978 * CHOOSE(CONTROL!$C$32, $C$9, 100%, $E$9)</f>
        <v>8.0977999999999994</v>
      </c>
      <c r="N579" s="9">
        <f>8.0945 * CHOOSE(CONTROL!$C$32, $C$9, 100%, $E$9)</f>
        <v>8.0945</v>
      </c>
      <c r="O579" s="9">
        <f>8.0978 * CHOOSE(CONTROL!$C$32, $C$9, 100%, $E$9)</f>
        <v>8.0977999999999994</v>
      </c>
    </row>
    <row r="580" spans="1:15" ht="15.75" x14ac:dyDescent="0.25">
      <c r="A580" s="13">
        <v>58531</v>
      </c>
      <c r="B580" s="10">
        <f>9.8302 * CHOOSE(CONTROL!$C$32, $C$9, 100%, $E$9)</f>
        <v>9.8301999999999996</v>
      </c>
      <c r="C580" s="10">
        <f>9.8302 * CHOOSE(CONTROL!$C$32, $C$9, 100%, $E$9)</f>
        <v>9.8301999999999996</v>
      </c>
      <c r="D580" s="10">
        <f>9.8312 * CHOOSE(CONTROL!$C$32, $C$9, 100%, $E$9)</f>
        <v>9.8312000000000008</v>
      </c>
      <c r="E580" s="9">
        <f>8.2462 * CHOOSE(CONTROL!$C$32, $C$9, 100%, $E$9)</f>
        <v>8.2462</v>
      </c>
      <c r="F580" s="9">
        <f>8.2462 * CHOOSE(CONTROL!$C$32, $C$9, 100%, $E$9)</f>
        <v>8.2462</v>
      </c>
      <c r="G580" s="9">
        <f>8.2495 * CHOOSE(CONTROL!$C$32, $C$9, 100%, $E$9)</f>
        <v>8.2494999999999994</v>
      </c>
      <c r="H580" s="9">
        <f>11.7509 * CHOOSE(CONTROL!$C$32, $C$9, 100%, $E$9)</f>
        <v>11.7509</v>
      </c>
      <c r="I580" s="9">
        <f>11.7542 * CHOOSE(CONTROL!$C$32, $C$9, 100%, $E$9)</f>
        <v>11.754200000000001</v>
      </c>
      <c r="J580" s="9">
        <f>11.7509 * CHOOSE(CONTROL!$C$32, $C$9, 100%, $E$9)</f>
        <v>11.7509</v>
      </c>
      <c r="K580" s="9">
        <f>11.7542 * CHOOSE(CONTROL!$C$32, $C$9, 100%, $E$9)</f>
        <v>11.754200000000001</v>
      </c>
      <c r="L580" s="9">
        <f>8.2462 * CHOOSE(CONTROL!$C$32, $C$9, 100%, $E$9)</f>
        <v>8.2462</v>
      </c>
      <c r="M580" s="9">
        <f>8.2495 * CHOOSE(CONTROL!$C$32, $C$9, 100%, $E$9)</f>
        <v>8.2494999999999994</v>
      </c>
      <c r="N580" s="9">
        <f>8.2462 * CHOOSE(CONTROL!$C$32, $C$9, 100%, $E$9)</f>
        <v>8.2462</v>
      </c>
      <c r="O580" s="9">
        <f>8.2495 * CHOOSE(CONTROL!$C$32, $C$9, 100%, $E$9)</f>
        <v>8.2494999999999994</v>
      </c>
    </row>
    <row r="581" spans="1:15" ht="15.75" x14ac:dyDescent="0.25">
      <c r="A581" s="13">
        <v>58561</v>
      </c>
      <c r="B581" s="10">
        <f>9.8338 * CHOOSE(CONTROL!$C$32, $C$9, 100%, $E$9)</f>
        <v>9.8338000000000001</v>
      </c>
      <c r="C581" s="10">
        <f>9.8338 * CHOOSE(CONTROL!$C$32, $C$9, 100%, $E$9)</f>
        <v>9.8338000000000001</v>
      </c>
      <c r="D581" s="10">
        <f>9.8348 * CHOOSE(CONTROL!$C$32, $C$9, 100%, $E$9)</f>
        <v>9.8347999999999995</v>
      </c>
      <c r="E581" s="9">
        <f>8.4072 * CHOOSE(CONTROL!$C$32, $C$9, 100%, $E$9)</f>
        <v>8.4071999999999996</v>
      </c>
      <c r="F581" s="9">
        <f>8.4072 * CHOOSE(CONTROL!$C$32, $C$9, 100%, $E$9)</f>
        <v>8.4071999999999996</v>
      </c>
      <c r="G581" s="9">
        <f>8.4105 * CHOOSE(CONTROL!$C$32, $C$9, 100%, $E$9)</f>
        <v>8.4105000000000008</v>
      </c>
      <c r="H581" s="9">
        <f>11.753 * CHOOSE(CONTROL!$C$32, $C$9, 100%, $E$9)</f>
        <v>11.753</v>
      </c>
      <c r="I581" s="9">
        <f>11.7562 * CHOOSE(CONTROL!$C$32, $C$9, 100%, $E$9)</f>
        <v>11.7562</v>
      </c>
      <c r="J581" s="9">
        <f>11.753 * CHOOSE(CONTROL!$C$32, $C$9, 100%, $E$9)</f>
        <v>11.753</v>
      </c>
      <c r="K581" s="9">
        <f>11.7562 * CHOOSE(CONTROL!$C$32, $C$9, 100%, $E$9)</f>
        <v>11.7562</v>
      </c>
      <c r="L581" s="9">
        <f>8.4072 * CHOOSE(CONTROL!$C$32, $C$9, 100%, $E$9)</f>
        <v>8.4071999999999996</v>
      </c>
      <c r="M581" s="9">
        <f>8.4105 * CHOOSE(CONTROL!$C$32, $C$9, 100%, $E$9)</f>
        <v>8.4105000000000008</v>
      </c>
      <c r="N581" s="9">
        <f>8.4072 * CHOOSE(CONTROL!$C$32, $C$9, 100%, $E$9)</f>
        <v>8.4071999999999996</v>
      </c>
      <c r="O581" s="9">
        <f>8.4105 * CHOOSE(CONTROL!$C$32, $C$9, 100%, $E$9)</f>
        <v>8.4105000000000008</v>
      </c>
    </row>
    <row r="582" spans="1:15" ht="15.75" x14ac:dyDescent="0.25">
      <c r="A582" s="13">
        <v>58592</v>
      </c>
      <c r="B582" s="10">
        <f>9.8338 * CHOOSE(CONTROL!$C$32, $C$9, 100%, $E$9)</f>
        <v>9.8338000000000001</v>
      </c>
      <c r="C582" s="10">
        <f>9.8338 * CHOOSE(CONTROL!$C$32, $C$9, 100%, $E$9)</f>
        <v>9.8338000000000001</v>
      </c>
      <c r="D582" s="10">
        <f>9.8351 * CHOOSE(CONTROL!$C$32, $C$9, 100%, $E$9)</f>
        <v>9.8351000000000006</v>
      </c>
      <c r="E582" s="9">
        <f>8.4692 * CHOOSE(CONTROL!$C$32, $C$9, 100%, $E$9)</f>
        <v>8.4692000000000007</v>
      </c>
      <c r="F582" s="9">
        <f>8.4692 * CHOOSE(CONTROL!$C$32, $C$9, 100%, $E$9)</f>
        <v>8.4692000000000007</v>
      </c>
      <c r="G582" s="9">
        <f>8.4734 * CHOOSE(CONTROL!$C$32, $C$9, 100%, $E$9)</f>
        <v>8.4733999999999998</v>
      </c>
      <c r="H582" s="9">
        <f>11.753 * CHOOSE(CONTROL!$C$32, $C$9, 100%, $E$9)</f>
        <v>11.753</v>
      </c>
      <c r="I582" s="9">
        <f>11.7572 * CHOOSE(CONTROL!$C$32, $C$9, 100%, $E$9)</f>
        <v>11.757199999999999</v>
      </c>
      <c r="J582" s="9">
        <f>11.753 * CHOOSE(CONTROL!$C$32, $C$9, 100%, $E$9)</f>
        <v>11.753</v>
      </c>
      <c r="K582" s="9">
        <f>11.7572 * CHOOSE(CONTROL!$C$32, $C$9, 100%, $E$9)</f>
        <v>11.757199999999999</v>
      </c>
      <c r="L582" s="9">
        <f>8.4692 * CHOOSE(CONTROL!$C$32, $C$9, 100%, $E$9)</f>
        <v>8.4692000000000007</v>
      </c>
      <c r="M582" s="9">
        <f>8.4734 * CHOOSE(CONTROL!$C$32, $C$9, 100%, $E$9)</f>
        <v>8.4733999999999998</v>
      </c>
      <c r="N582" s="9">
        <f>8.4692 * CHOOSE(CONTROL!$C$32, $C$9, 100%, $E$9)</f>
        <v>8.4692000000000007</v>
      </c>
      <c r="O582" s="9">
        <f>8.4734 * CHOOSE(CONTROL!$C$32, $C$9, 100%, $E$9)</f>
        <v>8.4733999999999998</v>
      </c>
    </row>
    <row r="583" spans="1:15" ht="15.75" x14ac:dyDescent="0.25">
      <c r="A583" s="13">
        <v>58622</v>
      </c>
      <c r="B583" s="10">
        <f>9.8399 * CHOOSE(CONTROL!$C$32, $C$9, 100%, $E$9)</f>
        <v>9.8399000000000001</v>
      </c>
      <c r="C583" s="10">
        <f>9.8399 * CHOOSE(CONTROL!$C$32, $C$9, 100%, $E$9)</f>
        <v>9.8399000000000001</v>
      </c>
      <c r="D583" s="10">
        <f>9.8412 * CHOOSE(CONTROL!$C$32, $C$9, 100%, $E$9)</f>
        <v>9.8412000000000006</v>
      </c>
      <c r="E583" s="9">
        <f>8.4115 * CHOOSE(CONTROL!$C$32, $C$9, 100%, $E$9)</f>
        <v>8.4115000000000002</v>
      </c>
      <c r="F583" s="9">
        <f>8.4115 * CHOOSE(CONTROL!$C$32, $C$9, 100%, $E$9)</f>
        <v>8.4115000000000002</v>
      </c>
      <c r="G583" s="9">
        <f>8.4157 * CHOOSE(CONTROL!$C$32, $C$9, 100%, $E$9)</f>
        <v>8.4156999999999993</v>
      </c>
      <c r="H583" s="9">
        <f>11.757 * CHOOSE(CONTROL!$C$32, $C$9, 100%, $E$9)</f>
        <v>11.757</v>
      </c>
      <c r="I583" s="9">
        <f>11.7612 * CHOOSE(CONTROL!$C$32, $C$9, 100%, $E$9)</f>
        <v>11.761200000000001</v>
      </c>
      <c r="J583" s="9">
        <f>11.757 * CHOOSE(CONTROL!$C$32, $C$9, 100%, $E$9)</f>
        <v>11.757</v>
      </c>
      <c r="K583" s="9">
        <f>11.7612 * CHOOSE(CONTROL!$C$32, $C$9, 100%, $E$9)</f>
        <v>11.761200000000001</v>
      </c>
      <c r="L583" s="9">
        <f>8.4115 * CHOOSE(CONTROL!$C$32, $C$9, 100%, $E$9)</f>
        <v>8.4115000000000002</v>
      </c>
      <c r="M583" s="9">
        <f>8.4157 * CHOOSE(CONTROL!$C$32, $C$9, 100%, $E$9)</f>
        <v>8.4156999999999993</v>
      </c>
      <c r="N583" s="9">
        <f>8.4115 * CHOOSE(CONTROL!$C$32, $C$9, 100%, $E$9)</f>
        <v>8.4115000000000002</v>
      </c>
      <c r="O583" s="9">
        <f>8.4157 * CHOOSE(CONTROL!$C$32, $C$9, 100%, $E$9)</f>
        <v>8.4156999999999993</v>
      </c>
    </row>
    <row r="584" spans="1:15" ht="15.75" x14ac:dyDescent="0.25">
      <c r="A584" s="13">
        <v>58653</v>
      </c>
      <c r="B584" s="10">
        <f>9.9778 * CHOOSE(CONTROL!$C$32, $C$9, 100%, $E$9)</f>
        <v>9.9778000000000002</v>
      </c>
      <c r="C584" s="10">
        <f>9.9778 * CHOOSE(CONTROL!$C$32, $C$9, 100%, $E$9)</f>
        <v>9.9778000000000002</v>
      </c>
      <c r="D584" s="10">
        <f>9.9791 * CHOOSE(CONTROL!$C$32, $C$9, 100%, $E$9)</f>
        <v>9.9791000000000007</v>
      </c>
      <c r="E584" s="9">
        <f>8.5084 * CHOOSE(CONTROL!$C$32, $C$9, 100%, $E$9)</f>
        <v>8.5084</v>
      </c>
      <c r="F584" s="9">
        <f>8.5084 * CHOOSE(CONTROL!$C$32, $C$9, 100%, $E$9)</f>
        <v>8.5084</v>
      </c>
      <c r="G584" s="9">
        <f>8.5126 * CHOOSE(CONTROL!$C$32, $C$9, 100%, $E$9)</f>
        <v>8.5126000000000008</v>
      </c>
      <c r="H584" s="9">
        <f>11.932 * CHOOSE(CONTROL!$C$32, $C$9, 100%, $E$9)</f>
        <v>11.932</v>
      </c>
      <c r="I584" s="9">
        <f>11.9362 * CHOOSE(CONTROL!$C$32, $C$9, 100%, $E$9)</f>
        <v>11.936199999999999</v>
      </c>
      <c r="J584" s="9">
        <f>11.932 * CHOOSE(CONTROL!$C$32, $C$9, 100%, $E$9)</f>
        <v>11.932</v>
      </c>
      <c r="K584" s="9">
        <f>11.9362 * CHOOSE(CONTROL!$C$32, $C$9, 100%, $E$9)</f>
        <v>11.936199999999999</v>
      </c>
      <c r="L584" s="9">
        <f>8.5084 * CHOOSE(CONTROL!$C$32, $C$9, 100%, $E$9)</f>
        <v>8.5084</v>
      </c>
      <c r="M584" s="9">
        <f>8.5126 * CHOOSE(CONTROL!$C$32, $C$9, 100%, $E$9)</f>
        <v>8.5126000000000008</v>
      </c>
      <c r="N584" s="9">
        <f>8.5084 * CHOOSE(CONTROL!$C$32, $C$9, 100%, $E$9)</f>
        <v>8.5084</v>
      </c>
      <c r="O584" s="9">
        <f>8.5126 * CHOOSE(CONTROL!$C$32, $C$9, 100%, $E$9)</f>
        <v>8.5126000000000008</v>
      </c>
    </row>
    <row r="585" spans="1:15" ht="15.75" x14ac:dyDescent="0.25">
      <c r="A585" s="13">
        <v>58684</v>
      </c>
      <c r="B585" s="10">
        <f>9.9845 * CHOOSE(CONTROL!$C$32, $C$9, 100%, $E$9)</f>
        <v>9.9845000000000006</v>
      </c>
      <c r="C585" s="10">
        <f>9.9845 * CHOOSE(CONTROL!$C$32, $C$9, 100%, $E$9)</f>
        <v>9.9845000000000006</v>
      </c>
      <c r="D585" s="10">
        <f>9.9858 * CHOOSE(CONTROL!$C$32, $C$9, 100%, $E$9)</f>
        <v>9.9857999999999993</v>
      </c>
      <c r="E585" s="9">
        <f>8.3272 * CHOOSE(CONTROL!$C$32, $C$9, 100%, $E$9)</f>
        <v>8.3271999999999995</v>
      </c>
      <c r="F585" s="9">
        <f>8.3272 * CHOOSE(CONTROL!$C$32, $C$9, 100%, $E$9)</f>
        <v>8.3271999999999995</v>
      </c>
      <c r="G585" s="9">
        <f>8.3314 * CHOOSE(CONTROL!$C$32, $C$9, 100%, $E$9)</f>
        <v>8.3314000000000004</v>
      </c>
      <c r="H585" s="9">
        <f>11.9364 * CHOOSE(CONTROL!$C$32, $C$9, 100%, $E$9)</f>
        <v>11.936400000000001</v>
      </c>
      <c r="I585" s="9">
        <f>11.9406 * CHOOSE(CONTROL!$C$32, $C$9, 100%, $E$9)</f>
        <v>11.9406</v>
      </c>
      <c r="J585" s="9">
        <f>11.9364 * CHOOSE(CONTROL!$C$32, $C$9, 100%, $E$9)</f>
        <v>11.936400000000001</v>
      </c>
      <c r="K585" s="9">
        <f>11.9406 * CHOOSE(CONTROL!$C$32, $C$9, 100%, $E$9)</f>
        <v>11.9406</v>
      </c>
      <c r="L585" s="9">
        <f>8.3272 * CHOOSE(CONTROL!$C$32, $C$9, 100%, $E$9)</f>
        <v>8.3271999999999995</v>
      </c>
      <c r="M585" s="9">
        <f>8.3314 * CHOOSE(CONTROL!$C$32, $C$9, 100%, $E$9)</f>
        <v>8.3314000000000004</v>
      </c>
      <c r="N585" s="9">
        <f>8.3272 * CHOOSE(CONTROL!$C$32, $C$9, 100%, $E$9)</f>
        <v>8.3271999999999995</v>
      </c>
      <c r="O585" s="9">
        <f>8.3314 * CHOOSE(CONTROL!$C$32, $C$9, 100%, $E$9)</f>
        <v>8.3314000000000004</v>
      </c>
    </row>
    <row r="586" spans="1:15" ht="15.75" x14ac:dyDescent="0.25">
      <c r="A586" s="13">
        <v>58714</v>
      </c>
      <c r="B586" s="10">
        <f>9.9815 * CHOOSE(CONTROL!$C$32, $C$9, 100%, $E$9)</f>
        <v>9.9815000000000005</v>
      </c>
      <c r="C586" s="10">
        <f>9.9815 * CHOOSE(CONTROL!$C$32, $C$9, 100%, $E$9)</f>
        <v>9.9815000000000005</v>
      </c>
      <c r="D586" s="10">
        <f>9.9827 * CHOOSE(CONTROL!$C$32, $C$9, 100%, $E$9)</f>
        <v>9.9826999999999995</v>
      </c>
      <c r="E586" s="9">
        <f>8.3044 * CHOOSE(CONTROL!$C$32, $C$9, 100%, $E$9)</f>
        <v>8.3043999999999993</v>
      </c>
      <c r="F586" s="9">
        <f>8.3044 * CHOOSE(CONTROL!$C$32, $C$9, 100%, $E$9)</f>
        <v>8.3043999999999993</v>
      </c>
      <c r="G586" s="9">
        <f>8.3087 * CHOOSE(CONTROL!$C$32, $C$9, 100%, $E$9)</f>
        <v>8.3087</v>
      </c>
      <c r="H586" s="9">
        <f>11.9344 * CHOOSE(CONTROL!$C$32, $C$9, 100%, $E$9)</f>
        <v>11.9344</v>
      </c>
      <c r="I586" s="9">
        <f>11.9386 * CHOOSE(CONTROL!$C$32, $C$9, 100%, $E$9)</f>
        <v>11.938599999999999</v>
      </c>
      <c r="J586" s="9">
        <f>11.9344 * CHOOSE(CONTROL!$C$32, $C$9, 100%, $E$9)</f>
        <v>11.9344</v>
      </c>
      <c r="K586" s="9">
        <f>11.9386 * CHOOSE(CONTROL!$C$32, $C$9, 100%, $E$9)</f>
        <v>11.938599999999999</v>
      </c>
      <c r="L586" s="9">
        <f>8.3044 * CHOOSE(CONTROL!$C$32, $C$9, 100%, $E$9)</f>
        <v>8.3043999999999993</v>
      </c>
      <c r="M586" s="9">
        <f>8.3087 * CHOOSE(CONTROL!$C$32, $C$9, 100%, $E$9)</f>
        <v>8.3087</v>
      </c>
      <c r="N586" s="9">
        <f>8.3044 * CHOOSE(CONTROL!$C$32, $C$9, 100%, $E$9)</f>
        <v>8.3043999999999993</v>
      </c>
      <c r="O586" s="9">
        <f>8.3087 * CHOOSE(CONTROL!$C$32, $C$9, 100%, $E$9)</f>
        <v>8.3087</v>
      </c>
    </row>
    <row r="587" spans="1:15" ht="15.75" x14ac:dyDescent="0.25">
      <c r="A587" s="13">
        <v>58745</v>
      </c>
      <c r="B587" s="10">
        <f>10.0002 * CHOOSE(CONTROL!$C$32, $C$9, 100%, $E$9)</f>
        <v>10.0002</v>
      </c>
      <c r="C587" s="10">
        <f>10.0002 * CHOOSE(CONTROL!$C$32, $C$9, 100%, $E$9)</f>
        <v>10.0002</v>
      </c>
      <c r="D587" s="10">
        <f>10.0011 * CHOOSE(CONTROL!$C$32, $C$9, 100%, $E$9)</f>
        <v>10.001099999999999</v>
      </c>
      <c r="E587" s="9">
        <f>8.3736 * CHOOSE(CONTROL!$C$32, $C$9, 100%, $E$9)</f>
        <v>8.3735999999999997</v>
      </c>
      <c r="F587" s="9">
        <f>8.3736 * CHOOSE(CONTROL!$C$32, $C$9, 100%, $E$9)</f>
        <v>8.3735999999999997</v>
      </c>
      <c r="G587" s="9">
        <f>8.3769 * CHOOSE(CONTROL!$C$32, $C$9, 100%, $E$9)</f>
        <v>8.3768999999999991</v>
      </c>
      <c r="H587" s="9">
        <f>11.9453 * CHOOSE(CONTROL!$C$32, $C$9, 100%, $E$9)</f>
        <v>11.9453</v>
      </c>
      <c r="I587" s="9">
        <f>11.9485 * CHOOSE(CONTROL!$C$32, $C$9, 100%, $E$9)</f>
        <v>11.948499999999999</v>
      </c>
      <c r="J587" s="9">
        <f>11.9453 * CHOOSE(CONTROL!$C$32, $C$9, 100%, $E$9)</f>
        <v>11.9453</v>
      </c>
      <c r="K587" s="9">
        <f>11.9485 * CHOOSE(CONTROL!$C$32, $C$9, 100%, $E$9)</f>
        <v>11.948499999999999</v>
      </c>
      <c r="L587" s="9">
        <f>8.3736 * CHOOSE(CONTROL!$C$32, $C$9, 100%, $E$9)</f>
        <v>8.3735999999999997</v>
      </c>
      <c r="M587" s="9">
        <f>8.3769 * CHOOSE(CONTROL!$C$32, $C$9, 100%, $E$9)</f>
        <v>8.3768999999999991</v>
      </c>
      <c r="N587" s="9">
        <f>8.3736 * CHOOSE(CONTROL!$C$32, $C$9, 100%, $E$9)</f>
        <v>8.3735999999999997</v>
      </c>
      <c r="O587" s="9">
        <f>8.3769 * CHOOSE(CONTROL!$C$32, $C$9, 100%, $E$9)</f>
        <v>8.3768999999999991</v>
      </c>
    </row>
    <row r="588" spans="1:15" ht="15.75" x14ac:dyDescent="0.25">
      <c r="A588" s="13">
        <v>58775</v>
      </c>
      <c r="B588" s="10">
        <f>10.0032 * CHOOSE(CONTROL!$C$32, $C$9, 100%, $E$9)</f>
        <v>10.0032</v>
      </c>
      <c r="C588" s="10">
        <f>10.0032 * CHOOSE(CONTROL!$C$32, $C$9, 100%, $E$9)</f>
        <v>10.0032</v>
      </c>
      <c r="D588" s="10">
        <f>10.0042 * CHOOSE(CONTROL!$C$32, $C$9, 100%, $E$9)</f>
        <v>10.004200000000001</v>
      </c>
      <c r="E588" s="9">
        <f>8.4171 * CHOOSE(CONTROL!$C$32, $C$9, 100%, $E$9)</f>
        <v>8.4170999999999996</v>
      </c>
      <c r="F588" s="9">
        <f>8.4171 * CHOOSE(CONTROL!$C$32, $C$9, 100%, $E$9)</f>
        <v>8.4170999999999996</v>
      </c>
      <c r="G588" s="9">
        <f>8.4203 * CHOOSE(CONTROL!$C$32, $C$9, 100%, $E$9)</f>
        <v>8.4202999999999992</v>
      </c>
      <c r="H588" s="9">
        <f>11.9473 * CHOOSE(CONTROL!$C$32, $C$9, 100%, $E$9)</f>
        <v>11.9473</v>
      </c>
      <c r="I588" s="9">
        <f>11.9505 * CHOOSE(CONTROL!$C$32, $C$9, 100%, $E$9)</f>
        <v>11.9505</v>
      </c>
      <c r="J588" s="9">
        <f>11.9473 * CHOOSE(CONTROL!$C$32, $C$9, 100%, $E$9)</f>
        <v>11.9473</v>
      </c>
      <c r="K588" s="9">
        <f>11.9505 * CHOOSE(CONTROL!$C$32, $C$9, 100%, $E$9)</f>
        <v>11.9505</v>
      </c>
      <c r="L588" s="9">
        <f>8.4171 * CHOOSE(CONTROL!$C$32, $C$9, 100%, $E$9)</f>
        <v>8.4170999999999996</v>
      </c>
      <c r="M588" s="9">
        <f>8.4203 * CHOOSE(CONTROL!$C$32, $C$9, 100%, $E$9)</f>
        <v>8.4202999999999992</v>
      </c>
      <c r="N588" s="9">
        <f>8.4171 * CHOOSE(CONTROL!$C$32, $C$9, 100%, $E$9)</f>
        <v>8.4170999999999996</v>
      </c>
      <c r="O588" s="9">
        <f>8.4203 * CHOOSE(CONTROL!$C$32, $C$9, 100%, $E$9)</f>
        <v>8.4202999999999992</v>
      </c>
    </row>
    <row r="589" spans="1:15" ht="15.75" x14ac:dyDescent="0.25">
      <c r="A589" s="13">
        <v>58806</v>
      </c>
      <c r="B589" s="10">
        <f>10.0032 * CHOOSE(CONTROL!$C$32, $C$9, 100%, $E$9)</f>
        <v>10.0032</v>
      </c>
      <c r="C589" s="10">
        <f>10.0032 * CHOOSE(CONTROL!$C$32, $C$9, 100%, $E$9)</f>
        <v>10.0032</v>
      </c>
      <c r="D589" s="10">
        <f>10.0042 * CHOOSE(CONTROL!$C$32, $C$9, 100%, $E$9)</f>
        <v>10.004200000000001</v>
      </c>
      <c r="E589" s="9">
        <f>8.3138 * CHOOSE(CONTROL!$C$32, $C$9, 100%, $E$9)</f>
        <v>8.3138000000000005</v>
      </c>
      <c r="F589" s="9">
        <f>8.3138 * CHOOSE(CONTROL!$C$32, $C$9, 100%, $E$9)</f>
        <v>8.3138000000000005</v>
      </c>
      <c r="G589" s="9">
        <f>8.317 * CHOOSE(CONTROL!$C$32, $C$9, 100%, $E$9)</f>
        <v>8.3170000000000002</v>
      </c>
      <c r="H589" s="9">
        <f>11.9473 * CHOOSE(CONTROL!$C$32, $C$9, 100%, $E$9)</f>
        <v>11.9473</v>
      </c>
      <c r="I589" s="9">
        <f>11.9505 * CHOOSE(CONTROL!$C$32, $C$9, 100%, $E$9)</f>
        <v>11.9505</v>
      </c>
      <c r="J589" s="9">
        <f>11.9473 * CHOOSE(CONTROL!$C$32, $C$9, 100%, $E$9)</f>
        <v>11.9473</v>
      </c>
      <c r="K589" s="9">
        <f>11.9505 * CHOOSE(CONTROL!$C$32, $C$9, 100%, $E$9)</f>
        <v>11.9505</v>
      </c>
      <c r="L589" s="9">
        <f>8.3138 * CHOOSE(CONTROL!$C$32, $C$9, 100%, $E$9)</f>
        <v>8.3138000000000005</v>
      </c>
      <c r="M589" s="9">
        <f>8.317 * CHOOSE(CONTROL!$C$32, $C$9, 100%, $E$9)</f>
        <v>8.3170000000000002</v>
      </c>
      <c r="N589" s="9">
        <f>8.3138 * CHOOSE(CONTROL!$C$32, $C$9, 100%, $E$9)</f>
        <v>8.3138000000000005</v>
      </c>
      <c r="O589" s="9">
        <f>8.317 * CHOOSE(CONTROL!$C$32, $C$9, 100%, $E$9)</f>
        <v>8.3170000000000002</v>
      </c>
    </row>
    <row r="590" spans="1:15" ht="15.75" x14ac:dyDescent="0.25">
      <c r="A590" s="13">
        <v>58837</v>
      </c>
      <c r="B590" s="10">
        <f>10.0852 * CHOOSE(CONTROL!$C$32, $C$9, 100%, $E$9)</f>
        <v>10.0852</v>
      </c>
      <c r="C590" s="10">
        <f>10.0852 * CHOOSE(CONTROL!$C$32, $C$9, 100%, $E$9)</f>
        <v>10.0852</v>
      </c>
      <c r="D590" s="10">
        <f>10.0861 * CHOOSE(CONTROL!$C$32, $C$9, 100%, $E$9)</f>
        <v>10.0861</v>
      </c>
      <c r="E590" s="9">
        <f>8.4474 * CHOOSE(CONTROL!$C$32, $C$9, 100%, $E$9)</f>
        <v>8.4474</v>
      </c>
      <c r="F590" s="9">
        <f>8.4474 * CHOOSE(CONTROL!$C$32, $C$9, 100%, $E$9)</f>
        <v>8.4474</v>
      </c>
      <c r="G590" s="9">
        <f>8.4507 * CHOOSE(CONTROL!$C$32, $C$9, 100%, $E$9)</f>
        <v>8.4506999999999994</v>
      </c>
      <c r="H590" s="9">
        <f>12.0355 * CHOOSE(CONTROL!$C$32, $C$9, 100%, $E$9)</f>
        <v>12.035500000000001</v>
      </c>
      <c r="I590" s="9">
        <f>12.0387 * CHOOSE(CONTROL!$C$32, $C$9, 100%, $E$9)</f>
        <v>12.0387</v>
      </c>
      <c r="J590" s="9">
        <f>12.0355 * CHOOSE(CONTROL!$C$32, $C$9, 100%, $E$9)</f>
        <v>12.035500000000001</v>
      </c>
      <c r="K590" s="9">
        <f>12.0387 * CHOOSE(CONTROL!$C$32, $C$9, 100%, $E$9)</f>
        <v>12.0387</v>
      </c>
      <c r="L590" s="9">
        <f>8.4474 * CHOOSE(CONTROL!$C$32, $C$9, 100%, $E$9)</f>
        <v>8.4474</v>
      </c>
      <c r="M590" s="9">
        <f>8.4507 * CHOOSE(CONTROL!$C$32, $C$9, 100%, $E$9)</f>
        <v>8.4506999999999994</v>
      </c>
      <c r="N590" s="9">
        <f>8.4474 * CHOOSE(CONTROL!$C$32, $C$9, 100%, $E$9)</f>
        <v>8.4474</v>
      </c>
      <c r="O590" s="9">
        <f>8.4507 * CHOOSE(CONTROL!$C$32, $C$9, 100%, $E$9)</f>
        <v>8.4506999999999994</v>
      </c>
    </row>
    <row r="591" spans="1:15" ht="15.75" x14ac:dyDescent="0.25">
      <c r="A591" s="13">
        <v>58865</v>
      </c>
      <c r="B591" s="10">
        <f>10.0821 * CHOOSE(CONTROL!$C$32, $C$9, 100%, $E$9)</f>
        <v>10.082100000000001</v>
      </c>
      <c r="C591" s="10">
        <f>10.0821 * CHOOSE(CONTROL!$C$32, $C$9, 100%, $E$9)</f>
        <v>10.082100000000001</v>
      </c>
      <c r="D591" s="10">
        <f>10.0831 * CHOOSE(CONTROL!$C$32, $C$9, 100%, $E$9)</f>
        <v>10.0831</v>
      </c>
      <c r="E591" s="9">
        <f>8.2443 * CHOOSE(CONTROL!$C$32, $C$9, 100%, $E$9)</f>
        <v>8.2443000000000008</v>
      </c>
      <c r="F591" s="9">
        <f>8.2443 * CHOOSE(CONTROL!$C$32, $C$9, 100%, $E$9)</f>
        <v>8.2443000000000008</v>
      </c>
      <c r="G591" s="9">
        <f>8.2476 * CHOOSE(CONTROL!$C$32, $C$9, 100%, $E$9)</f>
        <v>8.2476000000000003</v>
      </c>
      <c r="H591" s="9">
        <f>12.0335 * CHOOSE(CONTROL!$C$32, $C$9, 100%, $E$9)</f>
        <v>12.0335</v>
      </c>
      <c r="I591" s="9">
        <f>12.0367 * CHOOSE(CONTROL!$C$32, $C$9, 100%, $E$9)</f>
        <v>12.0367</v>
      </c>
      <c r="J591" s="9">
        <f>12.0335 * CHOOSE(CONTROL!$C$32, $C$9, 100%, $E$9)</f>
        <v>12.0335</v>
      </c>
      <c r="K591" s="9">
        <f>12.0367 * CHOOSE(CONTROL!$C$32, $C$9, 100%, $E$9)</f>
        <v>12.0367</v>
      </c>
      <c r="L591" s="9">
        <f>8.2443 * CHOOSE(CONTROL!$C$32, $C$9, 100%, $E$9)</f>
        <v>8.2443000000000008</v>
      </c>
      <c r="M591" s="9">
        <f>8.2476 * CHOOSE(CONTROL!$C$32, $C$9, 100%, $E$9)</f>
        <v>8.2476000000000003</v>
      </c>
      <c r="N591" s="9">
        <f>8.2443 * CHOOSE(CONTROL!$C$32, $C$9, 100%, $E$9)</f>
        <v>8.2443000000000008</v>
      </c>
      <c r="O591" s="9">
        <f>8.2476 * CHOOSE(CONTROL!$C$32, $C$9, 100%, $E$9)</f>
        <v>8.2476000000000003</v>
      </c>
    </row>
    <row r="592" spans="1:15" ht="15.75" x14ac:dyDescent="0.25">
      <c r="A592" s="13">
        <v>58893</v>
      </c>
      <c r="B592" s="10">
        <f>10.0791 * CHOOSE(CONTROL!$C$32, $C$9, 100%, $E$9)</f>
        <v>10.0791</v>
      </c>
      <c r="C592" s="10">
        <f>10.0791 * CHOOSE(CONTROL!$C$32, $C$9, 100%, $E$9)</f>
        <v>10.0791</v>
      </c>
      <c r="D592" s="10">
        <f>10.0801 * CHOOSE(CONTROL!$C$32, $C$9, 100%, $E$9)</f>
        <v>10.0801</v>
      </c>
      <c r="E592" s="9">
        <f>8.4007 * CHOOSE(CONTROL!$C$32, $C$9, 100%, $E$9)</f>
        <v>8.4007000000000005</v>
      </c>
      <c r="F592" s="9">
        <f>8.4007 * CHOOSE(CONTROL!$C$32, $C$9, 100%, $E$9)</f>
        <v>8.4007000000000005</v>
      </c>
      <c r="G592" s="9">
        <f>8.4039 * CHOOSE(CONTROL!$C$32, $C$9, 100%, $E$9)</f>
        <v>8.4039000000000001</v>
      </c>
      <c r="H592" s="9">
        <f>12.0315 * CHOOSE(CONTROL!$C$32, $C$9, 100%, $E$9)</f>
        <v>12.031499999999999</v>
      </c>
      <c r="I592" s="9">
        <f>12.0347 * CHOOSE(CONTROL!$C$32, $C$9, 100%, $E$9)</f>
        <v>12.034700000000001</v>
      </c>
      <c r="J592" s="9">
        <f>12.0315 * CHOOSE(CONTROL!$C$32, $C$9, 100%, $E$9)</f>
        <v>12.031499999999999</v>
      </c>
      <c r="K592" s="9">
        <f>12.0347 * CHOOSE(CONTROL!$C$32, $C$9, 100%, $E$9)</f>
        <v>12.034700000000001</v>
      </c>
      <c r="L592" s="9">
        <f>8.4007 * CHOOSE(CONTROL!$C$32, $C$9, 100%, $E$9)</f>
        <v>8.4007000000000005</v>
      </c>
      <c r="M592" s="9">
        <f>8.4039 * CHOOSE(CONTROL!$C$32, $C$9, 100%, $E$9)</f>
        <v>8.4039000000000001</v>
      </c>
      <c r="N592" s="9">
        <f>8.4007 * CHOOSE(CONTROL!$C$32, $C$9, 100%, $E$9)</f>
        <v>8.4007000000000005</v>
      </c>
      <c r="O592" s="9">
        <f>8.4039 * CHOOSE(CONTROL!$C$32, $C$9, 100%, $E$9)</f>
        <v>8.4039000000000001</v>
      </c>
    </row>
    <row r="593" spans="1:15" ht="15.75" x14ac:dyDescent="0.25">
      <c r="A593" s="13">
        <v>58926</v>
      </c>
      <c r="B593" s="10">
        <f>10.083 * CHOOSE(CONTROL!$C$32, $C$9, 100%, $E$9)</f>
        <v>10.083</v>
      </c>
      <c r="C593" s="10">
        <f>10.083 * CHOOSE(CONTROL!$C$32, $C$9, 100%, $E$9)</f>
        <v>10.083</v>
      </c>
      <c r="D593" s="10">
        <f>10.0839 * CHOOSE(CONTROL!$C$32, $C$9, 100%, $E$9)</f>
        <v>10.0839</v>
      </c>
      <c r="E593" s="9">
        <f>8.5666 * CHOOSE(CONTROL!$C$32, $C$9, 100%, $E$9)</f>
        <v>8.5665999999999993</v>
      </c>
      <c r="F593" s="9">
        <f>8.5666 * CHOOSE(CONTROL!$C$32, $C$9, 100%, $E$9)</f>
        <v>8.5665999999999993</v>
      </c>
      <c r="G593" s="9">
        <f>8.5698 * CHOOSE(CONTROL!$C$32, $C$9, 100%, $E$9)</f>
        <v>8.5698000000000008</v>
      </c>
      <c r="H593" s="9">
        <f>12.0337 * CHOOSE(CONTROL!$C$32, $C$9, 100%, $E$9)</f>
        <v>12.0337</v>
      </c>
      <c r="I593" s="9">
        <f>12.0369 * CHOOSE(CONTROL!$C$32, $C$9, 100%, $E$9)</f>
        <v>12.036899999999999</v>
      </c>
      <c r="J593" s="9">
        <f>12.0337 * CHOOSE(CONTROL!$C$32, $C$9, 100%, $E$9)</f>
        <v>12.0337</v>
      </c>
      <c r="K593" s="9">
        <f>12.0369 * CHOOSE(CONTROL!$C$32, $C$9, 100%, $E$9)</f>
        <v>12.036899999999999</v>
      </c>
      <c r="L593" s="9">
        <f>8.5666 * CHOOSE(CONTROL!$C$32, $C$9, 100%, $E$9)</f>
        <v>8.5665999999999993</v>
      </c>
      <c r="M593" s="9">
        <f>8.5698 * CHOOSE(CONTROL!$C$32, $C$9, 100%, $E$9)</f>
        <v>8.5698000000000008</v>
      </c>
      <c r="N593" s="9">
        <f>8.5666 * CHOOSE(CONTROL!$C$32, $C$9, 100%, $E$9)</f>
        <v>8.5665999999999993</v>
      </c>
      <c r="O593" s="9">
        <f>8.5698 * CHOOSE(CONTROL!$C$32, $C$9, 100%, $E$9)</f>
        <v>8.5698000000000008</v>
      </c>
    </row>
    <row r="594" spans="1:15" ht="15.75" x14ac:dyDescent="0.25">
      <c r="A594" s="13">
        <v>58957</v>
      </c>
      <c r="B594" s="10">
        <f>10.083 * CHOOSE(CONTROL!$C$32, $C$9, 100%, $E$9)</f>
        <v>10.083</v>
      </c>
      <c r="C594" s="10">
        <f>10.083 * CHOOSE(CONTROL!$C$32, $C$9, 100%, $E$9)</f>
        <v>10.083</v>
      </c>
      <c r="D594" s="10">
        <f>10.0842 * CHOOSE(CONTROL!$C$32, $C$9, 100%, $E$9)</f>
        <v>10.084199999999999</v>
      </c>
      <c r="E594" s="9">
        <f>8.6304 * CHOOSE(CONTROL!$C$32, $C$9, 100%, $E$9)</f>
        <v>8.6303999999999998</v>
      </c>
      <c r="F594" s="9">
        <f>8.6304 * CHOOSE(CONTROL!$C$32, $C$9, 100%, $E$9)</f>
        <v>8.6303999999999998</v>
      </c>
      <c r="G594" s="9">
        <f>8.6346 * CHOOSE(CONTROL!$C$32, $C$9, 100%, $E$9)</f>
        <v>8.6346000000000007</v>
      </c>
      <c r="H594" s="9">
        <f>12.0337 * CHOOSE(CONTROL!$C$32, $C$9, 100%, $E$9)</f>
        <v>12.0337</v>
      </c>
      <c r="I594" s="9">
        <f>12.0379 * CHOOSE(CONTROL!$C$32, $C$9, 100%, $E$9)</f>
        <v>12.0379</v>
      </c>
      <c r="J594" s="9">
        <f>12.0337 * CHOOSE(CONTROL!$C$32, $C$9, 100%, $E$9)</f>
        <v>12.0337</v>
      </c>
      <c r="K594" s="9">
        <f>12.0379 * CHOOSE(CONTROL!$C$32, $C$9, 100%, $E$9)</f>
        <v>12.0379</v>
      </c>
      <c r="L594" s="9">
        <f>8.6304 * CHOOSE(CONTROL!$C$32, $C$9, 100%, $E$9)</f>
        <v>8.6303999999999998</v>
      </c>
      <c r="M594" s="9">
        <f>8.6346 * CHOOSE(CONTROL!$C$32, $C$9, 100%, $E$9)</f>
        <v>8.6346000000000007</v>
      </c>
      <c r="N594" s="9">
        <f>8.6304 * CHOOSE(CONTROL!$C$32, $C$9, 100%, $E$9)</f>
        <v>8.6303999999999998</v>
      </c>
      <c r="O594" s="9">
        <f>8.6346 * CHOOSE(CONTROL!$C$32, $C$9, 100%, $E$9)</f>
        <v>8.6346000000000007</v>
      </c>
    </row>
    <row r="595" spans="1:15" ht="15.75" x14ac:dyDescent="0.25">
      <c r="A595" s="13">
        <v>58987</v>
      </c>
      <c r="B595" s="10">
        <f>10.0891 * CHOOSE(CONTROL!$C$32, $C$9, 100%, $E$9)</f>
        <v>10.0891</v>
      </c>
      <c r="C595" s="10">
        <f>10.0891 * CHOOSE(CONTROL!$C$32, $C$9, 100%, $E$9)</f>
        <v>10.0891</v>
      </c>
      <c r="D595" s="10">
        <f>10.0903 * CHOOSE(CONTROL!$C$32, $C$9, 100%, $E$9)</f>
        <v>10.090299999999999</v>
      </c>
      <c r="E595" s="9">
        <f>8.5708 * CHOOSE(CONTROL!$C$32, $C$9, 100%, $E$9)</f>
        <v>8.5708000000000002</v>
      </c>
      <c r="F595" s="9">
        <f>8.5708 * CHOOSE(CONTROL!$C$32, $C$9, 100%, $E$9)</f>
        <v>8.5708000000000002</v>
      </c>
      <c r="G595" s="9">
        <f>8.575 * CHOOSE(CONTROL!$C$32, $C$9, 100%, $E$9)</f>
        <v>8.5749999999999993</v>
      </c>
      <c r="H595" s="9">
        <f>12.0377 * CHOOSE(CONTROL!$C$32, $C$9, 100%, $E$9)</f>
        <v>12.037699999999999</v>
      </c>
      <c r="I595" s="9">
        <f>12.0419 * CHOOSE(CONTROL!$C$32, $C$9, 100%, $E$9)</f>
        <v>12.0419</v>
      </c>
      <c r="J595" s="9">
        <f>12.0377 * CHOOSE(CONTROL!$C$32, $C$9, 100%, $E$9)</f>
        <v>12.037699999999999</v>
      </c>
      <c r="K595" s="9">
        <f>12.0419 * CHOOSE(CONTROL!$C$32, $C$9, 100%, $E$9)</f>
        <v>12.0419</v>
      </c>
      <c r="L595" s="9">
        <f>8.5708 * CHOOSE(CONTROL!$C$32, $C$9, 100%, $E$9)</f>
        <v>8.5708000000000002</v>
      </c>
      <c r="M595" s="9">
        <f>8.575 * CHOOSE(CONTROL!$C$32, $C$9, 100%, $E$9)</f>
        <v>8.5749999999999993</v>
      </c>
      <c r="N595" s="9">
        <f>8.5708 * CHOOSE(CONTROL!$C$32, $C$9, 100%, $E$9)</f>
        <v>8.5708000000000002</v>
      </c>
      <c r="O595" s="9">
        <f>8.575 * CHOOSE(CONTROL!$C$32, $C$9, 100%, $E$9)</f>
        <v>8.5749999999999993</v>
      </c>
    </row>
    <row r="596" spans="1:15" ht="15.75" x14ac:dyDescent="0.25">
      <c r="A596" s="13">
        <v>59018</v>
      </c>
      <c r="B596" s="10">
        <f>10.2301 * CHOOSE(CONTROL!$C$32, $C$9, 100%, $E$9)</f>
        <v>10.2301</v>
      </c>
      <c r="C596" s="10">
        <f>10.2301 * CHOOSE(CONTROL!$C$32, $C$9, 100%, $E$9)</f>
        <v>10.2301</v>
      </c>
      <c r="D596" s="10">
        <f>10.2313 * CHOOSE(CONTROL!$C$32, $C$9, 100%, $E$9)</f>
        <v>10.231299999999999</v>
      </c>
      <c r="E596" s="9">
        <f>8.6694 * CHOOSE(CONTROL!$C$32, $C$9, 100%, $E$9)</f>
        <v>8.6693999999999996</v>
      </c>
      <c r="F596" s="9">
        <f>8.6694 * CHOOSE(CONTROL!$C$32, $C$9, 100%, $E$9)</f>
        <v>8.6693999999999996</v>
      </c>
      <c r="G596" s="9">
        <f>8.6736 * CHOOSE(CONTROL!$C$32, $C$9, 100%, $E$9)</f>
        <v>8.6736000000000004</v>
      </c>
      <c r="H596" s="9">
        <f>12.2166 * CHOOSE(CONTROL!$C$32, $C$9, 100%, $E$9)</f>
        <v>12.2166</v>
      </c>
      <c r="I596" s="9">
        <f>12.2208 * CHOOSE(CONTROL!$C$32, $C$9, 100%, $E$9)</f>
        <v>12.220800000000001</v>
      </c>
      <c r="J596" s="9">
        <f>12.2166 * CHOOSE(CONTROL!$C$32, $C$9, 100%, $E$9)</f>
        <v>12.2166</v>
      </c>
      <c r="K596" s="9">
        <f>12.2208 * CHOOSE(CONTROL!$C$32, $C$9, 100%, $E$9)</f>
        <v>12.220800000000001</v>
      </c>
      <c r="L596" s="9">
        <f>8.6694 * CHOOSE(CONTROL!$C$32, $C$9, 100%, $E$9)</f>
        <v>8.6693999999999996</v>
      </c>
      <c r="M596" s="9">
        <f>8.6736 * CHOOSE(CONTROL!$C$32, $C$9, 100%, $E$9)</f>
        <v>8.6736000000000004</v>
      </c>
      <c r="N596" s="9">
        <f>8.6694 * CHOOSE(CONTROL!$C$32, $C$9, 100%, $E$9)</f>
        <v>8.6693999999999996</v>
      </c>
      <c r="O596" s="9">
        <f>8.6736 * CHOOSE(CONTROL!$C$32, $C$9, 100%, $E$9)</f>
        <v>8.6736000000000004</v>
      </c>
    </row>
    <row r="597" spans="1:15" ht="15.75" x14ac:dyDescent="0.25">
      <c r="A597" s="13">
        <v>59049</v>
      </c>
      <c r="B597" s="10">
        <f>10.2368 * CHOOSE(CONTROL!$C$32, $C$9, 100%, $E$9)</f>
        <v>10.236800000000001</v>
      </c>
      <c r="C597" s="10">
        <f>10.2368 * CHOOSE(CONTROL!$C$32, $C$9, 100%, $E$9)</f>
        <v>10.236800000000001</v>
      </c>
      <c r="D597" s="10">
        <f>10.238 * CHOOSE(CONTROL!$C$32, $C$9, 100%, $E$9)</f>
        <v>10.238</v>
      </c>
      <c r="E597" s="9">
        <f>8.4826 * CHOOSE(CONTROL!$C$32, $C$9, 100%, $E$9)</f>
        <v>8.4825999999999997</v>
      </c>
      <c r="F597" s="9">
        <f>8.4826 * CHOOSE(CONTROL!$C$32, $C$9, 100%, $E$9)</f>
        <v>8.4825999999999997</v>
      </c>
      <c r="G597" s="9">
        <f>8.4868 * CHOOSE(CONTROL!$C$32, $C$9, 100%, $E$9)</f>
        <v>8.4868000000000006</v>
      </c>
      <c r="H597" s="9">
        <f>12.221 * CHOOSE(CONTROL!$C$32, $C$9, 100%, $E$9)</f>
        <v>12.221</v>
      </c>
      <c r="I597" s="9">
        <f>12.2252 * CHOOSE(CONTROL!$C$32, $C$9, 100%, $E$9)</f>
        <v>12.225199999999999</v>
      </c>
      <c r="J597" s="9">
        <f>12.221 * CHOOSE(CONTROL!$C$32, $C$9, 100%, $E$9)</f>
        <v>12.221</v>
      </c>
      <c r="K597" s="9">
        <f>12.2252 * CHOOSE(CONTROL!$C$32, $C$9, 100%, $E$9)</f>
        <v>12.225199999999999</v>
      </c>
      <c r="L597" s="9">
        <f>8.4826 * CHOOSE(CONTROL!$C$32, $C$9, 100%, $E$9)</f>
        <v>8.4825999999999997</v>
      </c>
      <c r="M597" s="9">
        <f>8.4868 * CHOOSE(CONTROL!$C$32, $C$9, 100%, $E$9)</f>
        <v>8.4868000000000006</v>
      </c>
      <c r="N597" s="9">
        <f>8.4826 * CHOOSE(CONTROL!$C$32, $C$9, 100%, $E$9)</f>
        <v>8.4825999999999997</v>
      </c>
      <c r="O597" s="9">
        <f>8.4868 * CHOOSE(CONTROL!$C$32, $C$9, 100%, $E$9)</f>
        <v>8.4868000000000006</v>
      </c>
    </row>
    <row r="598" spans="1:15" ht="15.75" x14ac:dyDescent="0.25">
      <c r="A598" s="13">
        <v>59079</v>
      </c>
      <c r="B598" s="10">
        <f>10.2337 * CHOOSE(CONTROL!$C$32, $C$9, 100%, $E$9)</f>
        <v>10.233700000000001</v>
      </c>
      <c r="C598" s="10">
        <f>10.2337 * CHOOSE(CONTROL!$C$32, $C$9, 100%, $E$9)</f>
        <v>10.233700000000001</v>
      </c>
      <c r="D598" s="10">
        <f>10.235 * CHOOSE(CONTROL!$C$32, $C$9, 100%, $E$9)</f>
        <v>10.234999999999999</v>
      </c>
      <c r="E598" s="9">
        <f>8.4593 * CHOOSE(CONTROL!$C$32, $C$9, 100%, $E$9)</f>
        <v>8.4593000000000007</v>
      </c>
      <c r="F598" s="9">
        <f>8.4593 * CHOOSE(CONTROL!$C$32, $C$9, 100%, $E$9)</f>
        <v>8.4593000000000007</v>
      </c>
      <c r="G598" s="9">
        <f>8.4635 * CHOOSE(CONTROL!$C$32, $C$9, 100%, $E$9)</f>
        <v>8.4634999999999998</v>
      </c>
      <c r="H598" s="9">
        <f>12.219 * CHOOSE(CONTROL!$C$32, $C$9, 100%, $E$9)</f>
        <v>12.218999999999999</v>
      </c>
      <c r="I598" s="9">
        <f>12.2232 * CHOOSE(CONTROL!$C$32, $C$9, 100%, $E$9)</f>
        <v>12.2232</v>
      </c>
      <c r="J598" s="9">
        <f>12.219 * CHOOSE(CONTROL!$C$32, $C$9, 100%, $E$9)</f>
        <v>12.218999999999999</v>
      </c>
      <c r="K598" s="9">
        <f>12.2232 * CHOOSE(CONTROL!$C$32, $C$9, 100%, $E$9)</f>
        <v>12.2232</v>
      </c>
      <c r="L598" s="9">
        <f>8.4593 * CHOOSE(CONTROL!$C$32, $C$9, 100%, $E$9)</f>
        <v>8.4593000000000007</v>
      </c>
      <c r="M598" s="9">
        <f>8.4635 * CHOOSE(CONTROL!$C$32, $C$9, 100%, $E$9)</f>
        <v>8.4634999999999998</v>
      </c>
      <c r="N598" s="9">
        <f>8.4593 * CHOOSE(CONTROL!$C$32, $C$9, 100%, $E$9)</f>
        <v>8.4593000000000007</v>
      </c>
      <c r="O598" s="9">
        <f>8.4635 * CHOOSE(CONTROL!$C$32, $C$9, 100%, $E$9)</f>
        <v>8.4634999999999998</v>
      </c>
    </row>
    <row r="599" spans="1:15" ht="15.75" x14ac:dyDescent="0.25">
      <c r="A599" s="13">
        <v>59110</v>
      </c>
      <c r="B599" s="10">
        <f>10.2534 * CHOOSE(CONTROL!$C$32, $C$9, 100%, $E$9)</f>
        <v>10.253399999999999</v>
      </c>
      <c r="C599" s="10">
        <f>10.2534 * CHOOSE(CONTROL!$C$32, $C$9, 100%, $E$9)</f>
        <v>10.253399999999999</v>
      </c>
      <c r="D599" s="10">
        <f>10.2544 * CHOOSE(CONTROL!$C$32, $C$9, 100%, $E$9)</f>
        <v>10.2544</v>
      </c>
      <c r="E599" s="9">
        <f>8.5309 * CHOOSE(CONTROL!$C$32, $C$9, 100%, $E$9)</f>
        <v>8.5309000000000008</v>
      </c>
      <c r="F599" s="9">
        <f>8.5309 * CHOOSE(CONTROL!$C$32, $C$9, 100%, $E$9)</f>
        <v>8.5309000000000008</v>
      </c>
      <c r="G599" s="9">
        <f>8.5342 * CHOOSE(CONTROL!$C$32, $C$9, 100%, $E$9)</f>
        <v>8.5342000000000002</v>
      </c>
      <c r="H599" s="9">
        <f>12.2305 * CHOOSE(CONTROL!$C$32, $C$9, 100%, $E$9)</f>
        <v>12.230499999999999</v>
      </c>
      <c r="I599" s="9">
        <f>12.2338 * CHOOSE(CONTROL!$C$32, $C$9, 100%, $E$9)</f>
        <v>12.2338</v>
      </c>
      <c r="J599" s="9">
        <f>12.2305 * CHOOSE(CONTROL!$C$32, $C$9, 100%, $E$9)</f>
        <v>12.230499999999999</v>
      </c>
      <c r="K599" s="9">
        <f>12.2338 * CHOOSE(CONTROL!$C$32, $C$9, 100%, $E$9)</f>
        <v>12.2338</v>
      </c>
      <c r="L599" s="9">
        <f>8.5309 * CHOOSE(CONTROL!$C$32, $C$9, 100%, $E$9)</f>
        <v>8.5309000000000008</v>
      </c>
      <c r="M599" s="9">
        <f>8.5342 * CHOOSE(CONTROL!$C$32, $C$9, 100%, $E$9)</f>
        <v>8.5342000000000002</v>
      </c>
      <c r="N599" s="9">
        <f>8.5309 * CHOOSE(CONTROL!$C$32, $C$9, 100%, $E$9)</f>
        <v>8.5309000000000008</v>
      </c>
      <c r="O599" s="9">
        <f>8.5342 * CHOOSE(CONTROL!$C$32, $C$9, 100%, $E$9)</f>
        <v>8.5342000000000002</v>
      </c>
    </row>
    <row r="600" spans="1:15" ht="15.75" x14ac:dyDescent="0.25">
      <c r="A600" s="13">
        <v>59140</v>
      </c>
      <c r="B600" s="10">
        <f>10.2564 * CHOOSE(CONTROL!$C$32, $C$9, 100%, $E$9)</f>
        <v>10.256399999999999</v>
      </c>
      <c r="C600" s="10">
        <f>10.2564 * CHOOSE(CONTROL!$C$32, $C$9, 100%, $E$9)</f>
        <v>10.256399999999999</v>
      </c>
      <c r="D600" s="10">
        <f>10.2574 * CHOOSE(CONTROL!$C$32, $C$9, 100%, $E$9)</f>
        <v>10.257400000000001</v>
      </c>
      <c r="E600" s="9">
        <f>8.5756 * CHOOSE(CONTROL!$C$32, $C$9, 100%, $E$9)</f>
        <v>8.5755999999999997</v>
      </c>
      <c r="F600" s="9">
        <f>8.5756 * CHOOSE(CONTROL!$C$32, $C$9, 100%, $E$9)</f>
        <v>8.5755999999999997</v>
      </c>
      <c r="G600" s="9">
        <f>8.5788 * CHOOSE(CONTROL!$C$32, $C$9, 100%, $E$9)</f>
        <v>8.5787999999999993</v>
      </c>
      <c r="H600" s="9">
        <f>12.2325 * CHOOSE(CONTROL!$C$32, $C$9, 100%, $E$9)</f>
        <v>12.2325</v>
      </c>
      <c r="I600" s="9">
        <f>12.2358 * CHOOSE(CONTROL!$C$32, $C$9, 100%, $E$9)</f>
        <v>12.235799999999999</v>
      </c>
      <c r="J600" s="9">
        <f>12.2325 * CHOOSE(CONTROL!$C$32, $C$9, 100%, $E$9)</f>
        <v>12.2325</v>
      </c>
      <c r="K600" s="9">
        <f>12.2358 * CHOOSE(CONTROL!$C$32, $C$9, 100%, $E$9)</f>
        <v>12.235799999999999</v>
      </c>
      <c r="L600" s="9">
        <f>8.5756 * CHOOSE(CONTROL!$C$32, $C$9, 100%, $E$9)</f>
        <v>8.5755999999999997</v>
      </c>
      <c r="M600" s="9">
        <f>8.5788 * CHOOSE(CONTROL!$C$32, $C$9, 100%, $E$9)</f>
        <v>8.5787999999999993</v>
      </c>
      <c r="N600" s="9">
        <f>8.5756 * CHOOSE(CONTROL!$C$32, $C$9, 100%, $E$9)</f>
        <v>8.5755999999999997</v>
      </c>
      <c r="O600" s="9">
        <f>8.5788 * CHOOSE(CONTROL!$C$32, $C$9, 100%, $E$9)</f>
        <v>8.5787999999999993</v>
      </c>
    </row>
    <row r="601" spans="1:15" ht="15.75" x14ac:dyDescent="0.25">
      <c r="A601" s="13">
        <v>59171</v>
      </c>
      <c r="B601" s="10">
        <f>10.2564 * CHOOSE(CONTROL!$C$32, $C$9, 100%, $E$9)</f>
        <v>10.256399999999999</v>
      </c>
      <c r="C601" s="10">
        <f>10.2564 * CHOOSE(CONTROL!$C$32, $C$9, 100%, $E$9)</f>
        <v>10.256399999999999</v>
      </c>
      <c r="D601" s="10">
        <f>10.2574 * CHOOSE(CONTROL!$C$32, $C$9, 100%, $E$9)</f>
        <v>10.257400000000001</v>
      </c>
      <c r="E601" s="9">
        <f>8.4692 * CHOOSE(CONTROL!$C$32, $C$9, 100%, $E$9)</f>
        <v>8.4692000000000007</v>
      </c>
      <c r="F601" s="9">
        <f>8.4692 * CHOOSE(CONTROL!$C$32, $C$9, 100%, $E$9)</f>
        <v>8.4692000000000007</v>
      </c>
      <c r="G601" s="9">
        <f>8.4725 * CHOOSE(CONTROL!$C$32, $C$9, 100%, $E$9)</f>
        <v>8.4725000000000001</v>
      </c>
      <c r="H601" s="9">
        <f>12.2325 * CHOOSE(CONTROL!$C$32, $C$9, 100%, $E$9)</f>
        <v>12.2325</v>
      </c>
      <c r="I601" s="9">
        <f>12.2358 * CHOOSE(CONTROL!$C$32, $C$9, 100%, $E$9)</f>
        <v>12.235799999999999</v>
      </c>
      <c r="J601" s="9">
        <f>12.2325 * CHOOSE(CONTROL!$C$32, $C$9, 100%, $E$9)</f>
        <v>12.2325</v>
      </c>
      <c r="K601" s="9">
        <f>12.2358 * CHOOSE(CONTROL!$C$32, $C$9, 100%, $E$9)</f>
        <v>12.235799999999999</v>
      </c>
      <c r="L601" s="9">
        <f>8.4692 * CHOOSE(CONTROL!$C$32, $C$9, 100%, $E$9)</f>
        <v>8.4692000000000007</v>
      </c>
      <c r="M601" s="9">
        <f>8.4725 * CHOOSE(CONTROL!$C$32, $C$9, 100%, $E$9)</f>
        <v>8.4725000000000001</v>
      </c>
      <c r="N601" s="9">
        <f>8.4692 * CHOOSE(CONTROL!$C$32, $C$9, 100%, $E$9)</f>
        <v>8.4692000000000007</v>
      </c>
      <c r="O601" s="9">
        <f>8.4725 * CHOOSE(CONTROL!$C$32, $C$9, 100%, $E$9)</f>
        <v>8.4725000000000001</v>
      </c>
    </row>
    <row r="602" spans="1:15" ht="15" x14ac:dyDescent="0.2">
      <c r="A602" s="12"/>
      <c r="B602" s="10"/>
      <c r="C602" s="10"/>
      <c r="D602" s="10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1:15" ht="15" x14ac:dyDescent="0.2">
      <c r="A603" s="11">
        <v>2013</v>
      </c>
      <c r="B603" s="10">
        <f t="shared" ref="B603:O603" si="0">AVERAGE(B14:B25)</f>
        <v>2.4477333333333333</v>
      </c>
      <c r="C603" s="10">
        <f t="shared" si="0"/>
        <v>2.500916666666666</v>
      </c>
      <c r="D603" s="10">
        <f t="shared" si="0"/>
        <v>2.5400166666666668</v>
      </c>
      <c r="E603" s="10">
        <f t="shared" si="0"/>
        <v>4.1238750000000008</v>
      </c>
      <c r="F603" s="10">
        <f t="shared" si="0"/>
        <v>3.608025</v>
      </c>
      <c r="G603" s="10">
        <f t="shared" si="0"/>
        <v>3.6210166666666663</v>
      </c>
      <c r="H603" s="10">
        <f t="shared" si="0"/>
        <v>3.8365416666666659</v>
      </c>
      <c r="I603" s="10">
        <f t="shared" si="0"/>
        <v>3.8495416666666658</v>
      </c>
      <c r="J603" s="10">
        <f t="shared" si="0"/>
        <v>3.8365416666666659</v>
      </c>
      <c r="K603" s="10">
        <f t="shared" si="0"/>
        <v>3.8495416666666658</v>
      </c>
      <c r="L603" s="10">
        <f t="shared" si="0"/>
        <v>4.1238750000000008</v>
      </c>
      <c r="M603" s="10">
        <f t="shared" si="0"/>
        <v>4.1368916666666662</v>
      </c>
      <c r="N603" s="10">
        <f t="shared" si="0"/>
        <v>4.1238750000000008</v>
      </c>
      <c r="O603" s="10">
        <f t="shared" si="0"/>
        <v>4.1368916666666662</v>
      </c>
    </row>
    <row r="604" spans="1:15" ht="15" x14ac:dyDescent="0.2">
      <c r="A604" s="11">
        <v>2014</v>
      </c>
      <c r="B604" s="10">
        <f t="shared" ref="B604:O604" si="1">AVERAGE(B26:B37)</f>
        <v>2.5016916666666664</v>
      </c>
      <c r="C604" s="10">
        <f t="shared" si="1"/>
        <v>2.5222333333333338</v>
      </c>
      <c r="D604" s="10">
        <f t="shared" si="1"/>
        <v>2.5613250000000001</v>
      </c>
      <c r="E604" s="10">
        <f t="shared" si="1"/>
        <v>3.5369416666666669</v>
      </c>
      <c r="F604" s="10">
        <f t="shared" si="1"/>
        <v>3.5125666666666664</v>
      </c>
      <c r="G604" s="10">
        <f t="shared" si="1"/>
        <v>3.5255749999999999</v>
      </c>
      <c r="H604" s="10">
        <f t="shared" si="1"/>
        <v>3.9038416666666667</v>
      </c>
      <c r="I604" s="10">
        <f t="shared" si="1"/>
        <v>3.9168666666666669</v>
      </c>
      <c r="J604" s="10">
        <f t="shared" si="1"/>
        <v>3.9038416666666667</v>
      </c>
      <c r="K604" s="10">
        <f t="shared" si="1"/>
        <v>3.9168666666666669</v>
      </c>
      <c r="L604" s="10">
        <f t="shared" si="1"/>
        <v>3.5369416666666669</v>
      </c>
      <c r="M604" s="10">
        <f t="shared" si="1"/>
        <v>3.5499499999999995</v>
      </c>
      <c r="N604" s="10">
        <f t="shared" si="1"/>
        <v>3.5369416666666669</v>
      </c>
      <c r="O604" s="10">
        <f t="shared" si="1"/>
        <v>3.5499499999999995</v>
      </c>
    </row>
    <row r="605" spans="1:15" ht="15" x14ac:dyDescent="0.2">
      <c r="A605" s="11">
        <v>2015</v>
      </c>
      <c r="B605" s="10">
        <f t="shared" ref="B605:O605" si="2">AVERAGE(B38:B49)</f>
        <v>2.5646416666666672</v>
      </c>
      <c r="C605" s="10">
        <f t="shared" si="2"/>
        <v>2.5646416666666672</v>
      </c>
      <c r="D605" s="10">
        <f t="shared" si="2"/>
        <v>2.5657333333333328</v>
      </c>
      <c r="E605" s="10">
        <f t="shared" si="2"/>
        <v>3.6045000000000011</v>
      </c>
      <c r="F605" s="10">
        <f t="shared" si="2"/>
        <v>3.5835999999999992</v>
      </c>
      <c r="G605" s="10">
        <f t="shared" si="2"/>
        <v>3.5872166666666665</v>
      </c>
      <c r="H605" s="10">
        <f t="shared" si="2"/>
        <v>3.9846583333333334</v>
      </c>
      <c r="I605" s="10">
        <f t="shared" si="2"/>
        <v>3.9882750000000002</v>
      </c>
      <c r="J605" s="10">
        <f t="shared" si="2"/>
        <v>3.9846583333333334</v>
      </c>
      <c r="K605" s="10">
        <f t="shared" si="2"/>
        <v>3.9882750000000002</v>
      </c>
      <c r="L605" s="10">
        <f t="shared" si="2"/>
        <v>3.6045000000000011</v>
      </c>
      <c r="M605" s="10">
        <f t="shared" si="2"/>
        <v>3.6081166666666671</v>
      </c>
      <c r="N605" s="10">
        <f t="shared" si="2"/>
        <v>3.6045000000000011</v>
      </c>
      <c r="O605" s="10">
        <f t="shared" si="2"/>
        <v>3.6081166666666671</v>
      </c>
    </row>
    <row r="606" spans="1:15" ht="15" x14ac:dyDescent="0.2">
      <c r="A606" s="11">
        <v>2016</v>
      </c>
      <c r="B606" s="10">
        <f t="shared" ref="B606:O606" si="3">AVERAGE(B50:B61)</f>
        <v>2.5733666666666664</v>
      </c>
      <c r="C606" s="10">
        <f t="shared" si="3"/>
        <v>2.5733666666666664</v>
      </c>
      <c r="D606" s="10">
        <f t="shared" si="3"/>
        <v>2.5744416666666665</v>
      </c>
      <c r="E606" s="10">
        <f t="shared" si="3"/>
        <v>3.7019000000000015</v>
      </c>
      <c r="F606" s="10">
        <f t="shared" si="3"/>
        <v>3.6856000000000004</v>
      </c>
      <c r="G606" s="10">
        <f t="shared" si="3"/>
        <v>3.6892166666666664</v>
      </c>
      <c r="H606" s="10">
        <f t="shared" si="3"/>
        <v>4.1009333333333338</v>
      </c>
      <c r="I606" s="10">
        <f t="shared" si="3"/>
        <v>4.1045500000000006</v>
      </c>
      <c r="J606" s="10">
        <f t="shared" si="3"/>
        <v>4.1009333333333338</v>
      </c>
      <c r="K606" s="10">
        <f t="shared" si="3"/>
        <v>4.1045500000000006</v>
      </c>
      <c r="L606" s="10">
        <f t="shared" si="3"/>
        <v>3.7019000000000015</v>
      </c>
      <c r="M606" s="10">
        <f t="shared" si="3"/>
        <v>3.7055749999999996</v>
      </c>
      <c r="N606" s="10">
        <f t="shared" si="3"/>
        <v>3.7019000000000015</v>
      </c>
      <c r="O606" s="10">
        <f t="shared" si="3"/>
        <v>3.7055749999999996</v>
      </c>
    </row>
    <row r="607" spans="1:15" ht="15" x14ac:dyDescent="0.2">
      <c r="A607" s="11">
        <v>2017</v>
      </c>
      <c r="B607" s="10">
        <f t="shared" ref="B607:O607" si="4">AVERAGE(B62:B73)</f>
        <v>2.6370083333333332</v>
      </c>
      <c r="C607" s="10">
        <f t="shared" si="4"/>
        <v>2.6370083333333332</v>
      </c>
      <c r="D607" s="10">
        <f t="shared" si="4"/>
        <v>2.6380916666666669</v>
      </c>
      <c r="E607" s="10">
        <f t="shared" si="4"/>
        <v>3.8132583333333336</v>
      </c>
      <c r="F607" s="10">
        <f t="shared" si="4"/>
        <v>3.8132583333333336</v>
      </c>
      <c r="G607" s="10">
        <f t="shared" si="4"/>
        <v>3.8169000000000004</v>
      </c>
      <c r="H607" s="10">
        <f t="shared" si="4"/>
        <v>4.2399083333333341</v>
      </c>
      <c r="I607" s="10">
        <f t="shared" si="4"/>
        <v>4.2435500000000008</v>
      </c>
      <c r="J607" s="10">
        <f t="shared" si="4"/>
        <v>4.2399083333333341</v>
      </c>
      <c r="K607" s="10">
        <f t="shared" si="4"/>
        <v>4.2435500000000008</v>
      </c>
      <c r="L607" s="10">
        <f t="shared" si="4"/>
        <v>3.8132583333333336</v>
      </c>
      <c r="M607" s="10">
        <f t="shared" si="4"/>
        <v>3.8169000000000004</v>
      </c>
      <c r="N607" s="10">
        <f t="shared" si="4"/>
        <v>3.8132583333333336</v>
      </c>
      <c r="O607" s="10">
        <f t="shared" si="4"/>
        <v>3.8169000000000004</v>
      </c>
    </row>
    <row r="608" spans="1:15" ht="15" x14ac:dyDescent="0.2">
      <c r="A608" s="11">
        <v>2018</v>
      </c>
      <c r="B608" s="10">
        <f t="shared" ref="B608:O608" si="5">AVERAGE(B74:B85)</f>
        <v>2.6999250000000004</v>
      </c>
      <c r="C608" s="10">
        <f t="shared" si="5"/>
        <v>2.6999250000000004</v>
      </c>
      <c r="D608" s="10">
        <f t="shared" si="5"/>
        <v>2.7010000000000001</v>
      </c>
      <c r="E608" s="10">
        <f t="shared" si="5"/>
        <v>3.9296083333333338</v>
      </c>
      <c r="F608" s="10">
        <f t="shared" si="5"/>
        <v>3.9296083333333338</v>
      </c>
      <c r="G608" s="10">
        <f t="shared" si="5"/>
        <v>3.9332583333333333</v>
      </c>
      <c r="H608" s="10">
        <f t="shared" si="5"/>
        <v>4.3676833333333329</v>
      </c>
      <c r="I608" s="10">
        <f t="shared" si="5"/>
        <v>4.3713333333333333</v>
      </c>
      <c r="J608" s="10">
        <f t="shared" si="5"/>
        <v>4.3676833333333329</v>
      </c>
      <c r="K608" s="10">
        <f t="shared" si="5"/>
        <v>4.3713333333333333</v>
      </c>
      <c r="L608" s="10">
        <f t="shared" si="5"/>
        <v>3.9296083333333338</v>
      </c>
      <c r="M608" s="10">
        <f t="shared" si="5"/>
        <v>3.9332583333333333</v>
      </c>
      <c r="N608" s="10">
        <f t="shared" si="5"/>
        <v>3.9296083333333338</v>
      </c>
      <c r="O608" s="10">
        <f t="shared" si="5"/>
        <v>3.9332583333333333</v>
      </c>
    </row>
    <row r="609" spans="1:15" ht="15" x14ac:dyDescent="0.2">
      <c r="A609" s="11">
        <v>2019</v>
      </c>
      <c r="B609" s="10">
        <f t="shared" ref="B609:O609" si="6">AVERAGE(B86:B97)</f>
        <v>3.6265583333333331</v>
      </c>
      <c r="C609" s="10">
        <f t="shared" si="6"/>
        <v>3.6265583333333331</v>
      </c>
      <c r="D609" s="10">
        <f t="shared" si="6"/>
        <v>3.6276333333333333</v>
      </c>
      <c r="E609" s="10">
        <f t="shared" si="6"/>
        <v>4.138841666666667</v>
      </c>
      <c r="F609" s="10">
        <f t="shared" si="6"/>
        <v>4.138841666666667</v>
      </c>
      <c r="G609" s="10">
        <f t="shared" si="6"/>
        <v>4.1424666666666665</v>
      </c>
      <c r="H609" s="10">
        <f t="shared" si="6"/>
        <v>4.4971833333333331</v>
      </c>
      <c r="I609" s="10">
        <f t="shared" si="6"/>
        <v>4.5008000000000008</v>
      </c>
      <c r="J609" s="10">
        <f t="shared" si="6"/>
        <v>4.4971833333333331</v>
      </c>
      <c r="K609" s="10">
        <f t="shared" si="6"/>
        <v>4.5008000000000008</v>
      </c>
      <c r="L609" s="10">
        <f t="shared" si="6"/>
        <v>4.138841666666667</v>
      </c>
      <c r="M609" s="10">
        <f t="shared" si="6"/>
        <v>4.1424666666666665</v>
      </c>
      <c r="N609" s="10">
        <f t="shared" si="6"/>
        <v>4.138841666666667</v>
      </c>
      <c r="O609" s="10">
        <f t="shared" si="6"/>
        <v>4.1424666666666665</v>
      </c>
    </row>
    <row r="610" spans="1:15" ht="15" x14ac:dyDescent="0.2">
      <c r="A610" s="11">
        <v>2020</v>
      </c>
      <c r="B610" s="10">
        <f t="shared" ref="B610:O610" si="7">AVERAGE(B98:B109)</f>
        <v>3.7318166666666657</v>
      </c>
      <c r="C610" s="10">
        <f t="shared" si="7"/>
        <v>3.7318166666666657</v>
      </c>
      <c r="D610" s="10">
        <f t="shared" si="7"/>
        <v>3.7329000000000003</v>
      </c>
      <c r="E610" s="10">
        <f t="shared" si="7"/>
        <v>4.345041666666666</v>
      </c>
      <c r="F610" s="10">
        <f t="shared" si="7"/>
        <v>4.345041666666666</v>
      </c>
      <c r="G610" s="10">
        <f t="shared" si="7"/>
        <v>4.3486833333333328</v>
      </c>
      <c r="H610" s="10">
        <f t="shared" si="7"/>
        <v>4.6355083333333331</v>
      </c>
      <c r="I610" s="10">
        <f t="shared" si="7"/>
        <v>4.6391249999999999</v>
      </c>
      <c r="J610" s="10">
        <f t="shared" si="7"/>
        <v>4.6355083333333331</v>
      </c>
      <c r="K610" s="10">
        <f t="shared" si="7"/>
        <v>4.6391249999999999</v>
      </c>
      <c r="L610" s="10">
        <f t="shared" si="7"/>
        <v>4.345041666666666</v>
      </c>
      <c r="M610" s="10">
        <f t="shared" si="7"/>
        <v>4.3486833333333328</v>
      </c>
      <c r="N610" s="10">
        <f t="shared" si="7"/>
        <v>4.345041666666666</v>
      </c>
      <c r="O610" s="10">
        <f t="shared" si="7"/>
        <v>4.3486833333333328</v>
      </c>
    </row>
    <row r="611" spans="1:15" ht="15" x14ac:dyDescent="0.2">
      <c r="A611" s="11">
        <v>2021</v>
      </c>
      <c r="B611" s="10">
        <f t="shared" ref="B611:O611" si="8">AVERAGE(B110:B121)</f>
        <v>3.8155750000000004</v>
      </c>
      <c r="C611" s="10">
        <f t="shared" si="8"/>
        <v>3.8155750000000004</v>
      </c>
      <c r="D611" s="10">
        <f t="shared" si="8"/>
        <v>3.8166499999999992</v>
      </c>
      <c r="E611" s="10">
        <f t="shared" si="8"/>
        <v>4.3847916666666675</v>
      </c>
      <c r="F611" s="10">
        <f t="shared" si="8"/>
        <v>4.3847916666666675</v>
      </c>
      <c r="G611" s="10">
        <f t="shared" si="8"/>
        <v>4.388441666666667</v>
      </c>
      <c r="H611" s="10">
        <f t="shared" si="8"/>
        <v>4.737333333333333</v>
      </c>
      <c r="I611" s="10">
        <f t="shared" si="8"/>
        <v>4.7409749999999997</v>
      </c>
      <c r="J611" s="10">
        <f t="shared" si="8"/>
        <v>4.737333333333333</v>
      </c>
      <c r="K611" s="10">
        <f t="shared" si="8"/>
        <v>4.7409749999999997</v>
      </c>
      <c r="L611" s="10">
        <f t="shared" si="8"/>
        <v>4.3847916666666675</v>
      </c>
      <c r="M611" s="10">
        <f t="shared" si="8"/>
        <v>4.388441666666667</v>
      </c>
      <c r="N611" s="10">
        <f t="shared" si="8"/>
        <v>4.3847916666666675</v>
      </c>
      <c r="O611" s="10">
        <f t="shared" si="8"/>
        <v>4.388441666666667</v>
      </c>
    </row>
    <row r="612" spans="1:15" ht="15" x14ac:dyDescent="0.2">
      <c r="A612" s="11">
        <v>2022</v>
      </c>
      <c r="B612" s="10">
        <f t="shared" ref="B612:O612" si="9">AVERAGE(B122:B133)</f>
        <v>3.9065916666666674</v>
      </c>
      <c r="C612" s="10">
        <f t="shared" si="9"/>
        <v>3.9065916666666674</v>
      </c>
      <c r="D612" s="10">
        <f t="shared" si="9"/>
        <v>3.9076499999999998</v>
      </c>
      <c r="E612" s="10">
        <f t="shared" si="9"/>
        <v>4.454391666666667</v>
      </c>
      <c r="F612" s="10">
        <f t="shared" si="9"/>
        <v>4.454391666666667</v>
      </c>
      <c r="G612" s="10">
        <f t="shared" si="9"/>
        <v>4.4580250000000001</v>
      </c>
      <c r="H612" s="10">
        <f t="shared" si="9"/>
        <v>4.8508833333333339</v>
      </c>
      <c r="I612" s="10">
        <f t="shared" si="9"/>
        <v>4.8545333333333334</v>
      </c>
      <c r="J612" s="10">
        <f t="shared" si="9"/>
        <v>4.8508833333333339</v>
      </c>
      <c r="K612" s="10">
        <f t="shared" si="9"/>
        <v>4.8545333333333334</v>
      </c>
      <c r="L612" s="10">
        <f t="shared" si="9"/>
        <v>4.454391666666667</v>
      </c>
      <c r="M612" s="10">
        <f t="shared" si="9"/>
        <v>4.4580250000000001</v>
      </c>
      <c r="N612" s="10">
        <f t="shared" si="9"/>
        <v>4.454391666666667</v>
      </c>
      <c r="O612" s="10">
        <f t="shared" si="9"/>
        <v>4.4580250000000001</v>
      </c>
    </row>
    <row r="613" spans="1:15" ht="15" x14ac:dyDescent="0.2">
      <c r="A613" s="11">
        <v>2023</v>
      </c>
      <c r="B613" s="10">
        <f t="shared" ref="B613:O613" si="10">AVERAGE(B134:B145)</f>
        <v>3.9949750000000002</v>
      </c>
      <c r="C613" s="10">
        <f t="shared" si="10"/>
        <v>3.9949750000000002</v>
      </c>
      <c r="D613" s="10">
        <f t="shared" si="10"/>
        <v>3.9960416666666667</v>
      </c>
      <c r="E613" s="10">
        <f t="shared" si="10"/>
        <v>4.4979333333333331</v>
      </c>
      <c r="F613" s="10">
        <f t="shared" si="10"/>
        <v>4.4979333333333331</v>
      </c>
      <c r="G613" s="10">
        <f t="shared" si="10"/>
        <v>4.5015666666666672</v>
      </c>
      <c r="H613" s="10">
        <f t="shared" si="10"/>
        <v>4.968208333333334</v>
      </c>
      <c r="I613" s="10">
        <f t="shared" si="10"/>
        <v>4.9718249999999999</v>
      </c>
      <c r="J613" s="10">
        <f t="shared" si="10"/>
        <v>4.968208333333334</v>
      </c>
      <c r="K613" s="10">
        <f t="shared" si="10"/>
        <v>4.9718249999999999</v>
      </c>
      <c r="L613" s="10">
        <f t="shared" si="10"/>
        <v>4.4979333333333331</v>
      </c>
      <c r="M613" s="10">
        <f t="shared" si="10"/>
        <v>4.5015666666666672</v>
      </c>
      <c r="N613" s="10">
        <f t="shared" si="10"/>
        <v>4.4979333333333331</v>
      </c>
      <c r="O613" s="10">
        <f t="shared" si="10"/>
        <v>4.5015666666666672</v>
      </c>
    </row>
    <row r="614" spans="1:15" ht="15" x14ac:dyDescent="0.2">
      <c r="A614" s="11">
        <v>2024</v>
      </c>
      <c r="B614" s="10">
        <f t="shared" ref="B614:O614" si="11">AVERAGE(B146:B157)</f>
        <v>4.0674500000000009</v>
      </c>
      <c r="C614" s="10">
        <f t="shared" si="11"/>
        <v>4.0674500000000009</v>
      </c>
      <c r="D614" s="10">
        <f t="shared" si="11"/>
        <v>4.0685250000000002</v>
      </c>
      <c r="E614" s="10">
        <f t="shared" si="11"/>
        <v>4.5426416666666665</v>
      </c>
      <c r="F614" s="10">
        <f t="shared" si="11"/>
        <v>4.5426416666666665</v>
      </c>
      <c r="G614" s="10">
        <f t="shared" si="11"/>
        <v>4.5462750000000005</v>
      </c>
      <c r="H614" s="10">
        <f t="shared" si="11"/>
        <v>5.0885833333333332</v>
      </c>
      <c r="I614" s="10">
        <f t="shared" si="11"/>
        <v>5.0922583333333336</v>
      </c>
      <c r="J614" s="10">
        <f t="shared" si="11"/>
        <v>5.0885833333333332</v>
      </c>
      <c r="K614" s="10">
        <f t="shared" si="11"/>
        <v>5.0922583333333336</v>
      </c>
      <c r="L614" s="10">
        <f t="shared" si="11"/>
        <v>4.5426416666666665</v>
      </c>
      <c r="M614" s="10">
        <f t="shared" si="11"/>
        <v>4.5462750000000005</v>
      </c>
      <c r="N614" s="10">
        <f t="shared" si="11"/>
        <v>4.5426416666666665</v>
      </c>
      <c r="O614" s="10">
        <f t="shared" si="11"/>
        <v>4.5462750000000005</v>
      </c>
    </row>
    <row r="615" spans="1:15" ht="15" x14ac:dyDescent="0.2">
      <c r="A615" s="11">
        <v>2025</v>
      </c>
      <c r="B615" s="10">
        <f t="shared" ref="B615:O615" si="12">AVERAGE(B158:B169)</f>
        <v>4.1597999999999997</v>
      </c>
      <c r="C615" s="10">
        <f t="shared" si="12"/>
        <v>4.1597999999999997</v>
      </c>
      <c r="D615" s="10">
        <f t="shared" si="12"/>
        <v>4.1608749999999999</v>
      </c>
      <c r="E615" s="10">
        <f t="shared" si="12"/>
        <v>4.595416666666666</v>
      </c>
      <c r="F615" s="10">
        <f t="shared" si="12"/>
        <v>4.595416666666666</v>
      </c>
      <c r="G615" s="10">
        <f t="shared" si="12"/>
        <v>4.5990666666666682</v>
      </c>
      <c r="H615" s="10">
        <f t="shared" si="12"/>
        <v>5.2132083333333332</v>
      </c>
      <c r="I615" s="10">
        <f t="shared" si="12"/>
        <v>5.21685</v>
      </c>
      <c r="J615" s="10">
        <f t="shared" si="12"/>
        <v>5.2132083333333332</v>
      </c>
      <c r="K615" s="10">
        <f t="shared" si="12"/>
        <v>5.21685</v>
      </c>
      <c r="L615" s="10">
        <f t="shared" si="12"/>
        <v>4.595416666666666</v>
      </c>
      <c r="M615" s="10">
        <f t="shared" si="12"/>
        <v>4.5990666666666682</v>
      </c>
      <c r="N615" s="10">
        <f t="shared" si="12"/>
        <v>4.595416666666666</v>
      </c>
      <c r="O615" s="10">
        <f t="shared" si="12"/>
        <v>4.5990666666666682</v>
      </c>
    </row>
    <row r="616" spans="1:15" ht="15" x14ac:dyDescent="0.2">
      <c r="A616" s="11">
        <v>2026</v>
      </c>
      <c r="B616" s="10">
        <f t="shared" ref="B616:O616" si="13">AVERAGE(B170:B181)</f>
        <v>4.2534333333333336</v>
      </c>
      <c r="C616" s="10">
        <f t="shared" si="13"/>
        <v>4.2534333333333336</v>
      </c>
      <c r="D616" s="10">
        <f t="shared" si="13"/>
        <v>4.2545083333333329</v>
      </c>
      <c r="E616" s="10">
        <f t="shared" si="13"/>
        <v>4.6719666666666662</v>
      </c>
      <c r="F616" s="10">
        <f t="shared" si="13"/>
        <v>4.6719666666666662</v>
      </c>
      <c r="G616" s="10">
        <f t="shared" si="13"/>
        <v>4.675625000000001</v>
      </c>
      <c r="H616" s="10">
        <f t="shared" si="13"/>
        <v>5.337133333333334</v>
      </c>
      <c r="I616" s="10">
        <f t="shared" si="13"/>
        <v>5.3407499999999999</v>
      </c>
      <c r="J616" s="10">
        <f t="shared" si="13"/>
        <v>5.337133333333334</v>
      </c>
      <c r="K616" s="10">
        <f t="shared" si="13"/>
        <v>5.3407499999999999</v>
      </c>
      <c r="L616" s="10">
        <f t="shared" si="13"/>
        <v>4.6719666666666662</v>
      </c>
      <c r="M616" s="10">
        <f t="shared" si="13"/>
        <v>4.675625000000001</v>
      </c>
      <c r="N616" s="10">
        <f t="shared" si="13"/>
        <v>4.6719666666666662</v>
      </c>
      <c r="O616" s="10">
        <f t="shared" si="13"/>
        <v>4.675625000000001</v>
      </c>
    </row>
    <row r="617" spans="1:15" ht="15" x14ac:dyDescent="0.2">
      <c r="A617" s="11">
        <v>2027</v>
      </c>
      <c r="B617" s="10">
        <f t="shared" ref="B617:O617" si="14">AVERAGE(B182:B193)</f>
        <v>4.3583500000000006</v>
      </c>
      <c r="C617" s="10">
        <f t="shared" si="14"/>
        <v>4.3583500000000006</v>
      </c>
      <c r="D617" s="10">
        <f t="shared" si="14"/>
        <v>4.3594250000000008</v>
      </c>
      <c r="E617" s="10">
        <f t="shared" si="14"/>
        <v>4.7393416666666672</v>
      </c>
      <c r="F617" s="10">
        <f t="shared" si="14"/>
        <v>4.7393416666666672</v>
      </c>
      <c r="G617" s="10">
        <f t="shared" si="14"/>
        <v>4.7429750000000004</v>
      </c>
      <c r="H617" s="10">
        <f t="shared" si="14"/>
        <v>5.4625583333333338</v>
      </c>
      <c r="I617" s="10">
        <f t="shared" si="14"/>
        <v>5.4661999999999997</v>
      </c>
      <c r="J617" s="10">
        <f t="shared" si="14"/>
        <v>5.4625583333333338</v>
      </c>
      <c r="K617" s="10">
        <f t="shared" si="14"/>
        <v>5.4661999999999997</v>
      </c>
      <c r="L617" s="10">
        <f t="shared" si="14"/>
        <v>4.7393416666666672</v>
      </c>
      <c r="M617" s="10">
        <f t="shared" si="14"/>
        <v>4.7429750000000004</v>
      </c>
      <c r="N617" s="10">
        <f t="shared" si="14"/>
        <v>4.7393416666666672</v>
      </c>
      <c r="O617" s="10">
        <f t="shared" si="14"/>
        <v>4.7429750000000004</v>
      </c>
    </row>
    <row r="618" spans="1:15" ht="15" x14ac:dyDescent="0.2">
      <c r="A618" s="11">
        <v>2028</v>
      </c>
      <c r="B618" s="10">
        <f t="shared" ref="B618:O618" si="15">AVERAGE(B194:B205)</f>
        <v>4.4605500000000005</v>
      </c>
      <c r="C618" s="10">
        <f t="shared" si="15"/>
        <v>4.4605500000000005</v>
      </c>
      <c r="D618" s="10">
        <f t="shared" si="15"/>
        <v>4.4616166666666652</v>
      </c>
      <c r="E618" s="10">
        <f t="shared" si="15"/>
        <v>4.8055500000000011</v>
      </c>
      <c r="F618" s="10">
        <f t="shared" si="15"/>
        <v>4.8055500000000011</v>
      </c>
      <c r="G618" s="10">
        <f t="shared" si="15"/>
        <v>4.8091833333333343</v>
      </c>
      <c r="H618" s="10">
        <f t="shared" si="15"/>
        <v>5.5855333333333341</v>
      </c>
      <c r="I618" s="10">
        <f t="shared" si="15"/>
        <v>5.5892000000000008</v>
      </c>
      <c r="J618" s="10">
        <f t="shared" si="15"/>
        <v>5.5855333333333341</v>
      </c>
      <c r="K618" s="10">
        <f t="shared" si="15"/>
        <v>5.5892000000000008</v>
      </c>
      <c r="L618" s="10">
        <f t="shared" si="15"/>
        <v>4.8055500000000011</v>
      </c>
      <c r="M618" s="10">
        <f t="shared" si="15"/>
        <v>4.8091833333333343</v>
      </c>
      <c r="N618" s="10">
        <f t="shared" si="15"/>
        <v>4.8055500000000011</v>
      </c>
      <c r="O618" s="10">
        <f t="shared" si="15"/>
        <v>4.8091833333333343</v>
      </c>
    </row>
    <row r="619" spans="1:15" ht="15" x14ac:dyDescent="0.2">
      <c r="A619" s="11">
        <v>2029</v>
      </c>
      <c r="B619" s="10">
        <f t="shared" ref="B619:O619" si="16">AVERAGE(B206:B217)</f>
        <v>4.5807083333333329</v>
      </c>
      <c r="C619" s="10">
        <f t="shared" si="16"/>
        <v>4.5807083333333329</v>
      </c>
      <c r="D619" s="10">
        <f t="shared" si="16"/>
        <v>4.5817916666666667</v>
      </c>
      <c r="E619" s="10">
        <f t="shared" si="16"/>
        <v>4.8855250000000003</v>
      </c>
      <c r="F619" s="10">
        <f t="shared" si="16"/>
        <v>4.8855250000000003</v>
      </c>
      <c r="G619" s="10">
        <f t="shared" si="16"/>
        <v>4.8891666666666671</v>
      </c>
      <c r="H619" s="10">
        <f t="shared" si="16"/>
        <v>5.7230333333333334</v>
      </c>
      <c r="I619" s="10">
        <f t="shared" si="16"/>
        <v>5.7266749999999993</v>
      </c>
      <c r="J619" s="10">
        <f t="shared" si="16"/>
        <v>5.7230333333333334</v>
      </c>
      <c r="K619" s="10">
        <f t="shared" si="16"/>
        <v>5.7266749999999993</v>
      </c>
      <c r="L619" s="10">
        <f t="shared" si="16"/>
        <v>4.8855250000000003</v>
      </c>
      <c r="M619" s="10">
        <f t="shared" si="16"/>
        <v>4.8891666666666671</v>
      </c>
      <c r="N619" s="10">
        <f t="shared" si="16"/>
        <v>4.8855250000000003</v>
      </c>
      <c r="O619" s="10">
        <f t="shared" si="16"/>
        <v>4.8891666666666671</v>
      </c>
    </row>
    <row r="620" spans="1:15" ht="15" x14ac:dyDescent="0.2">
      <c r="A620" s="11">
        <v>2030</v>
      </c>
      <c r="B620" s="10">
        <f t="shared" ref="B620:O620" si="17">AVERAGE(B218:B229)</f>
        <v>4.6823666666666659</v>
      </c>
      <c r="C620" s="10">
        <f t="shared" si="17"/>
        <v>4.6823666666666659</v>
      </c>
      <c r="D620" s="10">
        <f t="shared" si="17"/>
        <v>4.6834416666666669</v>
      </c>
      <c r="E620" s="10">
        <f t="shared" si="17"/>
        <v>4.9560333333333331</v>
      </c>
      <c r="F620" s="10">
        <f t="shared" si="17"/>
        <v>4.9560333333333331</v>
      </c>
      <c r="G620" s="10">
        <f t="shared" si="17"/>
        <v>4.9596833333333334</v>
      </c>
      <c r="H620" s="10">
        <f t="shared" si="17"/>
        <v>5.8493833333333329</v>
      </c>
      <c r="I620" s="10">
        <f t="shared" si="17"/>
        <v>5.8530000000000006</v>
      </c>
      <c r="J620" s="10">
        <f t="shared" si="17"/>
        <v>5.8493833333333329</v>
      </c>
      <c r="K620" s="10">
        <f t="shared" si="17"/>
        <v>5.8530000000000006</v>
      </c>
      <c r="L620" s="10">
        <f t="shared" si="17"/>
        <v>4.9560333333333331</v>
      </c>
      <c r="M620" s="10">
        <f t="shared" si="17"/>
        <v>4.9596833333333334</v>
      </c>
      <c r="N620" s="10">
        <f t="shared" si="17"/>
        <v>4.9560333333333331</v>
      </c>
      <c r="O620" s="10">
        <f t="shared" si="17"/>
        <v>4.9596833333333334</v>
      </c>
    </row>
    <row r="621" spans="1:15" ht="15" x14ac:dyDescent="0.2">
      <c r="A621" s="11">
        <v>2031</v>
      </c>
      <c r="B621" s="10">
        <f t="shared" ref="B621:O621" si="18">AVERAGE(B230:B241)</f>
        <v>4.7983416666666656</v>
      </c>
      <c r="C621" s="10">
        <f t="shared" si="18"/>
        <v>4.7983416666666656</v>
      </c>
      <c r="D621" s="10">
        <f t="shared" si="18"/>
        <v>4.7994333333333339</v>
      </c>
      <c r="E621" s="10">
        <f t="shared" si="18"/>
        <v>5.0305666666666662</v>
      </c>
      <c r="F621" s="10">
        <f t="shared" si="18"/>
        <v>5.0305666666666662</v>
      </c>
      <c r="G621" s="10">
        <f t="shared" si="18"/>
        <v>5.0342083333333338</v>
      </c>
      <c r="H621" s="10">
        <f t="shared" si="18"/>
        <v>5.9874583333333335</v>
      </c>
      <c r="I621" s="10">
        <f t="shared" si="18"/>
        <v>5.9910749999999995</v>
      </c>
      <c r="J621" s="10">
        <f t="shared" si="18"/>
        <v>5.9874583333333335</v>
      </c>
      <c r="K621" s="10">
        <f t="shared" si="18"/>
        <v>5.9910749999999995</v>
      </c>
      <c r="L621" s="10">
        <f t="shared" si="18"/>
        <v>5.0305666666666662</v>
      </c>
      <c r="M621" s="10">
        <f t="shared" si="18"/>
        <v>5.0342083333333338</v>
      </c>
      <c r="N621" s="10">
        <f t="shared" si="18"/>
        <v>5.0305666666666662</v>
      </c>
      <c r="O621" s="10">
        <f t="shared" si="18"/>
        <v>5.0342083333333338</v>
      </c>
    </row>
    <row r="622" spans="1:15" ht="15" x14ac:dyDescent="0.2">
      <c r="A622" s="11">
        <v>2032</v>
      </c>
      <c r="B622" s="10">
        <f t="shared" ref="B622:O622" si="19">AVERAGE(B242:B253)</f>
        <v>4.9174749999999996</v>
      </c>
      <c r="C622" s="10">
        <f t="shared" si="19"/>
        <v>4.9174749999999996</v>
      </c>
      <c r="D622" s="10">
        <f t="shared" si="19"/>
        <v>4.9185500000000006</v>
      </c>
      <c r="E622" s="10">
        <f t="shared" si="19"/>
        <v>5.0972999999999997</v>
      </c>
      <c r="F622" s="10">
        <f t="shared" si="19"/>
        <v>5.0972999999999997</v>
      </c>
      <c r="G622" s="10">
        <f t="shared" si="19"/>
        <v>5.1009166666666657</v>
      </c>
      <c r="H622" s="10">
        <f t="shared" si="19"/>
        <v>6.1279333333333321</v>
      </c>
      <c r="I622" s="10">
        <f t="shared" si="19"/>
        <v>6.1315750000000007</v>
      </c>
      <c r="J622" s="10">
        <f t="shared" si="19"/>
        <v>6.1279333333333321</v>
      </c>
      <c r="K622" s="10">
        <f t="shared" si="19"/>
        <v>6.1315750000000007</v>
      </c>
      <c r="L622" s="10">
        <f t="shared" si="19"/>
        <v>5.0972999999999997</v>
      </c>
      <c r="M622" s="10">
        <f t="shared" si="19"/>
        <v>5.1009166666666657</v>
      </c>
      <c r="N622" s="10">
        <f t="shared" si="19"/>
        <v>5.0972999999999997</v>
      </c>
      <c r="O622" s="10">
        <f t="shared" si="19"/>
        <v>5.1009166666666657</v>
      </c>
    </row>
    <row r="623" spans="1:15" ht="15" x14ac:dyDescent="0.2">
      <c r="A623" s="11">
        <v>2033</v>
      </c>
      <c r="B623" s="10">
        <f t="shared" ref="B623:O623" si="20">AVERAGE(B254:B265)</f>
        <v>5.0398166666666668</v>
      </c>
      <c r="C623" s="10">
        <f t="shared" si="20"/>
        <v>5.0398166666666668</v>
      </c>
      <c r="D623" s="10">
        <f t="shared" si="20"/>
        <v>5.0408750000000015</v>
      </c>
      <c r="E623" s="10">
        <f t="shared" si="20"/>
        <v>5.1623166666666664</v>
      </c>
      <c r="F623" s="10">
        <f t="shared" si="20"/>
        <v>5.1623166666666664</v>
      </c>
      <c r="G623" s="10">
        <f t="shared" si="20"/>
        <v>5.1659333333333333</v>
      </c>
      <c r="H623" s="10">
        <f t="shared" si="20"/>
        <v>6.270058333333334</v>
      </c>
      <c r="I623" s="10">
        <f t="shared" si="20"/>
        <v>6.2737000000000007</v>
      </c>
      <c r="J623" s="10">
        <f t="shared" si="20"/>
        <v>6.270058333333334</v>
      </c>
      <c r="K623" s="10">
        <f t="shared" si="20"/>
        <v>6.2737000000000007</v>
      </c>
      <c r="L623" s="10">
        <f t="shared" si="20"/>
        <v>5.1623166666666664</v>
      </c>
      <c r="M623" s="10">
        <f t="shared" si="20"/>
        <v>5.1659333333333333</v>
      </c>
      <c r="N623" s="10">
        <f t="shared" si="20"/>
        <v>5.1623166666666664</v>
      </c>
      <c r="O623" s="10">
        <f t="shared" si="20"/>
        <v>5.1659333333333333</v>
      </c>
    </row>
    <row r="624" spans="1:15" ht="15" x14ac:dyDescent="0.2">
      <c r="A624" s="11">
        <v>2034</v>
      </c>
      <c r="B624" s="10">
        <f t="shared" ref="B624:O624" si="21">AVERAGE(B266:B277)</f>
        <v>5.1680333333333328</v>
      </c>
      <c r="C624" s="10">
        <f t="shared" si="21"/>
        <v>5.1680333333333328</v>
      </c>
      <c r="D624" s="10">
        <f t="shared" si="21"/>
        <v>5.1690916666666658</v>
      </c>
      <c r="E624" s="10">
        <f t="shared" si="21"/>
        <v>5.2323416666666667</v>
      </c>
      <c r="F624" s="10">
        <f t="shared" si="21"/>
        <v>5.2323416666666667</v>
      </c>
      <c r="G624" s="10">
        <f t="shared" si="21"/>
        <v>5.2359750000000007</v>
      </c>
      <c r="H624" s="10">
        <f t="shared" si="21"/>
        <v>6.4185083333333326</v>
      </c>
      <c r="I624" s="10">
        <f t="shared" si="21"/>
        <v>6.4221250000000012</v>
      </c>
      <c r="J624" s="10">
        <f t="shared" si="21"/>
        <v>6.4185083333333326</v>
      </c>
      <c r="K624" s="10">
        <f t="shared" si="21"/>
        <v>6.4221250000000012</v>
      </c>
      <c r="L624" s="10">
        <f t="shared" si="21"/>
        <v>5.2323416666666667</v>
      </c>
      <c r="M624" s="10">
        <f t="shared" si="21"/>
        <v>5.2359750000000007</v>
      </c>
      <c r="N624" s="10">
        <f t="shared" si="21"/>
        <v>5.2323416666666667</v>
      </c>
      <c r="O624" s="10">
        <f t="shared" si="21"/>
        <v>5.2359750000000007</v>
      </c>
    </row>
    <row r="625" spans="1:15" ht="15" x14ac:dyDescent="0.2">
      <c r="A625" s="11">
        <v>2035</v>
      </c>
      <c r="B625" s="10">
        <f t="shared" ref="B625:O625" si="22">AVERAGE(B278:B289)</f>
        <v>5.3069999999999995</v>
      </c>
      <c r="C625" s="10">
        <f t="shared" si="22"/>
        <v>5.3069999999999995</v>
      </c>
      <c r="D625" s="10">
        <f t="shared" si="22"/>
        <v>5.3080916666666669</v>
      </c>
      <c r="E625" s="10">
        <f t="shared" si="22"/>
        <v>5.3044499999999992</v>
      </c>
      <c r="F625" s="10">
        <f t="shared" si="22"/>
        <v>5.3044499999999992</v>
      </c>
      <c r="G625" s="10">
        <f t="shared" si="22"/>
        <v>5.3080750000000005</v>
      </c>
      <c r="H625" s="10">
        <f t="shared" si="22"/>
        <v>6.5744083333333334</v>
      </c>
      <c r="I625" s="10">
        <f t="shared" si="22"/>
        <v>6.5780250000000011</v>
      </c>
      <c r="J625" s="10">
        <f t="shared" si="22"/>
        <v>6.5744083333333334</v>
      </c>
      <c r="K625" s="10">
        <f t="shared" si="22"/>
        <v>6.5780250000000011</v>
      </c>
      <c r="L625" s="10">
        <f t="shared" si="22"/>
        <v>5.3044499999999992</v>
      </c>
      <c r="M625" s="10">
        <f t="shared" si="22"/>
        <v>5.3080750000000005</v>
      </c>
      <c r="N625" s="10">
        <f t="shared" si="22"/>
        <v>5.3044499999999992</v>
      </c>
      <c r="O625" s="10">
        <f t="shared" si="22"/>
        <v>5.3080750000000005</v>
      </c>
    </row>
    <row r="626" spans="1:15" ht="15" x14ac:dyDescent="0.2">
      <c r="A626" s="11">
        <v>2036</v>
      </c>
      <c r="B626" s="10">
        <f t="shared" ref="B626:O626" si="23">AVERAGE(B290:B301)</f>
        <v>5.4434583333333331</v>
      </c>
      <c r="C626" s="10">
        <f t="shared" si="23"/>
        <v>5.4434583333333331</v>
      </c>
      <c r="D626" s="10">
        <f t="shared" si="23"/>
        <v>5.4445249999999996</v>
      </c>
      <c r="E626" s="10">
        <f t="shared" si="23"/>
        <v>5.399258333333333</v>
      </c>
      <c r="F626" s="10">
        <f t="shared" si="23"/>
        <v>5.399258333333333</v>
      </c>
      <c r="G626" s="10">
        <f t="shared" si="23"/>
        <v>5.4028916666666662</v>
      </c>
      <c r="H626" s="10">
        <f t="shared" si="23"/>
        <v>6.7515916666666671</v>
      </c>
      <c r="I626" s="10">
        <f t="shared" si="23"/>
        <v>6.7552416666666666</v>
      </c>
      <c r="J626" s="10">
        <f t="shared" si="23"/>
        <v>6.7515916666666671</v>
      </c>
      <c r="K626" s="10">
        <f t="shared" si="23"/>
        <v>6.7552416666666666</v>
      </c>
      <c r="L626" s="10">
        <f t="shared" si="23"/>
        <v>5.399258333333333</v>
      </c>
      <c r="M626" s="10">
        <f t="shared" si="23"/>
        <v>5.4028916666666662</v>
      </c>
      <c r="N626" s="10">
        <f t="shared" si="23"/>
        <v>5.399258333333333</v>
      </c>
      <c r="O626" s="10">
        <f t="shared" si="23"/>
        <v>5.4028916666666662</v>
      </c>
    </row>
    <row r="627" spans="1:15" ht="15" x14ac:dyDescent="0.2">
      <c r="A627" s="11">
        <v>2037</v>
      </c>
      <c r="B627" s="10">
        <f t="shared" ref="B627:O627" si="24">AVERAGE(B302:B313)</f>
        <v>5.5810416666666667</v>
      </c>
      <c r="C627" s="10">
        <f t="shared" si="24"/>
        <v>5.5810416666666667</v>
      </c>
      <c r="D627" s="10">
        <f t="shared" si="24"/>
        <v>5.5821416666666659</v>
      </c>
      <c r="E627" s="10">
        <f t="shared" si="24"/>
        <v>5.4959749999999987</v>
      </c>
      <c r="F627" s="10">
        <f t="shared" si="24"/>
        <v>5.4959749999999987</v>
      </c>
      <c r="G627" s="10">
        <f t="shared" si="24"/>
        <v>5.4995999999999983</v>
      </c>
      <c r="H627" s="10">
        <f t="shared" si="24"/>
        <v>6.8911333333333351</v>
      </c>
      <c r="I627" s="10">
        <f t="shared" si="24"/>
        <v>6.8947499999999993</v>
      </c>
      <c r="J627" s="10">
        <f t="shared" si="24"/>
        <v>6.8911333333333351</v>
      </c>
      <c r="K627" s="10">
        <f t="shared" si="24"/>
        <v>6.8947499999999993</v>
      </c>
      <c r="L627" s="10">
        <f t="shared" si="24"/>
        <v>5.4959749999999987</v>
      </c>
      <c r="M627" s="10">
        <f t="shared" si="24"/>
        <v>5.4995999999999983</v>
      </c>
      <c r="N627" s="10">
        <f t="shared" si="24"/>
        <v>5.4959749999999987</v>
      </c>
      <c r="O627" s="10">
        <f t="shared" si="24"/>
        <v>5.4995999999999983</v>
      </c>
    </row>
    <row r="628" spans="1:15" ht="15" x14ac:dyDescent="0.2">
      <c r="A628" s="11">
        <f t="shared" ref="A628:A651" si="25">A627+1</f>
        <v>2038</v>
      </c>
      <c r="B628" s="10">
        <f t="shared" ref="B628:O628" si="26">AVERAGE(B314:B325)</f>
        <v>5.7221166666666674</v>
      </c>
      <c r="C628" s="10">
        <f t="shared" si="26"/>
        <v>5.7221166666666674</v>
      </c>
      <c r="D628" s="10">
        <f t="shared" si="26"/>
        <v>5.7232000000000012</v>
      </c>
      <c r="E628" s="10">
        <f t="shared" si="26"/>
        <v>5.5971916666666672</v>
      </c>
      <c r="F628" s="10">
        <f t="shared" si="26"/>
        <v>5.5971916666666672</v>
      </c>
      <c r="G628" s="10">
        <f t="shared" si="26"/>
        <v>5.6008250000000004</v>
      </c>
      <c r="H628" s="10">
        <f t="shared" si="26"/>
        <v>7.0551833333333329</v>
      </c>
      <c r="I628" s="10">
        <f t="shared" si="26"/>
        <v>7.0588250000000015</v>
      </c>
      <c r="J628" s="10">
        <f t="shared" si="26"/>
        <v>7.0551833333333329</v>
      </c>
      <c r="K628" s="10">
        <f t="shared" si="26"/>
        <v>7.0588250000000015</v>
      </c>
      <c r="L628" s="10">
        <f t="shared" si="26"/>
        <v>5.5971916666666672</v>
      </c>
      <c r="M628" s="10">
        <f t="shared" si="26"/>
        <v>5.6008250000000004</v>
      </c>
      <c r="N628" s="10">
        <f t="shared" si="26"/>
        <v>5.5971916666666672</v>
      </c>
      <c r="O628" s="10">
        <f t="shared" si="26"/>
        <v>5.6008250000000004</v>
      </c>
    </row>
    <row r="629" spans="1:15" ht="15" x14ac:dyDescent="0.2">
      <c r="A629" s="11">
        <f t="shared" si="25"/>
        <v>2039</v>
      </c>
      <c r="B629" s="10">
        <f t="shared" ref="B629:O629" si="27">AVERAGE(B326:B337)</f>
        <v>5.8667833333333332</v>
      </c>
      <c r="C629" s="10">
        <f t="shared" si="27"/>
        <v>5.8667833333333332</v>
      </c>
      <c r="D629" s="10">
        <f t="shared" si="27"/>
        <v>5.8678583333333334</v>
      </c>
      <c r="E629" s="10">
        <f t="shared" si="27"/>
        <v>5.6951416666666654</v>
      </c>
      <c r="F629" s="10">
        <f t="shared" si="27"/>
        <v>5.6951416666666654</v>
      </c>
      <c r="G629" s="10">
        <f t="shared" si="27"/>
        <v>5.6987750000000004</v>
      </c>
      <c r="H629" s="10">
        <f t="shared" si="27"/>
        <v>7.223158333333334</v>
      </c>
      <c r="I629" s="10">
        <f t="shared" si="27"/>
        <v>7.2268249999999989</v>
      </c>
      <c r="J629" s="10">
        <f t="shared" si="27"/>
        <v>7.223158333333334</v>
      </c>
      <c r="K629" s="10">
        <f t="shared" si="27"/>
        <v>7.2268249999999989</v>
      </c>
      <c r="L629" s="10">
        <f t="shared" si="27"/>
        <v>5.6951416666666654</v>
      </c>
      <c r="M629" s="10">
        <f t="shared" si="27"/>
        <v>5.6987750000000004</v>
      </c>
      <c r="N629" s="10">
        <f t="shared" si="27"/>
        <v>5.6951416666666654</v>
      </c>
      <c r="O629" s="10">
        <f t="shared" si="27"/>
        <v>5.6987750000000004</v>
      </c>
    </row>
    <row r="630" spans="1:15" ht="15" x14ac:dyDescent="0.2">
      <c r="A630" s="11">
        <f t="shared" si="25"/>
        <v>2040</v>
      </c>
      <c r="B630" s="10">
        <f t="shared" ref="B630:O630" si="28">AVERAGE(B338:B349)</f>
        <v>6.0150916666666667</v>
      </c>
      <c r="C630" s="10">
        <f t="shared" si="28"/>
        <v>6.0150916666666667</v>
      </c>
      <c r="D630" s="10">
        <f t="shared" si="28"/>
        <v>6.016166666666666</v>
      </c>
      <c r="E630" s="10">
        <f t="shared" si="28"/>
        <v>5.7976999999999999</v>
      </c>
      <c r="F630" s="10">
        <f t="shared" si="28"/>
        <v>5.7976999999999999</v>
      </c>
      <c r="G630" s="10">
        <f t="shared" si="28"/>
        <v>5.8013416666666666</v>
      </c>
      <c r="H630" s="10">
        <f t="shared" si="28"/>
        <v>7.3951833333333328</v>
      </c>
      <c r="I630" s="10">
        <f t="shared" si="28"/>
        <v>7.3988083333333323</v>
      </c>
      <c r="J630" s="10">
        <f t="shared" si="28"/>
        <v>7.3951833333333328</v>
      </c>
      <c r="K630" s="10">
        <f t="shared" si="28"/>
        <v>7.3988083333333323</v>
      </c>
      <c r="L630" s="10">
        <f t="shared" si="28"/>
        <v>5.7976999999999999</v>
      </c>
      <c r="M630" s="10">
        <f t="shared" si="28"/>
        <v>5.8013416666666666</v>
      </c>
      <c r="N630" s="10">
        <f t="shared" si="28"/>
        <v>5.7976999999999999</v>
      </c>
      <c r="O630" s="10">
        <f t="shared" si="28"/>
        <v>5.8013416666666666</v>
      </c>
    </row>
    <row r="631" spans="1:15" ht="15" x14ac:dyDescent="0.2">
      <c r="A631" s="11">
        <f t="shared" si="25"/>
        <v>2041</v>
      </c>
      <c r="B631" s="10">
        <f t="shared" ref="B631:O631" si="29">AVERAGE(B350:B361)</f>
        <v>6.1671583333333331</v>
      </c>
      <c r="C631" s="10">
        <f t="shared" si="29"/>
        <v>6.1671583333333331</v>
      </c>
      <c r="D631" s="10">
        <f t="shared" si="29"/>
        <v>6.1682416666666668</v>
      </c>
      <c r="E631" s="10">
        <f t="shared" si="29"/>
        <v>5.902308333333333</v>
      </c>
      <c r="F631" s="10">
        <f t="shared" si="29"/>
        <v>5.902308333333333</v>
      </c>
      <c r="G631" s="10">
        <f t="shared" si="29"/>
        <v>5.905966666666667</v>
      </c>
      <c r="H631" s="10">
        <f t="shared" si="29"/>
        <v>7.5713083333333344</v>
      </c>
      <c r="I631" s="10">
        <f t="shared" si="29"/>
        <v>7.5749249999999995</v>
      </c>
      <c r="J631" s="10">
        <f t="shared" si="29"/>
        <v>7.5713083333333344</v>
      </c>
      <c r="K631" s="10">
        <f t="shared" si="29"/>
        <v>7.5749249999999995</v>
      </c>
      <c r="L631" s="10">
        <f t="shared" si="29"/>
        <v>5.902308333333333</v>
      </c>
      <c r="M631" s="10">
        <f t="shared" si="29"/>
        <v>5.905966666666667</v>
      </c>
      <c r="N631" s="10">
        <f t="shared" si="29"/>
        <v>5.902308333333333</v>
      </c>
      <c r="O631" s="10">
        <f t="shared" si="29"/>
        <v>5.905966666666667</v>
      </c>
    </row>
    <row r="632" spans="1:15" ht="15" x14ac:dyDescent="0.2">
      <c r="A632" s="11">
        <f t="shared" si="25"/>
        <v>2042</v>
      </c>
      <c r="B632" s="10">
        <f t="shared" ref="B632:O632" si="30">AVERAGE(B362:B373)</f>
        <v>6.3230916666666666</v>
      </c>
      <c r="C632" s="10">
        <f t="shared" si="30"/>
        <v>6.3230916666666666</v>
      </c>
      <c r="D632" s="10">
        <f t="shared" si="30"/>
        <v>6.3241749999999994</v>
      </c>
      <c r="E632" s="10">
        <f t="shared" si="30"/>
        <v>6.0090250000000003</v>
      </c>
      <c r="F632" s="10">
        <f t="shared" si="30"/>
        <v>6.0090250000000003</v>
      </c>
      <c r="G632" s="10">
        <f t="shared" si="30"/>
        <v>6.0126499999999998</v>
      </c>
      <c r="H632" s="10">
        <f t="shared" si="30"/>
        <v>7.7516333333333343</v>
      </c>
      <c r="I632" s="10">
        <f t="shared" si="30"/>
        <v>7.7552833333333311</v>
      </c>
      <c r="J632" s="10">
        <f t="shared" si="30"/>
        <v>7.7516333333333343</v>
      </c>
      <c r="K632" s="10">
        <f t="shared" si="30"/>
        <v>7.7552833333333311</v>
      </c>
      <c r="L632" s="10">
        <f t="shared" si="30"/>
        <v>6.0090250000000003</v>
      </c>
      <c r="M632" s="10">
        <f t="shared" si="30"/>
        <v>6.0126499999999998</v>
      </c>
      <c r="N632" s="10">
        <f t="shared" si="30"/>
        <v>6.0090250000000003</v>
      </c>
      <c r="O632" s="10">
        <f t="shared" si="30"/>
        <v>6.0126499999999998</v>
      </c>
    </row>
    <row r="633" spans="1:15" ht="15" x14ac:dyDescent="0.2">
      <c r="A633" s="11">
        <f t="shared" si="25"/>
        <v>2043</v>
      </c>
      <c r="B633" s="10">
        <f t="shared" ref="B633:O633" si="31">AVERAGE(B374:B385)</f>
        <v>6.4829833333333342</v>
      </c>
      <c r="C633" s="10">
        <f t="shared" si="31"/>
        <v>6.4829833333333342</v>
      </c>
      <c r="D633" s="10">
        <f t="shared" si="31"/>
        <v>6.4840333333333353</v>
      </c>
      <c r="E633" s="10">
        <f t="shared" si="31"/>
        <v>6.1178750000000006</v>
      </c>
      <c r="F633" s="10">
        <f t="shared" si="31"/>
        <v>6.1178750000000006</v>
      </c>
      <c r="G633" s="10">
        <f t="shared" si="31"/>
        <v>6.1215166666666674</v>
      </c>
      <c r="H633" s="10">
        <f t="shared" si="31"/>
        <v>7.9362833333333329</v>
      </c>
      <c r="I633" s="10">
        <f t="shared" si="31"/>
        <v>7.9399583333333341</v>
      </c>
      <c r="J633" s="10">
        <f t="shared" si="31"/>
        <v>7.9362833333333329</v>
      </c>
      <c r="K633" s="10">
        <f t="shared" si="31"/>
        <v>7.9399583333333341</v>
      </c>
      <c r="L633" s="10">
        <f t="shared" si="31"/>
        <v>6.1178750000000006</v>
      </c>
      <c r="M633" s="10">
        <f t="shared" si="31"/>
        <v>6.1215166666666674</v>
      </c>
      <c r="N633" s="10">
        <f t="shared" si="31"/>
        <v>6.1178750000000006</v>
      </c>
      <c r="O633" s="10">
        <f t="shared" si="31"/>
        <v>6.1215166666666674</v>
      </c>
    </row>
    <row r="634" spans="1:15" ht="15" x14ac:dyDescent="0.2">
      <c r="A634" s="11">
        <f t="shared" si="25"/>
        <v>2044</v>
      </c>
      <c r="B634" s="10">
        <f t="shared" ref="B634:O634" si="32">AVERAGE(B386:B397)</f>
        <v>6.646891666666666</v>
      </c>
      <c r="C634" s="10">
        <f t="shared" si="32"/>
        <v>6.646891666666666</v>
      </c>
      <c r="D634" s="10">
        <f t="shared" si="32"/>
        <v>6.6479666666666661</v>
      </c>
      <c r="E634" s="10">
        <f t="shared" si="32"/>
        <v>6.2289000000000003</v>
      </c>
      <c r="F634" s="10">
        <f t="shared" si="32"/>
        <v>6.2289000000000003</v>
      </c>
      <c r="G634" s="10">
        <f t="shared" si="32"/>
        <v>6.2325249999999999</v>
      </c>
      <c r="H634" s="10">
        <f t="shared" si="32"/>
        <v>8.1253833333333336</v>
      </c>
      <c r="I634" s="10">
        <f t="shared" si="32"/>
        <v>8.129033333333334</v>
      </c>
      <c r="J634" s="10">
        <f t="shared" si="32"/>
        <v>8.1253833333333336</v>
      </c>
      <c r="K634" s="10">
        <f t="shared" si="32"/>
        <v>8.129033333333334</v>
      </c>
      <c r="L634" s="10">
        <f t="shared" si="32"/>
        <v>6.2289000000000003</v>
      </c>
      <c r="M634" s="10">
        <f t="shared" si="32"/>
        <v>6.2325249999999999</v>
      </c>
      <c r="N634" s="10">
        <f t="shared" si="32"/>
        <v>6.2289000000000003</v>
      </c>
      <c r="O634" s="10">
        <f t="shared" si="32"/>
        <v>6.2325249999999999</v>
      </c>
    </row>
    <row r="635" spans="1:15" ht="15" x14ac:dyDescent="0.2">
      <c r="A635" s="11">
        <f t="shared" si="25"/>
        <v>2045</v>
      </c>
      <c r="B635" s="10">
        <f t="shared" ref="B635:O635" si="33">AVERAGE(B398:B409)</f>
        <v>6.8149666666666668</v>
      </c>
      <c r="C635" s="10">
        <f t="shared" si="33"/>
        <v>6.8149666666666668</v>
      </c>
      <c r="D635" s="10">
        <f t="shared" si="33"/>
        <v>6.816041666666667</v>
      </c>
      <c r="E635" s="10">
        <f t="shared" si="33"/>
        <v>6.3421750000000001</v>
      </c>
      <c r="F635" s="10">
        <f t="shared" si="33"/>
        <v>6.3421750000000001</v>
      </c>
      <c r="G635" s="10">
        <f t="shared" si="33"/>
        <v>6.3458000000000006</v>
      </c>
      <c r="H635" s="10">
        <f t="shared" si="33"/>
        <v>8.3189833333333336</v>
      </c>
      <c r="I635" s="10">
        <f t="shared" si="33"/>
        <v>8.3226250000000004</v>
      </c>
      <c r="J635" s="10">
        <f t="shared" si="33"/>
        <v>8.3189833333333336</v>
      </c>
      <c r="K635" s="10">
        <f t="shared" si="33"/>
        <v>8.3226250000000004</v>
      </c>
      <c r="L635" s="10">
        <f t="shared" si="33"/>
        <v>6.3421750000000001</v>
      </c>
      <c r="M635" s="10">
        <f t="shared" si="33"/>
        <v>6.3458000000000006</v>
      </c>
      <c r="N635" s="10">
        <f t="shared" si="33"/>
        <v>6.3421750000000001</v>
      </c>
      <c r="O635" s="10">
        <f t="shared" si="33"/>
        <v>6.3458000000000006</v>
      </c>
    </row>
    <row r="636" spans="1:15" ht="15" x14ac:dyDescent="0.2">
      <c r="A636" s="11">
        <f t="shared" si="25"/>
        <v>2046</v>
      </c>
      <c r="B636" s="10">
        <f t="shared" ref="B636:O636" si="34">AVERAGE(B410:B421)</f>
        <v>6.9873083333333321</v>
      </c>
      <c r="C636" s="10">
        <f t="shared" si="34"/>
        <v>6.9873083333333321</v>
      </c>
      <c r="D636" s="10">
        <f t="shared" si="34"/>
        <v>6.9883833333333323</v>
      </c>
      <c r="E636" s="10">
        <f t="shared" si="34"/>
        <v>6.4577249999999999</v>
      </c>
      <c r="F636" s="10">
        <f t="shared" si="34"/>
        <v>6.4577249999999999</v>
      </c>
      <c r="G636" s="10">
        <f t="shared" si="34"/>
        <v>6.4613583333333331</v>
      </c>
      <c r="H636" s="10">
        <f t="shared" si="34"/>
        <v>8.5172333333333334</v>
      </c>
      <c r="I636" s="10">
        <f t="shared" si="34"/>
        <v>8.5208500000000011</v>
      </c>
      <c r="J636" s="10">
        <f t="shared" si="34"/>
        <v>8.5172333333333334</v>
      </c>
      <c r="K636" s="10">
        <f t="shared" si="34"/>
        <v>8.5208500000000011</v>
      </c>
      <c r="L636" s="10">
        <f t="shared" si="34"/>
        <v>6.4577249999999999</v>
      </c>
      <c r="M636" s="10">
        <f t="shared" si="34"/>
        <v>6.4613583333333331</v>
      </c>
      <c r="N636" s="10">
        <f t="shared" si="34"/>
        <v>6.4577249999999999</v>
      </c>
      <c r="O636" s="10">
        <f t="shared" si="34"/>
        <v>6.4613583333333331</v>
      </c>
    </row>
    <row r="637" spans="1:15" ht="15" x14ac:dyDescent="0.2">
      <c r="A637" s="11">
        <f t="shared" si="25"/>
        <v>2047</v>
      </c>
      <c r="B637" s="10">
        <f t="shared" ref="B637:O637" si="35">AVERAGE(B422:B433)</f>
        <v>7.1640166666666678</v>
      </c>
      <c r="C637" s="10">
        <f t="shared" si="35"/>
        <v>7.1640166666666678</v>
      </c>
      <c r="D637" s="10">
        <f t="shared" si="35"/>
        <v>7.1650916666666689</v>
      </c>
      <c r="E637" s="10">
        <f t="shared" si="35"/>
        <v>6.5756333333333323</v>
      </c>
      <c r="F637" s="10">
        <f t="shared" si="35"/>
        <v>6.5756333333333323</v>
      </c>
      <c r="G637" s="10">
        <f t="shared" si="35"/>
        <v>6.5792583333333345</v>
      </c>
      <c r="H637" s="10">
        <f t="shared" si="35"/>
        <v>8.7202083333333338</v>
      </c>
      <c r="I637" s="10">
        <f t="shared" si="35"/>
        <v>8.7238499999999988</v>
      </c>
      <c r="J637" s="10">
        <f t="shared" si="35"/>
        <v>8.7202083333333338</v>
      </c>
      <c r="K637" s="10">
        <f t="shared" si="35"/>
        <v>8.7238499999999988</v>
      </c>
      <c r="L637" s="10">
        <f t="shared" si="35"/>
        <v>6.5756333333333323</v>
      </c>
      <c r="M637" s="10">
        <f t="shared" si="35"/>
        <v>6.5792583333333345</v>
      </c>
      <c r="N637" s="10">
        <f t="shared" si="35"/>
        <v>6.5756333333333323</v>
      </c>
      <c r="O637" s="10">
        <f t="shared" si="35"/>
        <v>6.5792583333333345</v>
      </c>
    </row>
    <row r="638" spans="1:15" ht="15" x14ac:dyDescent="0.2">
      <c r="A638" s="11">
        <f t="shared" si="25"/>
        <v>2048</v>
      </c>
      <c r="B638" s="10">
        <f t="shared" ref="B638:O638" si="36">AVERAGE(B434:B445)</f>
        <v>7.3451916666666683</v>
      </c>
      <c r="C638" s="10">
        <f t="shared" si="36"/>
        <v>7.3451916666666683</v>
      </c>
      <c r="D638" s="10">
        <f t="shared" si="36"/>
        <v>7.3462833333333322</v>
      </c>
      <c r="E638" s="10">
        <f t="shared" si="36"/>
        <v>6.6959000000000009</v>
      </c>
      <c r="F638" s="10">
        <f t="shared" si="36"/>
        <v>6.6959000000000009</v>
      </c>
      <c r="G638" s="10">
        <f t="shared" si="36"/>
        <v>6.6995416666666658</v>
      </c>
      <c r="H638" s="10">
        <f t="shared" si="36"/>
        <v>8.9280583333333343</v>
      </c>
      <c r="I638" s="10">
        <f t="shared" si="36"/>
        <v>8.9316750000000003</v>
      </c>
      <c r="J638" s="10">
        <f t="shared" si="36"/>
        <v>8.9280583333333343</v>
      </c>
      <c r="K638" s="10">
        <f t="shared" si="36"/>
        <v>8.9316750000000003</v>
      </c>
      <c r="L638" s="10">
        <f t="shared" si="36"/>
        <v>6.6959000000000009</v>
      </c>
      <c r="M638" s="10">
        <f t="shared" si="36"/>
        <v>6.6995416666666658</v>
      </c>
      <c r="N638" s="10">
        <f t="shared" si="36"/>
        <v>6.6959000000000009</v>
      </c>
      <c r="O638" s="10">
        <f t="shared" si="36"/>
        <v>6.6995416666666658</v>
      </c>
    </row>
    <row r="639" spans="1:15" ht="15" x14ac:dyDescent="0.2">
      <c r="A639" s="11">
        <f t="shared" si="25"/>
        <v>2049</v>
      </c>
      <c r="B639" s="10">
        <f t="shared" ref="B639:O639" si="37">AVERAGE(B446:B457)</f>
        <v>7.5309666666666679</v>
      </c>
      <c r="C639" s="10">
        <f t="shared" si="37"/>
        <v>7.5309666666666679</v>
      </c>
      <c r="D639" s="10">
        <f t="shared" si="37"/>
        <v>7.5320583333333317</v>
      </c>
      <c r="E639" s="10">
        <f t="shared" si="37"/>
        <v>6.8186249999999999</v>
      </c>
      <c r="F639" s="10">
        <f t="shared" si="37"/>
        <v>6.8186249999999999</v>
      </c>
      <c r="G639" s="10">
        <f t="shared" si="37"/>
        <v>6.822258333333334</v>
      </c>
      <c r="H639" s="10">
        <f t="shared" si="37"/>
        <v>9.1409083333333339</v>
      </c>
      <c r="I639" s="10">
        <f t="shared" si="37"/>
        <v>9.1445500000000006</v>
      </c>
      <c r="J639" s="10">
        <f t="shared" si="37"/>
        <v>9.1409083333333339</v>
      </c>
      <c r="K639" s="10">
        <f t="shared" si="37"/>
        <v>9.1445500000000006</v>
      </c>
      <c r="L639" s="10">
        <f t="shared" si="37"/>
        <v>6.8186249999999999</v>
      </c>
      <c r="M639" s="10">
        <f t="shared" si="37"/>
        <v>6.822258333333334</v>
      </c>
      <c r="N639" s="10">
        <f t="shared" si="37"/>
        <v>6.8186249999999999</v>
      </c>
      <c r="O639" s="10">
        <f t="shared" si="37"/>
        <v>6.822258333333334</v>
      </c>
    </row>
    <row r="640" spans="1:15" ht="15" x14ac:dyDescent="0.2">
      <c r="A640" s="11">
        <f t="shared" si="25"/>
        <v>2050</v>
      </c>
      <c r="B640" s="10">
        <f t="shared" ref="B640:O640" si="38">AVERAGE(B458:B469)</f>
        <v>7.7214666666666645</v>
      </c>
      <c r="C640" s="10">
        <f t="shared" si="38"/>
        <v>7.7214666666666645</v>
      </c>
      <c r="D640" s="10">
        <f t="shared" si="38"/>
        <v>7.7225416666666655</v>
      </c>
      <c r="E640" s="10">
        <f t="shared" si="38"/>
        <v>6.9438583333333339</v>
      </c>
      <c r="F640" s="10">
        <f t="shared" si="38"/>
        <v>6.9438583333333339</v>
      </c>
      <c r="G640" s="10">
        <f t="shared" si="38"/>
        <v>6.9474833333333343</v>
      </c>
      <c r="H640" s="10">
        <f t="shared" si="38"/>
        <v>9.3588083333333341</v>
      </c>
      <c r="I640" s="10">
        <f t="shared" si="38"/>
        <v>9.3624499999999973</v>
      </c>
      <c r="J640" s="10">
        <f t="shared" si="38"/>
        <v>9.3588083333333341</v>
      </c>
      <c r="K640" s="10">
        <f t="shared" si="38"/>
        <v>9.3624499999999973</v>
      </c>
      <c r="L640" s="10">
        <f t="shared" si="38"/>
        <v>6.9438583333333339</v>
      </c>
      <c r="M640" s="10">
        <f t="shared" si="38"/>
        <v>6.9474833333333343</v>
      </c>
      <c r="N640" s="10">
        <f t="shared" si="38"/>
        <v>6.9438583333333339</v>
      </c>
      <c r="O640" s="10">
        <f t="shared" si="38"/>
        <v>6.9474833333333343</v>
      </c>
    </row>
    <row r="641" spans="1:15" ht="15" x14ac:dyDescent="0.2">
      <c r="A641" s="11">
        <f t="shared" si="25"/>
        <v>2051</v>
      </c>
      <c r="B641" s="10">
        <f t="shared" ref="B641:O641" si="39">AVERAGE(B470:B481)</f>
        <v>7.9167750000000003</v>
      </c>
      <c r="C641" s="10">
        <f t="shared" si="39"/>
        <v>7.9167750000000003</v>
      </c>
      <c r="D641" s="10">
        <f t="shared" si="39"/>
        <v>7.9178500000000014</v>
      </c>
      <c r="E641" s="10">
        <f t="shared" si="39"/>
        <v>7.0716499999999991</v>
      </c>
      <c r="F641" s="10">
        <f t="shared" si="39"/>
        <v>7.0716499999999991</v>
      </c>
      <c r="G641" s="10">
        <f t="shared" si="39"/>
        <v>7.0752750000000013</v>
      </c>
      <c r="H641" s="10">
        <f t="shared" si="39"/>
        <v>9.5819583333333327</v>
      </c>
      <c r="I641" s="10">
        <f t="shared" si="39"/>
        <v>9.5856000000000012</v>
      </c>
      <c r="J641" s="10">
        <f t="shared" si="39"/>
        <v>9.5819583333333327</v>
      </c>
      <c r="K641" s="10">
        <f t="shared" si="39"/>
        <v>9.5856000000000012</v>
      </c>
      <c r="L641" s="10">
        <f t="shared" si="39"/>
        <v>7.0716499999999991</v>
      </c>
      <c r="M641" s="10">
        <f t="shared" si="39"/>
        <v>7.0752750000000013</v>
      </c>
      <c r="N641" s="10">
        <f t="shared" si="39"/>
        <v>7.0716499999999991</v>
      </c>
      <c r="O641" s="10">
        <f t="shared" si="39"/>
        <v>7.0752750000000013</v>
      </c>
    </row>
    <row r="642" spans="1:15" ht="15" x14ac:dyDescent="0.2">
      <c r="A642" s="11">
        <f t="shared" si="25"/>
        <v>2052</v>
      </c>
      <c r="B642" s="10">
        <f t="shared" ref="B642:O642" si="40">AVERAGE(B482:B493)</f>
        <v>8.1170416666666672</v>
      </c>
      <c r="C642" s="10">
        <f t="shared" si="40"/>
        <v>8.1170416666666672</v>
      </c>
      <c r="D642" s="10">
        <f t="shared" si="40"/>
        <v>8.1181166666666655</v>
      </c>
      <c r="E642" s="10">
        <f t="shared" si="40"/>
        <v>7.2020499999999998</v>
      </c>
      <c r="F642" s="10">
        <f t="shared" si="40"/>
        <v>7.2020499999999998</v>
      </c>
      <c r="G642" s="10">
        <f t="shared" si="40"/>
        <v>7.205683333333333</v>
      </c>
      <c r="H642" s="10">
        <f t="shared" si="40"/>
        <v>9.810433333333334</v>
      </c>
      <c r="I642" s="10">
        <f t="shared" si="40"/>
        <v>9.8140833333333326</v>
      </c>
      <c r="J642" s="10">
        <f t="shared" si="40"/>
        <v>9.810433333333334</v>
      </c>
      <c r="K642" s="10">
        <f t="shared" si="40"/>
        <v>9.8140833333333326</v>
      </c>
      <c r="L642" s="10">
        <f t="shared" si="40"/>
        <v>7.2020499999999998</v>
      </c>
      <c r="M642" s="10">
        <f t="shared" si="40"/>
        <v>7.205683333333333</v>
      </c>
      <c r="N642" s="10">
        <f t="shared" si="40"/>
        <v>7.2020499999999998</v>
      </c>
      <c r="O642" s="10">
        <f t="shared" si="40"/>
        <v>7.205683333333333</v>
      </c>
    </row>
    <row r="643" spans="1:15" ht="15" x14ac:dyDescent="0.2">
      <c r="A643" s="11">
        <f t="shared" si="25"/>
        <v>2053</v>
      </c>
      <c r="B643" s="10">
        <f t="shared" ref="B643:O643" si="41">AVERAGE(B494:B505)</f>
        <v>8.322375000000001</v>
      </c>
      <c r="C643" s="10">
        <f t="shared" si="41"/>
        <v>8.322375000000001</v>
      </c>
      <c r="D643" s="10">
        <f t="shared" si="41"/>
        <v>8.3234499999999993</v>
      </c>
      <c r="E643" s="10">
        <f t="shared" si="41"/>
        <v>7.3351333333333324</v>
      </c>
      <c r="F643" s="10">
        <f t="shared" si="41"/>
        <v>7.3351333333333324</v>
      </c>
      <c r="G643" s="10">
        <f t="shared" si="41"/>
        <v>7.3387583333333337</v>
      </c>
      <c r="H643" s="10">
        <f t="shared" si="41"/>
        <v>10.044408333333333</v>
      </c>
      <c r="I643" s="10">
        <f t="shared" si="41"/>
        <v>10.048075000000001</v>
      </c>
      <c r="J643" s="10">
        <f t="shared" si="41"/>
        <v>10.044408333333333</v>
      </c>
      <c r="K643" s="10">
        <f t="shared" si="41"/>
        <v>10.048075000000001</v>
      </c>
      <c r="L643" s="10">
        <f t="shared" si="41"/>
        <v>7.3351333333333324</v>
      </c>
      <c r="M643" s="10">
        <f t="shared" si="41"/>
        <v>7.3387583333333337</v>
      </c>
      <c r="N643" s="10">
        <f t="shared" si="41"/>
        <v>7.3351333333333324</v>
      </c>
      <c r="O643" s="10">
        <f t="shared" si="41"/>
        <v>7.3387583333333337</v>
      </c>
    </row>
    <row r="644" spans="1:15" ht="15" x14ac:dyDescent="0.2">
      <c r="A644" s="11">
        <f t="shared" si="25"/>
        <v>2054</v>
      </c>
      <c r="B644" s="10">
        <f t="shared" ref="B644:O644" si="42">AVERAGE(B506:B517)</f>
        <v>8.5329166666666669</v>
      </c>
      <c r="C644" s="10">
        <f t="shared" si="42"/>
        <v>8.5329166666666669</v>
      </c>
      <c r="D644" s="10">
        <f t="shared" si="42"/>
        <v>8.5340000000000007</v>
      </c>
      <c r="E644" s="10">
        <f t="shared" si="42"/>
        <v>7.4709583333333329</v>
      </c>
      <c r="F644" s="10">
        <f t="shared" si="42"/>
        <v>7.4709583333333329</v>
      </c>
      <c r="G644" s="10">
        <f t="shared" si="42"/>
        <v>7.4745749999999989</v>
      </c>
      <c r="H644" s="10">
        <f t="shared" si="42"/>
        <v>10.284008333333334</v>
      </c>
      <c r="I644" s="10">
        <f t="shared" si="42"/>
        <v>10.287650000000001</v>
      </c>
      <c r="J644" s="10">
        <f t="shared" si="42"/>
        <v>10.284008333333334</v>
      </c>
      <c r="K644" s="10">
        <f t="shared" si="42"/>
        <v>10.287650000000001</v>
      </c>
      <c r="L644" s="10">
        <f t="shared" si="42"/>
        <v>7.4709583333333329</v>
      </c>
      <c r="M644" s="10">
        <f t="shared" si="42"/>
        <v>7.4745749999999989</v>
      </c>
      <c r="N644" s="10">
        <f t="shared" si="42"/>
        <v>7.4709583333333329</v>
      </c>
      <c r="O644" s="10">
        <f t="shared" si="42"/>
        <v>7.4745749999999989</v>
      </c>
    </row>
    <row r="645" spans="1:15" ht="15" x14ac:dyDescent="0.2">
      <c r="A645" s="11">
        <f t="shared" si="25"/>
        <v>2055</v>
      </c>
      <c r="B645" s="10">
        <f t="shared" ref="B645:O645" si="43">AVERAGE(B18:B529)</f>
        <v>5.3655509765624991</v>
      </c>
      <c r="C645" s="10">
        <f t="shared" si="43"/>
        <v>5.3668812500000005</v>
      </c>
      <c r="D645" s="10">
        <f t="shared" si="43"/>
        <v>5.3694777343750024</v>
      </c>
      <c r="E645" s="10">
        <f t="shared" si="43"/>
        <v>5.4135345703124989</v>
      </c>
      <c r="F645" s="10">
        <f t="shared" si="43"/>
        <v>5.4035539062499991</v>
      </c>
      <c r="G645" s="10">
        <f t="shared" si="43"/>
        <v>5.4075648437499968</v>
      </c>
      <c r="H645" s="10">
        <f t="shared" si="43"/>
        <v>6.7129777343749977</v>
      </c>
      <c r="I645" s="10">
        <f t="shared" si="43"/>
        <v>6.7169933593750049</v>
      </c>
      <c r="J645" s="10">
        <f t="shared" si="43"/>
        <v>6.7129777343749977</v>
      </c>
      <c r="K645" s="10">
        <f t="shared" si="43"/>
        <v>6.7169933593750049</v>
      </c>
      <c r="L645" s="10">
        <f t="shared" si="43"/>
        <v>5.4135345703124989</v>
      </c>
      <c r="M645" s="10">
        <f t="shared" si="43"/>
        <v>5.4175472656249974</v>
      </c>
      <c r="N645" s="10">
        <f t="shared" si="43"/>
        <v>5.4135345703124989</v>
      </c>
      <c r="O645" s="10">
        <f t="shared" si="43"/>
        <v>5.4175472656249974</v>
      </c>
    </row>
    <row r="646" spans="1:15" ht="15" x14ac:dyDescent="0.2">
      <c r="A646" s="11">
        <f t="shared" si="25"/>
        <v>2056</v>
      </c>
      <c r="B646" s="10">
        <f t="shared" ref="B646:O646" si="44">AVERAGE(B530:B541)</f>
        <v>8.9701749999999993</v>
      </c>
      <c r="C646" s="10">
        <f t="shared" si="44"/>
        <v>8.9701749999999993</v>
      </c>
      <c r="D646" s="10">
        <f t="shared" si="44"/>
        <v>8.9712416666666677</v>
      </c>
      <c r="E646" s="10">
        <f t="shared" si="44"/>
        <v>7.7510833333333338</v>
      </c>
      <c r="F646" s="10">
        <f t="shared" si="44"/>
        <v>7.7510833333333338</v>
      </c>
      <c r="G646" s="10">
        <f t="shared" si="44"/>
        <v>7.7547250000000005</v>
      </c>
      <c r="H646" s="10">
        <f t="shared" si="44"/>
        <v>10.780508333333332</v>
      </c>
      <c r="I646" s="10">
        <f t="shared" si="44"/>
        <v>10.784150000000002</v>
      </c>
      <c r="J646" s="10">
        <f t="shared" si="44"/>
        <v>10.780508333333332</v>
      </c>
      <c r="K646" s="10">
        <f t="shared" si="44"/>
        <v>10.784150000000002</v>
      </c>
      <c r="L646" s="10">
        <f t="shared" si="44"/>
        <v>7.7510833333333338</v>
      </c>
      <c r="M646" s="10">
        <f t="shared" si="44"/>
        <v>7.7547250000000005</v>
      </c>
      <c r="N646" s="10">
        <f t="shared" si="44"/>
        <v>7.7510833333333338</v>
      </c>
      <c r="O646" s="10">
        <f t="shared" si="44"/>
        <v>7.7547250000000005</v>
      </c>
    </row>
    <row r="647" spans="1:15" ht="15" x14ac:dyDescent="0.2">
      <c r="A647" s="11">
        <f t="shared" si="25"/>
        <v>2057</v>
      </c>
      <c r="B647" s="10">
        <f t="shared" ref="B647:O647" si="45">AVERAGE(B542:B553)</f>
        <v>9.197141666666667</v>
      </c>
      <c r="C647" s="10">
        <f t="shared" si="45"/>
        <v>9.197141666666667</v>
      </c>
      <c r="D647" s="10">
        <f t="shared" si="45"/>
        <v>9.1982000000000017</v>
      </c>
      <c r="E647" s="10">
        <f t="shared" si="45"/>
        <v>7.8955083333333347</v>
      </c>
      <c r="F647" s="10">
        <f t="shared" si="45"/>
        <v>7.8955083333333347</v>
      </c>
      <c r="G647" s="10">
        <f t="shared" si="45"/>
        <v>7.8991499999999997</v>
      </c>
      <c r="H647" s="10">
        <f t="shared" si="45"/>
        <v>11.037733333333335</v>
      </c>
      <c r="I647" s="10">
        <f t="shared" si="45"/>
        <v>11.041375</v>
      </c>
      <c r="J647" s="10">
        <f t="shared" si="45"/>
        <v>11.037733333333335</v>
      </c>
      <c r="K647" s="10">
        <f t="shared" si="45"/>
        <v>11.041375</v>
      </c>
      <c r="L647" s="10">
        <f t="shared" si="45"/>
        <v>7.8955083333333347</v>
      </c>
      <c r="M647" s="10">
        <f t="shared" si="45"/>
        <v>7.8991499999999997</v>
      </c>
      <c r="N647" s="10">
        <f t="shared" si="45"/>
        <v>7.8955083333333347</v>
      </c>
      <c r="O647" s="10">
        <f t="shared" si="45"/>
        <v>7.8991499999999997</v>
      </c>
    </row>
    <row r="648" spans="1:15" ht="15" x14ac:dyDescent="0.2">
      <c r="A648" s="11">
        <f t="shared" si="25"/>
        <v>2058</v>
      </c>
      <c r="B648" s="10">
        <f t="shared" ref="B648:O648" si="46">AVERAGE(B554:B565)</f>
        <v>9.4298583333333319</v>
      </c>
      <c r="C648" s="10">
        <f t="shared" si="46"/>
        <v>9.4298583333333319</v>
      </c>
      <c r="D648" s="10">
        <f t="shared" si="46"/>
        <v>9.4309250000000002</v>
      </c>
      <c r="E648" s="10">
        <f t="shared" si="46"/>
        <v>8.0429416666666675</v>
      </c>
      <c r="F648" s="10">
        <f t="shared" si="46"/>
        <v>8.0429416666666675</v>
      </c>
      <c r="G648" s="10">
        <f t="shared" si="46"/>
        <v>8.0465583333333317</v>
      </c>
      <c r="H648" s="10">
        <f t="shared" si="46"/>
        <v>11.301133333333333</v>
      </c>
      <c r="I648" s="10">
        <f t="shared" si="46"/>
        <v>11.304774999999999</v>
      </c>
      <c r="J648" s="10">
        <f t="shared" si="46"/>
        <v>11.301133333333333</v>
      </c>
      <c r="K648" s="10">
        <f t="shared" si="46"/>
        <v>11.304774999999999</v>
      </c>
      <c r="L648" s="10">
        <f t="shared" si="46"/>
        <v>8.0429416666666675</v>
      </c>
      <c r="M648" s="10">
        <f t="shared" si="46"/>
        <v>8.0465583333333317</v>
      </c>
      <c r="N648" s="10">
        <f t="shared" si="46"/>
        <v>8.0429416666666675</v>
      </c>
      <c r="O648" s="10">
        <f t="shared" si="46"/>
        <v>8.0465583333333317</v>
      </c>
    </row>
    <row r="649" spans="1:15" ht="15" x14ac:dyDescent="0.2">
      <c r="A649" s="11">
        <f t="shared" si="25"/>
        <v>2059</v>
      </c>
      <c r="B649" s="10">
        <f t="shared" ref="B649:O649" si="47">AVERAGE(B566:B577)</f>
        <v>9.6684833333333344</v>
      </c>
      <c r="C649" s="10">
        <f t="shared" si="47"/>
        <v>9.6684833333333344</v>
      </c>
      <c r="D649" s="10">
        <f t="shared" si="47"/>
        <v>9.6695416666666656</v>
      </c>
      <c r="E649" s="10">
        <f t="shared" si="47"/>
        <v>8.1934416666666667</v>
      </c>
      <c r="F649" s="10">
        <f t="shared" si="47"/>
        <v>8.1934416666666667</v>
      </c>
      <c r="G649" s="10">
        <f t="shared" si="47"/>
        <v>8.1970833333333317</v>
      </c>
      <c r="H649" s="10">
        <f t="shared" si="47"/>
        <v>11.570833333333333</v>
      </c>
      <c r="I649" s="10">
        <f t="shared" si="47"/>
        <v>11.574475</v>
      </c>
      <c r="J649" s="10">
        <f t="shared" si="47"/>
        <v>11.570833333333333</v>
      </c>
      <c r="K649" s="10">
        <f t="shared" si="47"/>
        <v>11.574475</v>
      </c>
      <c r="L649" s="10">
        <f t="shared" si="47"/>
        <v>8.1934416666666667</v>
      </c>
      <c r="M649" s="10">
        <f t="shared" si="47"/>
        <v>8.1970833333333317</v>
      </c>
      <c r="N649" s="10">
        <f t="shared" si="47"/>
        <v>8.1934416666666667</v>
      </c>
      <c r="O649" s="10">
        <f t="shared" si="47"/>
        <v>8.1970833333333317</v>
      </c>
    </row>
    <row r="650" spans="1:15" ht="15" x14ac:dyDescent="0.2">
      <c r="A650" s="11">
        <f t="shared" si="25"/>
        <v>2060</v>
      </c>
      <c r="B650" s="10">
        <f t="shared" ref="B650:O650" si="48">AVERAGE(B578:B589)</f>
        <v>9.9131416666666663</v>
      </c>
      <c r="C650" s="10">
        <f t="shared" si="48"/>
        <v>9.9131416666666663</v>
      </c>
      <c r="D650" s="10">
        <f t="shared" si="48"/>
        <v>9.9142333333333319</v>
      </c>
      <c r="E650" s="10">
        <f t="shared" si="48"/>
        <v>8.3470750000000002</v>
      </c>
      <c r="F650" s="10">
        <f t="shared" si="48"/>
        <v>8.3470750000000002</v>
      </c>
      <c r="G650" s="10">
        <f t="shared" si="48"/>
        <v>8.3507333333333325</v>
      </c>
      <c r="H650" s="10">
        <f t="shared" si="48"/>
        <v>11.847033333333336</v>
      </c>
      <c r="I650" s="10">
        <f t="shared" si="48"/>
        <v>11.850675000000001</v>
      </c>
      <c r="J650" s="10">
        <f t="shared" si="48"/>
        <v>11.847033333333336</v>
      </c>
      <c r="K650" s="10">
        <f t="shared" si="48"/>
        <v>11.850675000000001</v>
      </c>
      <c r="L650" s="10">
        <f t="shared" si="48"/>
        <v>8.3470750000000002</v>
      </c>
      <c r="M650" s="10">
        <f t="shared" si="48"/>
        <v>8.3507333333333325</v>
      </c>
      <c r="N650" s="10">
        <f t="shared" si="48"/>
        <v>8.3470750000000002</v>
      </c>
      <c r="O650" s="10">
        <f t="shared" si="48"/>
        <v>8.3507333333333325</v>
      </c>
    </row>
    <row r="651" spans="1:15" ht="15" x14ac:dyDescent="0.2">
      <c r="A651" s="11">
        <f t="shared" si="25"/>
        <v>2061</v>
      </c>
      <c r="B651" s="10">
        <f t="shared" ref="B651:O651" si="49">AVERAGE(B590:B601)</f>
        <v>10.164025000000001</v>
      </c>
      <c r="C651" s="10">
        <f t="shared" si="49"/>
        <v>10.164025000000001</v>
      </c>
      <c r="D651" s="10">
        <f t="shared" si="49"/>
        <v>10.165100000000001</v>
      </c>
      <c r="E651" s="10">
        <f t="shared" si="49"/>
        <v>8.5039333333333342</v>
      </c>
      <c r="F651" s="10">
        <f t="shared" si="49"/>
        <v>8.5039333333333342</v>
      </c>
      <c r="G651" s="10">
        <f t="shared" si="49"/>
        <v>8.5075833333333311</v>
      </c>
      <c r="H651" s="10">
        <f t="shared" si="49"/>
        <v>12.129808333333331</v>
      </c>
      <c r="I651" s="10">
        <f t="shared" si="49"/>
        <v>12.133450000000003</v>
      </c>
      <c r="J651" s="10">
        <f t="shared" si="49"/>
        <v>12.129808333333331</v>
      </c>
      <c r="K651" s="10">
        <f t="shared" si="49"/>
        <v>12.133450000000003</v>
      </c>
      <c r="L651" s="10">
        <f t="shared" si="49"/>
        <v>8.5039333333333342</v>
      </c>
      <c r="M651" s="10">
        <f t="shared" si="49"/>
        <v>8.5075833333333311</v>
      </c>
      <c r="N651" s="10">
        <f t="shared" si="49"/>
        <v>8.5039333333333342</v>
      </c>
      <c r="O651" s="10">
        <f t="shared" si="49"/>
        <v>8.5075833333333311</v>
      </c>
    </row>
    <row r="652" spans="1:15" ht="15" x14ac:dyDescent="0.2">
      <c r="B652" s="10"/>
      <c r="C652" s="10"/>
      <c r="D652" s="10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</sheetData>
  <mergeCells count="7">
    <mergeCell ref="B10:D10"/>
    <mergeCell ref="P10:Q10"/>
    <mergeCell ref="R10:S10"/>
    <mergeCell ref="P9:S9"/>
    <mergeCell ref="E10:G10"/>
    <mergeCell ref="H10:K10"/>
    <mergeCell ref="L10:O10"/>
  </mergeCells>
  <pageMargins left="0.25" right="0.25" top="0.5" bottom="0.5" header="0.25" footer="0.25"/>
  <pageSetup paperSize="17" scale="5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5</xdr:col>
                    <xdr:colOff>390525</xdr:colOff>
                    <xdr:row>7</xdr:row>
                    <xdr:rowOff>85725</xdr:rowOff>
                  </from>
                  <to>
                    <xdr:col>6</xdr:col>
                    <xdr:colOff>400050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Q708"/>
  <sheetViews>
    <sheetView zoomScale="75" zoomScaleNormal="75" workbookViewId="0">
      <pane xSplit="1" ySplit="11" topLeftCell="B12" activePane="bottomRight" state="frozen"/>
      <selection activeCell="A7" sqref="A7"/>
      <selection pane="topRight" activeCell="A7" sqref="A7"/>
      <selection pane="bottomLeft" activeCell="A7" sqref="A7"/>
      <selection pane="bottomRight" activeCell="B12" sqref="B12"/>
    </sheetView>
  </sheetViews>
  <sheetFormatPr defaultColWidth="7.109375" defaultRowHeight="12.75" x14ac:dyDescent="0.2"/>
  <cols>
    <col min="1" max="1" width="19.77734375" style="33" customWidth="1"/>
    <col min="2" max="4" width="16.109375" style="33" customWidth="1"/>
    <col min="5" max="5" width="21" style="33" customWidth="1"/>
    <col min="6" max="9" width="16.109375" style="33" customWidth="1"/>
    <col min="10" max="10" width="12.33203125" style="8" customWidth="1"/>
    <col min="11" max="11" width="10.77734375" style="8" customWidth="1"/>
    <col min="12" max="12" width="11.6640625" style="8" customWidth="1"/>
    <col min="13" max="16384" width="7.109375" style="8"/>
  </cols>
  <sheetData>
    <row r="1" spans="1:17" ht="15.75" x14ac:dyDescent="0.25">
      <c r="A1" s="102" t="s">
        <v>91</v>
      </c>
    </row>
    <row r="2" spans="1:17" ht="15.75" x14ac:dyDescent="0.25">
      <c r="A2" s="102" t="s">
        <v>92</v>
      </c>
    </row>
    <row r="3" spans="1:17" ht="15.75" x14ac:dyDescent="0.25">
      <c r="A3" s="102" t="s">
        <v>93</v>
      </c>
    </row>
    <row r="4" spans="1:17" ht="15.75" x14ac:dyDescent="0.25">
      <c r="A4" s="102" t="s">
        <v>94</v>
      </c>
    </row>
    <row r="5" spans="1:17" ht="15.75" x14ac:dyDescent="0.25">
      <c r="A5" s="102" t="s">
        <v>96</v>
      </c>
    </row>
    <row r="6" spans="1:17" ht="15.75" x14ac:dyDescent="0.25">
      <c r="A6" s="102" t="s">
        <v>98</v>
      </c>
    </row>
    <row r="7" spans="1:17" ht="15.75" x14ac:dyDescent="0.25">
      <c r="A7" s="102"/>
    </row>
    <row r="8" spans="1:17" ht="15.75" x14ac:dyDescent="0.25">
      <c r="A8" s="42" t="s">
        <v>27</v>
      </c>
      <c r="B8" s="8"/>
      <c r="C8" s="8"/>
      <c r="D8" s="8"/>
      <c r="E8" s="8"/>
      <c r="F8" s="8"/>
      <c r="G8" s="8"/>
      <c r="H8" s="8"/>
      <c r="I8" s="8"/>
    </row>
    <row r="9" spans="1:17" ht="15.75" x14ac:dyDescent="0.25">
      <c r="A9" s="42"/>
      <c r="B9" s="41"/>
      <c r="C9" s="40" t="s">
        <v>25</v>
      </c>
      <c r="D9" s="39">
        <f>1-0.278</f>
        <v>0.72199999999999998</v>
      </c>
      <c r="E9" s="40" t="s">
        <v>24</v>
      </c>
      <c r="F9" s="39">
        <v>1.278</v>
      </c>
      <c r="G9" s="8"/>
      <c r="H9" s="8"/>
      <c r="I9" s="8"/>
    </row>
    <row r="10" spans="1:17" s="35" customFormat="1" ht="13.15" customHeight="1" x14ac:dyDescent="0.25">
      <c r="B10" s="36" t="s">
        <v>38</v>
      </c>
      <c r="C10" s="36" t="s">
        <v>37</v>
      </c>
      <c r="D10" s="36" t="s">
        <v>36</v>
      </c>
      <c r="E10" s="38" t="s">
        <v>35</v>
      </c>
      <c r="F10" s="36" t="s">
        <v>34</v>
      </c>
      <c r="G10" s="38" t="s">
        <v>33</v>
      </c>
      <c r="H10" s="38" t="s">
        <v>32</v>
      </c>
      <c r="I10" s="36" t="s">
        <v>31</v>
      </c>
      <c r="J10" s="36" t="s">
        <v>30</v>
      </c>
      <c r="K10" s="36" t="s">
        <v>29</v>
      </c>
      <c r="L10" s="36" t="s">
        <v>28</v>
      </c>
    </row>
    <row r="11" spans="1:17" s="35" customFormat="1" ht="13.15" customHeight="1" x14ac:dyDescent="0.25">
      <c r="A11" s="37" t="s">
        <v>15</v>
      </c>
      <c r="B11" s="36" t="s">
        <v>14</v>
      </c>
      <c r="C11" s="36" t="s">
        <v>14</v>
      </c>
      <c r="D11" s="36" t="s">
        <v>14</v>
      </c>
      <c r="E11" s="36" t="s">
        <v>14</v>
      </c>
      <c r="F11" s="36" t="s">
        <v>14</v>
      </c>
      <c r="G11" s="36" t="s">
        <v>14</v>
      </c>
      <c r="H11" s="36" t="s">
        <v>14</v>
      </c>
      <c r="I11" s="36" t="s">
        <v>14</v>
      </c>
      <c r="J11" s="36" t="s">
        <v>14</v>
      </c>
      <c r="K11" s="36" t="s">
        <v>14</v>
      </c>
      <c r="L11" s="36" t="s">
        <v>14</v>
      </c>
    </row>
    <row r="12" spans="1:17" ht="15" x14ac:dyDescent="0.2">
      <c r="A12" s="16">
        <v>41275</v>
      </c>
      <c r="B12" s="17">
        <v>24.537438554750199</v>
      </c>
      <c r="C12" s="17">
        <v>24.1051915564654</v>
      </c>
      <c r="D12" s="17">
        <v>24.1051915564654</v>
      </c>
      <c r="E12" s="17">
        <v>23.9685330658994</v>
      </c>
      <c r="F12" s="17">
        <v>23.9685330658994</v>
      </c>
      <c r="G12" s="17">
        <v>24.239908537597501</v>
      </c>
      <c r="H12" s="17">
        <v>24.1051915564654</v>
      </c>
      <c r="I12" s="17">
        <v>24.1051915564654</v>
      </c>
      <c r="J12" s="17">
        <v>23.744985724561499</v>
      </c>
      <c r="K12" s="17">
        <v>24.1051915564654</v>
      </c>
      <c r="L12" s="17"/>
      <c r="M12" s="34"/>
      <c r="N12" s="34"/>
      <c r="O12" s="34"/>
      <c r="P12" s="34"/>
      <c r="Q12" s="34"/>
    </row>
    <row r="13" spans="1:17" ht="15" x14ac:dyDescent="0.2">
      <c r="A13" s="16">
        <v>41306</v>
      </c>
      <c r="B13" s="17">
        <v>25.450415094339601</v>
      </c>
      <c r="C13" s="17">
        <v>25.0181680960549</v>
      </c>
      <c r="D13" s="17">
        <v>25.0181680960549</v>
      </c>
      <c r="E13" s="17">
        <v>24.881509605488802</v>
      </c>
      <c r="F13" s="17">
        <v>24.881509605488802</v>
      </c>
      <c r="G13" s="17">
        <v>25.152885077187001</v>
      </c>
      <c r="H13" s="17">
        <v>25.0181680960549</v>
      </c>
      <c r="I13" s="17">
        <v>25.0181680960549</v>
      </c>
      <c r="J13" s="17">
        <v>24.6579622641509</v>
      </c>
      <c r="K13" s="17">
        <v>25.0181680960549</v>
      </c>
      <c r="L13" s="17"/>
      <c r="M13" s="34"/>
      <c r="N13" s="34"/>
      <c r="O13" s="34"/>
      <c r="P13" s="34"/>
      <c r="Q13" s="34"/>
    </row>
    <row r="14" spans="1:17" ht="15" x14ac:dyDescent="0.2">
      <c r="A14" s="16">
        <v>41334</v>
      </c>
      <c r="B14" s="17">
        <f>25.0141 * CHOOSE(CONTROL!$C$9, $D$9, 100%, $F$9) + CHOOSE(CONTROL!$C$27, 0.0021, 0)</f>
        <v>25.016199999999998</v>
      </c>
      <c r="C14" s="17">
        <f>24.5819 * CHOOSE(CONTROL!$C$9, $D$9, 100%, $F$9) + CHOOSE(CONTROL!$C$27, 0.0021, 0)</f>
        <v>24.584</v>
      </c>
      <c r="D14" s="17">
        <f>24.5819 * CHOOSE(CONTROL!$C$9, $D$9, 100%, $F$9) + CHOOSE(CONTROL!$C$27, 0.0021, 0)</f>
        <v>24.584</v>
      </c>
      <c r="E14" s="17">
        <f>24.4452 * CHOOSE(CONTROL!$C$9, $D$9, 100%, $F$9) + CHOOSE(CONTROL!$C$27, 0.0021, 0)</f>
        <v>24.447299999999998</v>
      </c>
      <c r="F14" s="17">
        <f>24.4452 * CHOOSE(CONTROL!$C$9, $D$9, 100%, $F$9) + CHOOSE(CONTROL!$C$27, 0.0021, 0)</f>
        <v>24.447299999999998</v>
      </c>
      <c r="G14" s="17">
        <f>24.7166 * CHOOSE(CONTROL!$C$9, $D$9, 100%, $F$9) + CHOOSE(CONTROL!$C$27, 0.0021, 0)</f>
        <v>24.718699999999998</v>
      </c>
      <c r="H14" s="17">
        <f>24.5819 * CHOOSE(CONTROL!$C$9, $D$9, 100%, $F$9) + CHOOSE(CONTROL!$C$27, 0.0021, 0)</f>
        <v>24.584</v>
      </c>
      <c r="I14" s="17">
        <f>24.5819 * CHOOSE(CONTROL!$C$9, $D$9, 100%, $F$9) + CHOOSE(CONTROL!$C$27, 0.0021, 0)</f>
        <v>24.584</v>
      </c>
      <c r="J14" s="17">
        <f>24.2217 * CHOOSE(CONTROL!$C$9, $D$9, 100%, $F$9) + CHOOSE(CONTROL!$C$27, 0.0021, 0)</f>
        <v>24.223799999999997</v>
      </c>
      <c r="K14" s="17">
        <f>24.5819 * CHOOSE(CONTROL!$C$9, $D$9, 100%, $F$9) + CHOOSE(CONTROL!$C$27, 0.0021, 0)</f>
        <v>24.584</v>
      </c>
      <c r="L14" s="17"/>
      <c r="M14" s="34"/>
      <c r="N14" s="34"/>
      <c r="O14" s="34"/>
      <c r="P14" s="34"/>
      <c r="Q14" s="34"/>
    </row>
    <row r="15" spans="1:17" ht="15" x14ac:dyDescent="0.2">
      <c r="A15" s="16">
        <v>41365</v>
      </c>
      <c r="B15" s="17">
        <f>24.829 * CHOOSE(CONTROL!$C$9, $D$9, 100%, $F$9) + CHOOSE(CONTROL!$C$27, 0.0021, 0)</f>
        <v>24.831099999999999</v>
      </c>
      <c r="C15" s="17">
        <f>24.3967 * CHOOSE(CONTROL!$C$9, $D$9, 100%, $F$9) + CHOOSE(CONTROL!$C$27, 0.0021, 0)</f>
        <v>24.398799999999998</v>
      </c>
      <c r="D15" s="17">
        <f>24.3967 * CHOOSE(CONTROL!$C$9, $D$9, 100%, $F$9) + CHOOSE(CONTROL!$C$27, 0.0021, 0)</f>
        <v>24.398799999999998</v>
      </c>
      <c r="E15" s="17">
        <f>24.2601 * CHOOSE(CONTROL!$C$9, $D$9, 100%, $F$9) + CHOOSE(CONTROL!$C$27, 0.0021, 0)</f>
        <v>24.2622</v>
      </c>
      <c r="F15" s="17">
        <f>24.2601 * CHOOSE(CONTROL!$C$9, $D$9, 100%, $F$9) + CHOOSE(CONTROL!$C$27, 0.0021, 0)</f>
        <v>24.2622</v>
      </c>
      <c r="G15" s="17">
        <f>24.5315 * CHOOSE(CONTROL!$C$9, $D$9, 100%, $F$9) + CHOOSE(CONTROL!$C$27, 0.0021, 0)</f>
        <v>24.5336</v>
      </c>
      <c r="H15" s="17">
        <f>24.3967 * CHOOSE(CONTROL!$C$9, $D$9, 100%, $F$9) + CHOOSE(CONTROL!$C$27, 0.0021, 0)</f>
        <v>24.398799999999998</v>
      </c>
      <c r="I15" s="17">
        <f>24.3967 * CHOOSE(CONTROL!$C$9, $D$9, 100%, $F$9) + CHOOSE(CONTROL!$C$27, 0.0021, 0)</f>
        <v>24.398799999999998</v>
      </c>
      <c r="J15" s="17">
        <f>24.0365 * CHOOSE(CONTROL!$C$9, $D$9, 100%, $F$9) + CHOOSE(CONTROL!$C$27, 0.0021, 0)</f>
        <v>24.038599999999999</v>
      </c>
      <c r="K15" s="17">
        <f>24.3967 * CHOOSE(CONTROL!$C$9, $D$9, 100%, $F$9) + CHOOSE(CONTROL!$C$27, 0.0021, 0)</f>
        <v>24.398799999999998</v>
      </c>
      <c r="L15" s="17"/>
      <c r="M15" s="34"/>
      <c r="N15" s="34"/>
      <c r="O15" s="34"/>
      <c r="P15" s="34"/>
      <c r="Q15" s="34"/>
    </row>
    <row r="16" spans="1:17" ht="15" x14ac:dyDescent="0.2">
      <c r="A16" s="16">
        <v>41395</v>
      </c>
      <c r="B16" s="17">
        <f>25.0833 * CHOOSE(CONTROL!$C$9, $D$9, 100%, $F$9) + CHOOSE(CONTROL!$C$27, 0.0021, 0)</f>
        <v>25.0854</v>
      </c>
      <c r="C16" s="17">
        <f>24.651 * CHOOSE(CONTROL!$C$9, $D$9, 100%, $F$9) + CHOOSE(CONTROL!$C$27, 0.0021, 0)</f>
        <v>24.653099999999998</v>
      </c>
      <c r="D16" s="17">
        <f>24.651 * CHOOSE(CONTROL!$C$9, $D$9, 100%, $F$9) + CHOOSE(CONTROL!$C$27, 0.0021, 0)</f>
        <v>24.653099999999998</v>
      </c>
      <c r="E16" s="17">
        <f>24.5144 * CHOOSE(CONTROL!$C$9, $D$9, 100%, $F$9) + CHOOSE(CONTROL!$C$27, 0.0021, 0)</f>
        <v>24.516499999999997</v>
      </c>
      <c r="F16" s="17">
        <f>24.5144 * CHOOSE(CONTROL!$C$9, $D$9, 100%, $F$9) + CHOOSE(CONTROL!$C$27, 0.0021, 0)</f>
        <v>24.516499999999997</v>
      </c>
      <c r="G16" s="17">
        <f>24.7858 * CHOOSE(CONTROL!$C$9, $D$9, 100%, $F$9) + CHOOSE(CONTROL!$C$27, 0.0021, 0)</f>
        <v>24.787899999999997</v>
      </c>
      <c r="H16" s="17">
        <f>24.651 * CHOOSE(CONTROL!$C$9, $D$9, 100%, $F$9) + CHOOSE(CONTROL!$C$27, 0.0021, 0)</f>
        <v>24.653099999999998</v>
      </c>
      <c r="I16" s="17">
        <f>24.651 * CHOOSE(CONTROL!$C$9, $D$9, 100%, $F$9) + CHOOSE(CONTROL!$C$27, 0.0021, 0)</f>
        <v>24.653099999999998</v>
      </c>
      <c r="J16" s="17">
        <f>24.2908 * CHOOSE(CONTROL!$C$9, $D$9, 100%, $F$9) + CHOOSE(CONTROL!$C$27, 0.0021, 0)</f>
        <v>24.292899999999999</v>
      </c>
      <c r="K16" s="17">
        <f>24.651 * CHOOSE(CONTROL!$C$9, $D$9, 100%, $F$9) + CHOOSE(CONTROL!$C$27, 0.0021, 0)</f>
        <v>24.653099999999998</v>
      </c>
      <c r="L16" s="17"/>
      <c r="M16" s="34"/>
      <c r="N16" s="34"/>
      <c r="O16" s="34"/>
      <c r="P16" s="34"/>
      <c r="Q16" s="34"/>
    </row>
    <row r="17" spans="1:17" ht="15" x14ac:dyDescent="0.2">
      <c r="A17" s="16">
        <v>41426</v>
      </c>
      <c r="B17" s="17">
        <f>24.8917 * CHOOSE(CONTROL!$C$9, $D$9, 100%, $F$9) + CHOOSE(CONTROL!$C$27, 0.0021, 0)</f>
        <v>24.893799999999999</v>
      </c>
      <c r="C17" s="17">
        <f>24.4594 * CHOOSE(CONTROL!$C$9, $D$9, 100%, $F$9) + CHOOSE(CONTROL!$C$27, 0.0021, 0)</f>
        <v>24.461499999999997</v>
      </c>
      <c r="D17" s="17">
        <f>24.4594 * CHOOSE(CONTROL!$C$9, $D$9, 100%, $F$9) + CHOOSE(CONTROL!$C$27, 0.0021, 0)</f>
        <v>24.461499999999997</v>
      </c>
      <c r="E17" s="17">
        <f>24.3228 * CHOOSE(CONTROL!$C$9, $D$9, 100%, $F$9) + CHOOSE(CONTROL!$C$27, 0.0021, 0)</f>
        <v>24.3249</v>
      </c>
      <c r="F17" s="17">
        <f>24.3228 * CHOOSE(CONTROL!$C$9, $D$9, 100%, $F$9) + CHOOSE(CONTROL!$C$27, 0.0021, 0)</f>
        <v>24.3249</v>
      </c>
      <c r="G17" s="17">
        <f>24.5941 * CHOOSE(CONTROL!$C$9, $D$9, 100%, $F$9) + CHOOSE(CONTROL!$C$27, 0.0021, 0)</f>
        <v>24.5962</v>
      </c>
      <c r="H17" s="17">
        <f>24.4594 * CHOOSE(CONTROL!$C$9, $D$9, 100%, $F$9) + CHOOSE(CONTROL!$C$27, 0.0021, 0)</f>
        <v>24.461499999999997</v>
      </c>
      <c r="I17" s="17">
        <f>24.4594 * CHOOSE(CONTROL!$C$9, $D$9, 100%, $F$9) + CHOOSE(CONTROL!$C$27, 0.0021, 0)</f>
        <v>24.461499999999997</v>
      </c>
      <c r="J17" s="17">
        <f>24.0992 * CHOOSE(CONTROL!$C$9, $D$9, 100%, $F$9) + CHOOSE(CONTROL!$C$27, 0.0021, 0)</f>
        <v>24.101299999999998</v>
      </c>
      <c r="K17" s="17">
        <f>24.4594 * CHOOSE(CONTROL!$C$9, $D$9, 100%, $F$9) + CHOOSE(CONTROL!$C$27, 0.0021, 0)</f>
        <v>24.461499999999997</v>
      </c>
      <c r="L17" s="17"/>
      <c r="M17" s="34"/>
      <c r="N17" s="34"/>
      <c r="O17" s="34"/>
      <c r="P17" s="34"/>
      <c r="Q17" s="34"/>
    </row>
    <row r="18" spans="1:17" ht="15" x14ac:dyDescent="0.2">
      <c r="A18" s="16">
        <v>41456</v>
      </c>
      <c r="B18" s="17">
        <f>24.7937 * CHOOSE(CONTROL!$C$9, $D$9, 100%, $F$9) + CHOOSE(CONTROL!$C$27, 0.0021, 0)</f>
        <v>24.7958</v>
      </c>
      <c r="C18" s="17">
        <f>24.3614 * CHOOSE(CONTROL!$C$9, $D$9, 100%, $F$9) + CHOOSE(CONTROL!$C$27, 0.0021, 0)</f>
        <v>24.363499999999998</v>
      </c>
      <c r="D18" s="17">
        <f>24.3614 * CHOOSE(CONTROL!$C$9, $D$9, 100%, $F$9) + CHOOSE(CONTROL!$C$27, 0.0021, 0)</f>
        <v>24.363499999999998</v>
      </c>
      <c r="E18" s="17">
        <f>24.2248 * CHOOSE(CONTROL!$C$9, $D$9, 100%, $F$9) + CHOOSE(CONTROL!$C$27, 0.0021, 0)</f>
        <v>24.226899999999997</v>
      </c>
      <c r="F18" s="17">
        <f>24.2248 * CHOOSE(CONTROL!$C$9, $D$9, 100%, $F$9) + CHOOSE(CONTROL!$C$27, 0.0021, 0)</f>
        <v>24.226899999999997</v>
      </c>
      <c r="G18" s="17">
        <f>24.4962 * CHOOSE(CONTROL!$C$9, $D$9, 100%, $F$9) + CHOOSE(CONTROL!$C$27, 0.0021, 0)</f>
        <v>24.4983</v>
      </c>
      <c r="H18" s="17">
        <f>24.3614 * CHOOSE(CONTROL!$C$9, $D$9, 100%, $F$9) + CHOOSE(CONTROL!$C$27, 0.0021, 0)</f>
        <v>24.363499999999998</v>
      </c>
      <c r="I18" s="17">
        <f>24.3614 * CHOOSE(CONTROL!$C$9, $D$9, 100%, $F$9) + CHOOSE(CONTROL!$C$27, 0.0021, 0)</f>
        <v>24.363499999999998</v>
      </c>
      <c r="J18" s="17">
        <f>24.0012 * CHOOSE(CONTROL!$C$9, $D$9, 100%, $F$9) + CHOOSE(CONTROL!$C$27, 0.0021, 0)</f>
        <v>24.003299999999999</v>
      </c>
      <c r="K18" s="17">
        <f>24.3614 * CHOOSE(CONTROL!$C$9, $D$9, 100%, $F$9) + CHOOSE(CONTROL!$C$27, 0.0021, 0)</f>
        <v>24.363499999999998</v>
      </c>
      <c r="L18" s="17"/>
      <c r="M18" s="34"/>
      <c r="N18" s="34"/>
      <c r="O18" s="34"/>
      <c r="P18" s="34"/>
      <c r="Q18" s="34"/>
    </row>
    <row r="19" spans="1:17" ht="15" x14ac:dyDescent="0.2">
      <c r="A19" s="16">
        <v>41487</v>
      </c>
      <c r="B19" s="17">
        <f>24.7195 * CHOOSE(CONTROL!$C$9, $D$9, 100%, $F$9) + CHOOSE(CONTROL!$C$27, 0.0021, 0)</f>
        <v>24.721599999999999</v>
      </c>
      <c r="C19" s="17">
        <f>24.2872 * CHOOSE(CONTROL!$C$9, $D$9, 100%, $F$9) + CHOOSE(CONTROL!$C$27, 0.0021, 0)</f>
        <v>24.289299999999997</v>
      </c>
      <c r="D19" s="17">
        <f>24.2872 * CHOOSE(CONTROL!$C$9, $D$9, 100%, $F$9) + CHOOSE(CONTROL!$C$27, 0.0021, 0)</f>
        <v>24.289299999999997</v>
      </c>
      <c r="E19" s="17">
        <f>24.1506 * CHOOSE(CONTROL!$C$9, $D$9, 100%, $F$9) + CHOOSE(CONTROL!$C$27, 0.0021, 0)</f>
        <v>24.152699999999999</v>
      </c>
      <c r="F19" s="17">
        <f>24.1506 * CHOOSE(CONTROL!$C$9, $D$9, 100%, $F$9) + CHOOSE(CONTROL!$C$27, 0.0021, 0)</f>
        <v>24.152699999999999</v>
      </c>
      <c r="G19" s="17">
        <f>24.422 * CHOOSE(CONTROL!$C$9, $D$9, 100%, $F$9) + CHOOSE(CONTROL!$C$27, 0.0021, 0)</f>
        <v>24.424099999999999</v>
      </c>
      <c r="H19" s="17">
        <f>24.2872 * CHOOSE(CONTROL!$C$9, $D$9, 100%, $F$9) + CHOOSE(CONTROL!$C$27, 0.0021, 0)</f>
        <v>24.289299999999997</v>
      </c>
      <c r="I19" s="17">
        <f>24.2872 * CHOOSE(CONTROL!$C$9, $D$9, 100%, $F$9) + CHOOSE(CONTROL!$C$27, 0.0021, 0)</f>
        <v>24.289299999999997</v>
      </c>
      <c r="J19" s="17">
        <f>23.927 * CHOOSE(CONTROL!$C$9, $D$9, 100%, $F$9) + CHOOSE(CONTROL!$C$27, 0.0021, 0)</f>
        <v>23.929099999999998</v>
      </c>
      <c r="K19" s="17">
        <f>24.2872 * CHOOSE(CONTROL!$C$9, $D$9, 100%, $F$9) + CHOOSE(CONTROL!$C$27, 0.0021, 0)</f>
        <v>24.289299999999997</v>
      </c>
      <c r="L19" s="17"/>
      <c r="M19" s="34"/>
      <c r="N19" s="34"/>
      <c r="O19" s="34"/>
      <c r="P19" s="34"/>
      <c r="Q19" s="34"/>
    </row>
    <row r="20" spans="1:17" ht="15" x14ac:dyDescent="0.2">
      <c r="A20" s="16">
        <v>41518</v>
      </c>
      <c r="B20" s="17">
        <f>24.6633 * CHOOSE(CONTROL!$C$9, $D$9, 100%, $F$9) + CHOOSE(CONTROL!$C$27, 0.0021, 0)</f>
        <v>24.665399999999998</v>
      </c>
      <c r="C20" s="17">
        <f>24.231 * CHOOSE(CONTROL!$C$9, $D$9, 100%, $F$9) + CHOOSE(CONTROL!$C$27, 0.0021, 0)</f>
        <v>24.2331</v>
      </c>
      <c r="D20" s="17">
        <f>24.231 * CHOOSE(CONTROL!$C$9, $D$9, 100%, $F$9) + CHOOSE(CONTROL!$C$27, 0.0021, 0)</f>
        <v>24.2331</v>
      </c>
      <c r="E20" s="17">
        <f>24.0944 * CHOOSE(CONTROL!$C$9, $D$9, 100%, $F$9) + CHOOSE(CONTROL!$C$27, 0.0021, 0)</f>
        <v>24.096499999999999</v>
      </c>
      <c r="F20" s="17">
        <f>24.0944 * CHOOSE(CONTROL!$C$9, $D$9, 100%, $F$9) + CHOOSE(CONTROL!$C$27, 0.0021, 0)</f>
        <v>24.096499999999999</v>
      </c>
      <c r="G20" s="17">
        <f>24.3658 * CHOOSE(CONTROL!$C$9, $D$9, 100%, $F$9) + CHOOSE(CONTROL!$C$27, 0.0021, 0)</f>
        <v>24.367899999999999</v>
      </c>
      <c r="H20" s="17">
        <f>24.231 * CHOOSE(CONTROL!$C$9, $D$9, 100%, $F$9) + CHOOSE(CONTROL!$C$27, 0.0021, 0)</f>
        <v>24.2331</v>
      </c>
      <c r="I20" s="17">
        <f>24.231 * CHOOSE(CONTROL!$C$9, $D$9, 100%, $F$9) + CHOOSE(CONTROL!$C$27, 0.0021, 0)</f>
        <v>24.2331</v>
      </c>
      <c r="J20" s="17">
        <f>23.8708 * CHOOSE(CONTROL!$C$9, $D$9, 100%, $F$9) + CHOOSE(CONTROL!$C$27, 0.0021, 0)</f>
        <v>23.872899999999998</v>
      </c>
      <c r="K20" s="17">
        <f>24.231 * CHOOSE(CONTROL!$C$9, $D$9, 100%, $F$9) + CHOOSE(CONTROL!$C$27, 0.0021, 0)</f>
        <v>24.2331</v>
      </c>
      <c r="L20" s="17"/>
      <c r="M20" s="34"/>
      <c r="N20" s="34"/>
      <c r="O20" s="34"/>
      <c r="P20" s="34"/>
      <c r="Q20" s="34"/>
    </row>
    <row r="21" spans="1:17" ht="15" x14ac:dyDescent="0.2">
      <c r="A21" s="16">
        <v>41548</v>
      </c>
      <c r="B21" s="17">
        <f>24.6114 * CHOOSE(CONTROL!$C$9, $D$9, 100%, $F$9) + CHOOSE(CONTROL!$C$27, 0.0021, 0)</f>
        <v>24.613499999999998</v>
      </c>
      <c r="C21" s="17">
        <f>24.1792 * CHOOSE(CONTROL!$C$9, $D$9, 100%, $F$9) + CHOOSE(CONTROL!$C$27, 0.0021, 0)</f>
        <v>24.1813</v>
      </c>
      <c r="D21" s="17">
        <f>24.1792 * CHOOSE(CONTROL!$C$9, $D$9, 100%, $F$9) + CHOOSE(CONTROL!$C$27, 0.0021, 0)</f>
        <v>24.1813</v>
      </c>
      <c r="E21" s="17">
        <f>24.0425 * CHOOSE(CONTROL!$C$9, $D$9, 100%, $F$9) + CHOOSE(CONTROL!$C$27, 0.0021, 0)</f>
        <v>24.044599999999999</v>
      </c>
      <c r="F21" s="17">
        <f>24.0425 * CHOOSE(CONTROL!$C$9, $D$9, 100%, $F$9) + CHOOSE(CONTROL!$C$27, 0.0021, 0)</f>
        <v>24.044599999999999</v>
      </c>
      <c r="G21" s="17">
        <f>24.3139 * CHOOSE(CONTROL!$C$9, $D$9, 100%, $F$9) + CHOOSE(CONTROL!$C$27, 0.0021, 0)</f>
        <v>24.315999999999999</v>
      </c>
      <c r="H21" s="17">
        <f>24.1792 * CHOOSE(CONTROL!$C$9, $D$9, 100%, $F$9) + CHOOSE(CONTROL!$C$27, 0.0021, 0)</f>
        <v>24.1813</v>
      </c>
      <c r="I21" s="17">
        <f>24.1792 * CHOOSE(CONTROL!$C$9, $D$9, 100%, $F$9) + CHOOSE(CONTROL!$C$27, 0.0021, 0)</f>
        <v>24.1813</v>
      </c>
      <c r="J21" s="17">
        <f>23.819 * CHOOSE(CONTROL!$C$9, $D$9, 100%, $F$9) + CHOOSE(CONTROL!$C$27, 0.0021, 0)</f>
        <v>23.821099999999998</v>
      </c>
      <c r="K21" s="17">
        <f>24.1792 * CHOOSE(CONTROL!$C$9, $D$9, 100%, $F$9) + CHOOSE(CONTROL!$C$27, 0.0021, 0)</f>
        <v>24.1813</v>
      </c>
      <c r="L21" s="17"/>
      <c r="M21" s="34"/>
      <c r="N21" s="34"/>
      <c r="O21" s="34"/>
      <c r="P21" s="34"/>
      <c r="Q21" s="34"/>
    </row>
    <row r="22" spans="1:17" ht="15" x14ac:dyDescent="0.2">
      <c r="A22" s="16">
        <v>41579</v>
      </c>
      <c r="B22" s="17">
        <f>24.5696 * CHOOSE(CONTROL!$C$9, $D$9, 100%, $F$9) + CHOOSE(CONTROL!$C$27, 0.0021, 0)</f>
        <v>24.5717</v>
      </c>
      <c r="C22" s="17">
        <f>24.1374 * CHOOSE(CONTROL!$C$9, $D$9, 100%, $F$9) + CHOOSE(CONTROL!$C$27, 0.0021, 0)</f>
        <v>24.139499999999998</v>
      </c>
      <c r="D22" s="17">
        <f>24.1374 * CHOOSE(CONTROL!$C$9, $D$9, 100%, $F$9) + CHOOSE(CONTROL!$C$27, 0.0021, 0)</f>
        <v>24.139499999999998</v>
      </c>
      <c r="E22" s="17">
        <f>24.0007 * CHOOSE(CONTROL!$C$9, $D$9, 100%, $F$9) + CHOOSE(CONTROL!$C$27, 0.0021, 0)</f>
        <v>24.002799999999997</v>
      </c>
      <c r="F22" s="17">
        <f>24.0007 * CHOOSE(CONTROL!$C$9, $D$9, 100%, $F$9) + CHOOSE(CONTROL!$C$27, 0.0021, 0)</f>
        <v>24.002799999999997</v>
      </c>
      <c r="G22" s="17">
        <f>24.2721 * CHOOSE(CONTROL!$C$9, $D$9, 100%, $F$9) + CHOOSE(CONTROL!$C$27, 0.0021, 0)</f>
        <v>24.274199999999997</v>
      </c>
      <c r="H22" s="17">
        <f>24.1374 * CHOOSE(CONTROL!$C$9, $D$9, 100%, $F$9) + CHOOSE(CONTROL!$C$27, 0.0021, 0)</f>
        <v>24.139499999999998</v>
      </c>
      <c r="I22" s="17">
        <f>24.1374 * CHOOSE(CONTROL!$C$9, $D$9, 100%, $F$9) + CHOOSE(CONTROL!$C$27, 0.0021, 0)</f>
        <v>24.139499999999998</v>
      </c>
      <c r="J22" s="17">
        <f>23.7772 * CHOOSE(CONTROL!$C$9, $D$9, 100%, $F$9) + CHOOSE(CONTROL!$C$27, 0.0021, 0)</f>
        <v>23.779299999999999</v>
      </c>
      <c r="K22" s="17">
        <f>24.1374 * CHOOSE(CONTROL!$C$9, $D$9, 100%, $F$9) + CHOOSE(CONTROL!$C$27, 0.0021, 0)</f>
        <v>24.139499999999998</v>
      </c>
      <c r="L22" s="17"/>
      <c r="M22" s="34"/>
      <c r="N22" s="34"/>
      <c r="O22" s="34"/>
      <c r="P22" s="34"/>
      <c r="Q22" s="34"/>
    </row>
    <row r="23" spans="1:17" ht="15" x14ac:dyDescent="0.2">
      <c r="A23" s="16">
        <v>41609</v>
      </c>
      <c r="B23" s="17">
        <f>24.5343 * CHOOSE(CONTROL!$C$9, $D$9, 100%, $F$9) + CHOOSE(CONTROL!$C$27, 0.0021, 0)</f>
        <v>24.5364</v>
      </c>
      <c r="C23" s="17">
        <f>24.1021 * CHOOSE(CONTROL!$C$9, $D$9, 100%, $F$9) + CHOOSE(CONTROL!$C$27, 0.0021, 0)</f>
        <v>24.104199999999999</v>
      </c>
      <c r="D23" s="17">
        <f>24.1021 * CHOOSE(CONTROL!$C$9, $D$9, 100%, $F$9) + CHOOSE(CONTROL!$C$27, 0.0021, 0)</f>
        <v>24.104199999999999</v>
      </c>
      <c r="E23" s="17">
        <f>23.9654 * CHOOSE(CONTROL!$C$9, $D$9, 100%, $F$9) + CHOOSE(CONTROL!$C$27, 0.0021, 0)</f>
        <v>23.967499999999998</v>
      </c>
      <c r="F23" s="17">
        <f>23.9654 * CHOOSE(CONTROL!$C$9, $D$9, 100%, $F$9) + CHOOSE(CONTROL!$C$27, 0.0021, 0)</f>
        <v>23.967499999999998</v>
      </c>
      <c r="G23" s="17">
        <f>24.2368 * CHOOSE(CONTROL!$C$9, $D$9, 100%, $F$9) + CHOOSE(CONTROL!$C$27, 0.0021, 0)</f>
        <v>24.238899999999997</v>
      </c>
      <c r="H23" s="17">
        <f>24.1021 * CHOOSE(CONTROL!$C$9, $D$9, 100%, $F$9) + CHOOSE(CONTROL!$C$27, 0.0021, 0)</f>
        <v>24.104199999999999</v>
      </c>
      <c r="I23" s="17">
        <f>24.1021 * CHOOSE(CONTROL!$C$9, $D$9, 100%, $F$9) + CHOOSE(CONTROL!$C$27, 0.0021, 0)</f>
        <v>24.104199999999999</v>
      </c>
      <c r="J23" s="17">
        <f>23.7419 * CHOOSE(CONTROL!$C$9, $D$9, 100%, $F$9) + CHOOSE(CONTROL!$C$27, 0.0021, 0)</f>
        <v>23.744</v>
      </c>
      <c r="K23" s="17">
        <f>24.1021 * CHOOSE(CONTROL!$C$9, $D$9, 100%, $F$9) + CHOOSE(CONTROL!$C$27, 0.0021, 0)</f>
        <v>24.104199999999999</v>
      </c>
      <c r="L23" s="17"/>
      <c r="M23" s="34"/>
      <c r="N23" s="34"/>
      <c r="O23" s="34"/>
      <c r="P23" s="34"/>
      <c r="Q23" s="34"/>
    </row>
    <row r="24" spans="1:17" ht="15" x14ac:dyDescent="0.2">
      <c r="A24" s="16">
        <v>41640</v>
      </c>
      <c r="B24" s="17">
        <f>24.4954 * CHOOSE(CONTROL!$C$9, $D$9, 100%, $F$9) + CHOOSE(CONTROL!$C$27, 0.0021, 0)</f>
        <v>24.497499999999999</v>
      </c>
      <c r="C24" s="17">
        <f>24.0632 * CHOOSE(CONTROL!$C$9, $D$9, 100%, $F$9) + CHOOSE(CONTROL!$C$27, 0.0021, 0)</f>
        <v>24.065299999999997</v>
      </c>
      <c r="D24" s="17">
        <f>24.0632 * CHOOSE(CONTROL!$C$9, $D$9, 100%, $F$9) + CHOOSE(CONTROL!$C$27, 0.0021, 0)</f>
        <v>24.065299999999997</v>
      </c>
      <c r="E24" s="17">
        <f>23.9265 * CHOOSE(CONTROL!$C$9, $D$9, 100%, $F$9) + CHOOSE(CONTROL!$C$27, 0.0021, 0)</f>
        <v>23.928599999999999</v>
      </c>
      <c r="F24" s="17">
        <f>23.9265 * CHOOSE(CONTROL!$C$9, $D$9, 100%, $F$9) + CHOOSE(CONTROL!$C$27, 0.0021, 0)</f>
        <v>23.928599999999999</v>
      </c>
      <c r="G24" s="17">
        <f>24.1979 * CHOOSE(CONTROL!$C$9, $D$9, 100%, $F$9) + CHOOSE(CONTROL!$C$27, 0.0021, 0)</f>
        <v>24.2</v>
      </c>
      <c r="H24" s="17">
        <f>24.0632 * CHOOSE(CONTROL!$C$9, $D$9, 100%, $F$9) + CHOOSE(CONTROL!$C$27, 0.0021, 0)</f>
        <v>24.065299999999997</v>
      </c>
      <c r="I24" s="17">
        <f>24.0632 * CHOOSE(CONTROL!$C$9, $D$9, 100%, $F$9) + CHOOSE(CONTROL!$C$27, 0.0021, 0)</f>
        <v>24.065299999999997</v>
      </c>
      <c r="J24" s="17">
        <f>23.703 * CHOOSE(CONTROL!$C$9, $D$9, 100%, $F$9) + CHOOSE(CONTROL!$C$27, 0.0021, 0)</f>
        <v>23.705099999999998</v>
      </c>
      <c r="K24" s="17">
        <f>24.0632 * CHOOSE(CONTROL!$C$9, $D$9, 100%, $F$9) + CHOOSE(CONTROL!$C$27, 0.0021, 0)</f>
        <v>24.065299999999997</v>
      </c>
      <c r="L24" s="17"/>
      <c r="M24" s="34"/>
      <c r="N24" s="34"/>
      <c r="O24" s="34"/>
      <c r="P24" s="34"/>
      <c r="Q24" s="34"/>
    </row>
    <row r="25" spans="1:17" ht="15" x14ac:dyDescent="0.2">
      <c r="A25" s="16">
        <v>41671</v>
      </c>
      <c r="B25" s="17">
        <f>24.4292 * CHOOSE(CONTROL!$C$9, $D$9, 100%, $F$9) + CHOOSE(CONTROL!$C$27, 0.0021, 0)</f>
        <v>24.4313</v>
      </c>
      <c r="C25" s="17">
        <f>23.9969 * CHOOSE(CONTROL!$C$9, $D$9, 100%, $F$9) + CHOOSE(CONTROL!$C$27, 0.0021, 0)</f>
        <v>23.998999999999999</v>
      </c>
      <c r="D25" s="17">
        <f>23.9969 * CHOOSE(CONTROL!$C$9, $D$9, 100%, $F$9) + CHOOSE(CONTROL!$C$27, 0.0021, 0)</f>
        <v>23.998999999999999</v>
      </c>
      <c r="E25" s="17">
        <f>23.8603 * CHOOSE(CONTROL!$C$9, $D$9, 100%, $F$9) + CHOOSE(CONTROL!$C$27, 0.0021, 0)</f>
        <v>23.862399999999997</v>
      </c>
      <c r="F25" s="17">
        <f>23.8603 * CHOOSE(CONTROL!$C$9, $D$9, 100%, $F$9) + CHOOSE(CONTROL!$C$27, 0.0021, 0)</f>
        <v>23.862399999999997</v>
      </c>
      <c r="G25" s="17">
        <f>24.1316 * CHOOSE(CONTROL!$C$9, $D$9, 100%, $F$9) + CHOOSE(CONTROL!$C$27, 0.0021, 0)</f>
        <v>24.133699999999997</v>
      </c>
      <c r="H25" s="17">
        <f>23.9969 * CHOOSE(CONTROL!$C$9, $D$9, 100%, $F$9) + CHOOSE(CONTROL!$C$27, 0.0021, 0)</f>
        <v>23.998999999999999</v>
      </c>
      <c r="I25" s="17">
        <f>23.9969 * CHOOSE(CONTROL!$C$9, $D$9, 100%, $F$9) + CHOOSE(CONTROL!$C$27, 0.0021, 0)</f>
        <v>23.998999999999999</v>
      </c>
      <c r="J25" s="17">
        <f>23.6367 * CHOOSE(CONTROL!$C$9, $D$9, 100%, $F$9) + CHOOSE(CONTROL!$C$27, 0.0021, 0)</f>
        <v>23.6388</v>
      </c>
      <c r="K25" s="17">
        <f>23.9969 * CHOOSE(CONTROL!$C$9, $D$9, 100%, $F$9) + CHOOSE(CONTROL!$C$27, 0.0021, 0)</f>
        <v>23.998999999999999</v>
      </c>
      <c r="L25" s="17"/>
      <c r="M25" s="34"/>
      <c r="N25" s="34"/>
      <c r="O25" s="34"/>
      <c r="P25" s="34"/>
      <c r="Q25" s="34"/>
    </row>
    <row r="26" spans="1:17" ht="15" x14ac:dyDescent="0.2">
      <c r="A26" s="16">
        <v>41699</v>
      </c>
      <c r="B26" s="17">
        <f>24.3319 * CHOOSE(CONTROL!$C$9, $D$9, 100%, $F$9) + CHOOSE(CONTROL!$C$27, 0.0021, 0)</f>
        <v>24.334</v>
      </c>
      <c r="C26" s="17">
        <f>23.8997 * CHOOSE(CONTROL!$C$9, $D$9, 100%, $F$9) + CHOOSE(CONTROL!$C$27, 0.0021, 0)</f>
        <v>23.901799999999998</v>
      </c>
      <c r="D26" s="17">
        <f>23.8997 * CHOOSE(CONTROL!$C$9, $D$9, 100%, $F$9) + CHOOSE(CONTROL!$C$27, 0.0021, 0)</f>
        <v>23.901799999999998</v>
      </c>
      <c r="E26" s="17">
        <f>23.763 * CHOOSE(CONTROL!$C$9, $D$9, 100%, $F$9) + CHOOSE(CONTROL!$C$27, 0.0021, 0)</f>
        <v>23.7651</v>
      </c>
      <c r="F26" s="17">
        <f>23.763 * CHOOSE(CONTROL!$C$9, $D$9, 100%, $F$9) + CHOOSE(CONTROL!$C$27, 0.0021, 0)</f>
        <v>23.7651</v>
      </c>
      <c r="G26" s="17">
        <f>24.0344 * CHOOSE(CONTROL!$C$9, $D$9, 100%, $F$9) + CHOOSE(CONTROL!$C$27, 0.0021, 0)</f>
        <v>24.0365</v>
      </c>
      <c r="H26" s="17">
        <f>23.8997 * CHOOSE(CONTROL!$C$9, $D$9, 100%, $F$9) + CHOOSE(CONTROL!$C$27, 0.0021, 0)</f>
        <v>23.901799999999998</v>
      </c>
      <c r="I26" s="17">
        <f>23.8997 * CHOOSE(CONTROL!$C$9, $D$9, 100%, $F$9) + CHOOSE(CONTROL!$C$27, 0.0021, 0)</f>
        <v>23.901799999999998</v>
      </c>
      <c r="J26" s="17">
        <f>23.5395 * CHOOSE(CONTROL!$C$9, $D$9, 100%, $F$9) + CHOOSE(CONTROL!$C$27, 0.0021, 0)</f>
        <v>23.541599999999999</v>
      </c>
      <c r="K26" s="17">
        <f>23.8997 * CHOOSE(CONTROL!$C$9, $D$9, 100%, $F$9) + CHOOSE(CONTROL!$C$27, 0.0021, 0)</f>
        <v>23.901799999999998</v>
      </c>
      <c r="L26" s="17"/>
      <c r="M26" s="34"/>
      <c r="N26" s="34"/>
      <c r="O26" s="34"/>
      <c r="P26" s="34"/>
      <c r="Q26" s="34"/>
    </row>
    <row r="27" spans="1:17" ht="15" x14ac:dyDescent="0.2">
      <c r="A27" s="16">
        <v>41730</v>
      </c>
      <c r="B27" s="17">
        <f>24.1626 * CHOOSE(CONTROL!$C$9, $D$9, 100%, $F$9) + CHOOSE(CONTROL!$C$27, 0.0021, 0)</f>
        <v>24.1647</v>
      </c>
      <c r="C27" s="17">
        <f>23.7304 * CHOOSE(CONTROL!$C$9, $D$9, 100%, $F$9) + CHOOSE(CONTROL!$C$27, 0.0021, 0)</f>
        <v>23.732499999999998</v>
      </c>
      <c r="D27" s="17">
        <f>23.7304 * CHOOSE(CONTROL!$C$9, $D$9, 100%, $F$9) + CHOOSE(CONTROL!$C$27, 0.0021, 0)</f>
        <v>23.732499999999998</v>
      </c>
      <c r="E27" s="17">
        <f>23.5937 * CHOOSE(CONTROL!$C$9, $D$9, 100%, $F$9) + CHOOSE(CONTROL!$C$27, 0.0021, 0)</f>
        <v>23.595799999999997</v>
      </c>
      <c r="F27" s="17">
        <f>23.5937 * CHOOSE(CONTROL!$C$9, $D$9, 100%, $F$9) + CHOOSE(CONTROL!$C$27, 0.0021, 0)</f>
        <v>23.595799999999997</v>
      </c>
      <c r="G27" s="17">
        <f>23.8651 * CHOOSE(CONTROL!$C$9, $D$9, 100%, $F$9) + CHOOSE(CONTROL!$C$27, 0.0021, 0)</f>
        <v>23.8672</v>
      </c>
      <c r="H27" s="17">
        <f>23.7304 * CHOOSE(CONTROL!$C$9, $D$9, 100%, $F$9) + CHOOSE(CONTROL!$C$27, 0.0021, 0)</f>
        <v>23.732499999999998</v>
      </c>
      <c r="I27" s="17">
        <f>23.7304 * CHOOSE(CONTROL!$C$9, $D$9, 100%, $F$9) + CHOOSE(CONTROL!$C$27, 0.0021, 0)</f>
        <v>23.732499999999998</v>
      </c>
      <c r="J27" s="17">
        <f>23.3702 * CHOOSE(CONTROL!$C$9, $D$9, 100%, $F$9) + CHOOSE(CONTROL!$C$27, 0.0021, 0)</f>
        <v>23.372299999999999</v>
      </c>
      <c r="K27" s="17">
        <f>23.7304 * CHOOSE(CONTROL!$C$9, $D$9, 100%, $F$9) + CHOOSE(CONTROL!$C$27, 0.0021, 0)</f>
        <v>23.732499999999998</v>
      </c>
      <c r="L27" s="17"/>
      <c r="M27" s="34"/>
      <c r="N27" s="34"/>
      <c r="O27" s="34"/>
      <c r="P27" s="34"/>
      <c r="Q27" s="34"/>
    </row>
    <row r="28" spans="1:17" ht="15" x14ac:dyDescent="0.2">
      <c r="A28" s="16">
        <v>41760</v>
      </c>
      <c r="B28" s="17">
        <f>23.9933 * CHOOSE(CONTROL!$C$9, $D$9, 100%, $F$9) + CHOOSE(CONTROL!$C$27, 0.0021, 0)</f>
        <v>23.9954</v>
      </c>
      <c r="C28" s="17">
        <f>23.5611 * CHOOSE(CONTROL!$C$9, $D$9, 100%, $F$9) + CHOOSE(CONTROL!$C$27, 0.0021, 0)</f>
        <v>23.563199999999998</v>
      </c>
      <c r="D28" s="17">
        <f>23.5611 * CHOOSE(CONTROL!$C$9, $D$9, 100%, $F$9) + CHOOSE(CONTROL!$C$27, 0.0021, 0)</f>
        <v>23.563199999999998</v>
      </c>
      <c r="E28" s="17">
        <f>23.4244 * CHOOSE(CONTROL!$C$9, $D$9, 100%, $F$9) + CHOOSE(CONTROL!$C$27, 0.0021, 0)</f>
        <v>23.426499999999997</v>
      </c>
      <c r="F28" s="17">
        <f>23.4244 * CHOOSE(CONTROL!$C$9, $D$9, 100%, $F$9) + CHOOSE(CONTROL!$C$27, 0.0021, 0)</f>
        <v>23.426499999999997</v>
      </c>
      <c r="G28" s="17">
        <f>23.6958 * CHOOSE(CONTROL!$C$9, $D$9, 100%, $F$9) + CHOOSE(CONTROL!$C$27, 0.0021, 0)</f>
        <v>23.697899999999997</v>
      </c>
      <c r="H28" s="17">
        <f>23.5611 * CHOOSE(CONTROL!$C$9, $D$9, 100%, $F$9) + CHOOSE(CONTROL!$C$27, 0.0021, 0)</f>
        <v>23.563199999999998</v>
      </c>
      <c r="I28" s="17">
        <f>23.5611 * CHOOSE(CONTROL!$C$9, $D$9, 100%, $F$9) + CHOOSE(CONTROL!$C$27, 0.0021, 0)</f>
        <v>23.563199999999998</v>
      </c>
      <c r="J28" s="17">
        <f>23.2009 * CHOOSE(CONTROL!$C$9, $D$9, 100%, $F$9) + CHOOSE(CONTROL!$C$27, 0.0021, 0)</f>
        <v>23.202999999999999</v>
      </c>
      <c r="K28" s="17">
        <f>23.5611 * CHOOSE(CONTROL!$C$9, $D$9, 100%, $F$9) + CHOOSE(CONTROL!$C$27, 0.0021, 0)</f>
        <v>23.563199999999998</v>
      </c>
      <c r="L28" s="17"/>
      <c r="M28" s="34"/>
      <c r="N28" s="34"/>
      <c r="O28" s="34"/>
      <c r="P28" s="34"/>
      <c r="Q28" s="34"/>
    </row>
    <row r="29" spans="1:17" ht="15" x14ac:dyDescent="0.2">
      <c r="A29" s="16">
        <v>41791</v>
      </c>
      <c r="B29" s="17">
        <f>23.8348 * CHOOSE(CONTROL!$C$9, $D$9, 100%, $F$9) + CHOOSE(CONTROL!$C$27, 0.0021, 0)</f>
        <v>23.8369</v>
      </c>
      <c r="C29" s="17">
        <f>23.4026 * CHOOSE(CONTROL!$C$9, $D$9, 100%, $F$9) + CHOOSE(CONTROL!$C$27, 0.0021, 0)</f>
        <v>23.404699999999998</v>
      </c>
      <c r="D29" s="17">
        <f>23.4026 * CHOOSE(CONTROL!$C$9, $D$9, 100%, $F$9) + CHOOSE(CONTROL!$C$27, 0.0021, 0)</f>
        <v>23.404699999999998</v>
      </c>
      <c r="E29" s="17">
        <f>23.2659 * CHOOSE(CONTROL!$C$9, $D$9, 100%, $F$9) + CHOOSE(CONTROL!$C$27, 0.0021, 0)</f>
        <v>23.267999999999997</v>
      </c>
      <c r="F29" s="17">
        <f>23.2659 * CHOOSE(CONTROL!$C$9, $D$9, 100%, $F$9) + CHOOSE(CONTROL!$C$27, 0.0021, 0)</f>
        <v>23.267999999999997</v>
      </c>
      <c r="G29" s="17">
        <f>23.5373 * CHOOSE(CONTROL!$C$9, $D$9, 100%, $F$9) + CHOOSE(CONTROL!$C$27, 0.0021, 0)</f>
        <v>23.539399999999997</v>
      </c>
      <c r="H29" s="17">
        <f>23.4026 * CHOOSE(CONTROL!$C$9, $D$9, 100%, $F$9) + CHOOSE(CONTROL!$C$27, 0.0021, 0)</f>
        <v>23.404699999999998</v>
      </c>
      <c r="I29" s="17">
        <f>23.4026 * CHOOSE(CONTROL!$C$9, $D$9, 100%, $F$9) + CHOOSE(CONTROL!$C$27, 0.0021, 0)</f>
        <v>23.404699999999998</v>
      </c>
      <c r="J29" s="17">
        <f>23.0424 * CHOOSE(CONTROL!$C$9, $D$9, 100%, $F$9) + CHOOSE(CONTROL!$C$27, 0.0021, 0)</f>
        <v>23.044499999999999</v>
      </c>
      <c r="K29" s="17">
        <f>23.4026 * CHOOSE(CONTROL!$C$9, $D$9, 100%, $F$9) + CHOOSE(CONTROL!$C$27, 0.0021, 0)</f>
        <v>23.404699999999998</v>
      </c>
      <c r="L29" s="17"/>
      <c r="M29" s="34"/>
      <c r="N29" s="34"/>
      <c r="O29" s="34"/>
      <c r="P29" s="34"/>
      <c r="Q29" s="34"/>
    </row>
    <row r="30" spans="1:17" ht="15" x14ac:dyDescent="0.2">
      <c r="A30" s="16">
        <v>41821</v>
      </c>
      <c r="B30" s="17">
        <f>23.7484 * CHOOSE(CONTROL!$C$9, $D$9, 100%, $F$9) + CHOOSE(CONTROL!$C$27, 0.0021, 0)</f>
        <v>23.750499999999999</v>
      </c>
      <c r="C30" s="17">
        <f>23.3161 * CHOOSE(CONTROL!$C$9, $D$9, 100%, $F$9) + CHOOSE(CONTROL!$C$27, 0.0021, 0)</f>
        <v>23.318199999999997</v>
      </c>
      <c r="D30" s="17">
        <f>23.3161 * CHOOSE(CONTROL!$C$9, $D$9, 100%, $F$9) + CHOOSE(CONTROL!$C$27, 0.0021, 0)</f>
        <v>23.318199999999997</v>
      </c>
      <c r="E30" s="17">
        <f>23.1795 * CHOOSE(CONTROL!$C$9, $D$9, 100%, $F$9) + CHOOSE(CONTROL!$C$27, 0.0021, 0)</f>
        <v>23.1816</v>
      </c>
      <c r="F30" s="17">
        <f>23.1795 * CHOOSE(CONTROL!$C$9, $D$9, 100%, $F$9) + CHOOSE(CONTROL!$C$27, 0.0021, 0)</f>
        <v>23.1816</v>
      </c>
      <c r="G30" s="17">
        <f>23.4508 * CHOOSE(CONTROL!$C$9, $D$9, 100%, $F$9) + CHOOSE(CONTROL!$C$27, 0.0021, 0)</f>
        <v>23.4529</v>
      </c>
      <c r="H30" s="17">
        <f>23.3161 * CHOOSE(CONTROL!$C$9, $D$9, 100%, $F$9) + CHOOSE(CONTROL!$C$27, 0.0021, 0)</f>
        <v>23.318199999999997</v>
      </c>
      <c r="I30" s="17">
        <f>23.3161 * CHOOSE(CONTROL!$C$9, $D$9, 100%, $F$9) + CHOOSE(CONTROL!$C$27, 0.0021, 0)</f>
        <v>23.318199999999997</v>
      </c>
      <c r="J30" s="17">
        <f>22.9559 * CHOOSE(CONTROL!$C$9, $D$9, 100%, $F$9) + CHOOSE(CONTROL!$C$27, 0.0021, 0)</f>
        <v>22.957999999999998</v>
      </c>
      <c r="K30" s="17">
        <f>23.3161 * CHOOSE(CONTROL!$C$9, $D$9, 100%, $F$9) + CHOOSE(CONTROL!$C$27, 0.0021, 0)</f>
        <v>23.318199999999997</v>
      </c>
      <c r="L30" s="17"/>
      <c r="M30" s="34"/>
      <c r="N30" s="34"/>
      <c r="O30" s="34"/>
      <c r="P30" s="34"/>
      <c r="Q30" s="34"/>
    </row>
    <row r="31" spans="1:17" ht="15" x14ac:dyDescent="0.2">
      <c r="A31" s="16">
        <v>41852</v>
      </c>
      <c r="B31" s="17">
        <f>23.6691 * CHOOSE(CONTROL!$C$9, $D$9, 100%, $F$9) + CHOOSE(CONTROL!$C$27, 0.0021, 0)</f>
        <v>23.671199999999999</v>
      </c>
      <c r="C31" s="17">
        <f>23.2369 * CHOOSE(CONTROL!$C$9, $D$9, 100%, $F$9) + CHOOSE(CONTROL!$C$27, 0.0021, 0)</f>
        <v>23.238999999999997</v>
      </c>
      <c r="D31" s="17">
        <f>23.2369 * CHOOSE(CONTROL!$C$9, $D$9, 100%, $F$9) + CHOOSE(CONTROL!$C$27, 0.0021, 0)</f>
        <v>23.238999999999997</v>
      </c>
      <c r="E31" s="17">
        <f>23.1002 * CHOOSE(CONTROL!$C$9, $D$9, 100%, $F$9) + CHOOSE(CONTROL!$C$27, 0.0021, 0)</f>
        <v>23.1023</v>
      </c>
      <c r="F31" s="17">
        <f>23.1002 * CHOOSE(CONTROL!$C$9, $D$9, 100%, $F$9) + CHOOSE(CONTROL!$C$27, 0.0021, 0)</f>
        <v>23.1023</v>
      </c>
      <c r="G31" s="17">
        <f>23.3716 * CHOOSE(CONTROL!$C$9, $D$9, 100%, $F$9) + CHOOSE(CONTROL!$C$27, 0.0021, 0)</f>
        <v>23.373699999999999</v>
      </c>
      <c r="H31" s="17">
        <f>23.2369 * CHOOSE(CONTROL!$C$9, $D$9, 100%, $F$9) + CHOOSE(CONTROL!$C$27, 0.0021, 0)</f>
        <v>23.238999999999997</v>
      </c>
      <c r="I31" s="17">
        <f>23.2369 * CHOOSE(CONTROL!$C$9, $D$9, 100%, $F$9) + CHOOSE(CONTROL!$C$27, 0.0021, 0)</f>
        <v>23.238999999999997</v>
      </c>
      <c r="J31" s="17">
        <f>22.8767 * CHOOSE(CONTROL!$C$9, $D$9, 100%, $F$9) + CHOOSE(CONTROL!$C$27, 0.0021, 0)</f>
        <v>22.878799999999998</v>
      </c>
      <c r="K31" s="17">
        <f>23.2369 * CHOOSE(CONTROL!$C$9, $D$9, 100%, $F$9) + CHOOSE(CONTROL!$C$27, 0.0021, 0)</f>
        <v>23.238999999999997</v>
      </c>
      <c r="L31" s="17"/>
      <c r="M31" s="34"/>
      <c r="N31" s="34"/>
      <c r="O31" s="34"/>
      <c r="P31" s="34"/>
      <c r="Q31" s="34"/>
    </row>
    <row r="32" spans="1:17" ht="15" x14ac:dyDescent="0.2">
      <c r="A32" s="16">
        <v>41883</v>
      </c>
      <c r="B32" s="17">
        <f>23.5935 * CHOOSE(CONTROL!$C$9, $D$9, 100%, $F$9) + CHOOSE(CONTROL!$C$27, 0.0021, 0)</f>
        <v>23.595599999999997</v>
      </c>
      <c r="C32" s="17">
        <f>23.1612 * CHOOSE(CONTROL!$C$9, $D$9, 100%, $F$9) + CHOOSE(CONTROL!$C$27, 0.0021, 0)</f>
        <v>23.1633</v>
      </c>
      <c r="D32" s="17">
        <f>23.1612 * CHOOSE(CONTROL!$C$9, $D$9, 100%, $F$9) + CHOOSE(CONTROL!$C$27, 0.0021, 0)</f>
        <v>23.1633</v>
      </c>
      <c r="E32" s="17">
        <f>23.0246 * CHOOSE(CONTROL!$C$9, $D$9, 100%, $F$9) + CHOOSE(CONTROL!$C$27, 0.0021, 0)</f>
        <v>23.026699999999998</v>
      </c>
      <c r="F32" s="17">
        <f>23.0246 * CHOOSE(CONTROL!$C$9, $D$9, 100%, $F$9) + CHOOSE(CONTROL!$C$27, 0.0021, 0)</f>
        <v>23.026699999999998</v>
      </c>
      <c r="G32" s="17">
        <f>23.296 * CHOOSE(CONTROL!$C$9, $D$9, 100%, $F$9) + CHOOSE(CONTROL!$C$27, 0.0021, 0)</f>
        <v>23.298099999999998</v>
      </c>
      <c r="H32" s="17">
        <f>23.1612 * CHOOSE(CONTROL!$C$9, $D$9, 100%, $F$9) + CHOOSE(CONTROL!$C$27, 0.0021, 0)</f>
        <v>23.1633</v>
      </c>
      <c r="I32" s="17">
        <f>23.1612 * CHOOSE(CONTROL!$C$9, $D$9, 100%, $F$9) + CHOOSE(CONTROL!$C$27, 0.0021, 0)</f>
        <v>23.1633</v>
      </c>
      <c r="J32" s="17">
        <f>22.801 * CHOOSE(CONTROL!$C$9, $D$9, 100%, $F$9) + CHOOSE(CONTROL!$C$27, 0.0021, 0)</f>
        <v>22.803099999999997</v>
      </c>
      <c r="K32" s="17">
        <f>23.1612 * CHOOSE(CONTROL!$C$9, $D$9, 100%, $F$9) + CHOOSE(CONTROL!$C$27, 0.0021, 0)</f>
        <v>23.1633</v>
      </c>
      <c r="L32" s="17"/>
      <c r="M32" s="34"/>
      <c r="N32" s="34"/>
      <c r="O32" s="34"/>
      <c r="P32" s="34"/>
      <c r="Q32" s="34"/>
    </row>
    <row r="33" spans="1:17" ht="15" x14ac:dyDescent="0.2">
      <c r="A33" s="16">
        <v>41913</v>
      </c>
      <c r="B33" s="17">
        <f>23.5214 * CHOOSE(CONTROL!$C$9, $D$9, 100%, $F$9) + CHOOSE(CONTROL!$C$27, 0.0021, 0)</f>
        <v>23.523499999999999</v>
      </c>
      <c r="C33" s="17">
        <f>23.0892 * CHOOSE(CONTROL!$C$9, $D$9, 100%, $F$9) + CHOOSE(CONTROL!$C$27, 0.0021, 0)</f>
        <v>23.0913</v>
      </c>
      <c r="D33" s="17">
        <f>23.0892 * CHOOSE(CONTROL!$C$9, $D$9, 100%, $F$9) + CHOOSE(CONTROL!$C$27, 0.0021, 0)</f>
        <v>23.0913</v>
      </c>
      <c r="E33" s="17">
        <f>22.9525 * CHOOSE(CONTROL!$C$9, $D$9, 100%, $F$9) + CHOOSE(CONTROL!$C$27, 0.0021, 0)</f>
        <v>22.954599999999999</v>
      </c>
      <c r="F33" s="17">
        <f>22.9525 * CHOOSE(CONTROL!$C$9, $D$9, 100%, $F$9) + CHOOSE(CONTROL!$C$27, 0.0021, 0)</f>
        <v>22.954599999999999</v>
      </c>
      <c r="G33" s="17">
        <f>23.2239 * CHOOSE(CONTROL!$C$9, $D$9, 100%, $F$9) + CHOOSE(CONTROL!$C$27, 0.0021, 0)</f>
        <v>23.225999999999999</v>
      </c>
      <c r="H33" s="17">
        <f>23.0892 * CHOOSE(CONTROL!$C$9, $D$9, 100%, $F$9) + CHOOSE(CONTROL!$C$27, 0.0021, 0)</f>
        <v>23.0913</v>
      </c>
      <c r="I33" s="17">
        <f>23.0892 * CHOOSE(CONTROL!$C$9, $D$9, 100%, $F$9) + CHOOSE(CONTROL!$C$27, 0.0021, 0)</f>
        <v>23.0913</v>
      </c>
      <c r="J33" s="17">
        <f>22.729 * CHOOSE(CONTROL!$C$9, $D$9, 100%, $F$9) + CHOOSE(CONTROL!$C$27, 0.0021, 0)</f>
        <v>22.731099999999998</v>
      </c>
      <c r="K33" s="17">
        <f>23.0892 * CHOOSE(CONTROL!$C$9, $D$9, 100%, $F$9) + CHOOSE(CONTROL!$C$27, 0.0021, 0)</f>
        <v>23.0913</v>
      </c>
      <c r="L33" s="17"/>
      <c r="M33" s="34"/>
      <c r="N33" s="34"/>
      <c r="O33" s="34"/>
      <c r="P33" s="34"/>
      <c r="Q33" s="34"/>
    </row>
    <row r="34" spans="1:17" ht="15" x14ac:dyDescent="0.2">
      <c r="A34" s="16">
        <v>41944</v>
      </c>
      <c r="B34" s="17">
        <f>23.453 * CHOOSE(CONTROL!$C$9, $D$9, 100%, $F$9) + CHOOSE(CONTROL!$C$27, 0.0021, 0)</f>
        <v>23.455099999999998</v>
      </c>
      <c r="C34" s="17">
        <f>23.0208 * CHOOSE(CONTROL!$C$9, $D$9, 100%, $F$9) + CHOOSE(CONTROL!$C$27, 0.0021, 0)</f>
        <v>23.0229</v>
      </c>
      <c r="D34" s="17">
        <f>23.0208 * CHOOSE(CONTROL!$C$9, $D$9, 100%, $F$9) + CHOOSE(CONTROL!$C$27, 0.0021, 0)</f>
        <v>23.0229</v>
      </c>
      <c r="E34" s="17">
        <f>22.8841 * CHOOSE(CONTROL!$C$9, $D$9, 100%, $F$9) + CHOOSE(CONTROL!$C$27, 0.0021, 0)</f>
        <v>22.886199999999999</v>
      </c>
      <c r="F34" s="17">
        <f>22.8841 * CHOOSE(CONTROL!$C$9, $D$9, 100%, $F$9) + CHOOSE(CONTROL!$C$27, 0.0021, 0)</f>
        <v>22.886199999999999</v>
      </c>
      <c r="G34" s="17">
        <f>23.1555 * CHOOSE(CONTROL!$C$9, $D$9, 100%, $F$9) + CHOOSE(CONTROL!$C$27, 0.0021, 0)</f>
        <v>23.157599999999999</v>
      </c>
      <c r="H34" s="17">
        <f>23.0208 * CHOOSE(CONTROL!$C$9, $D$9, 100%, $F$9) + CHOOSE(CONTROL!$C$27, 0.0021, 0)</f>
        <v>23.0229</v>
      </c>
      <c r="I34" s="17">
        <f>23.0208 * CHOOSE(CONTROL!$C$9, $D$9, 100%, $F$9) + CHOOSE(CONTROL!$C$27, 0.0021, 0)</f>
        <v>23.0229</v>
      </c>
      <c r="J34" s="17">
        <f>22.6605 * CHOOSE(CONTROL!$C$9, $D$9, 100%, $F$9) + CHOOSE(CONTROL!$C$27, 0.0021, 0)</f>
        <v>22.662599999999998</v>
      </c>
      <c r="K34" s="17">
        <f>23.0208 * CHOOSE(CONTROL!$C$9, $D$9, 100%, $F$9) + CHOOSE(CONTROL!$C$27, 0.0021, 0)</f>
        <v>23.0229</v>
      </c>
      <c r="L34" s="17"/>
      <c r="M34" s="34"/>
      <c r="N34" s="34"/>
      <c r="O34" s="34"/>
      <c r="P34" s="34"/>
      <c r="Q34" s="34"/>
    </row>
    <row r="35" spans="1:17" ht="15" x14ac:dyDescent="0.2">
      <c r="A35" s="16">
        <v>41974</v>
      </c>
      <c r="B35" s="17">
        <f>23.3918 * CHOOSE(CONTROL!$C$9, $D$9, 100%, $F$9) + CHOOSE(CONTROL!$C$27, 0.0021, 0)</f>
        <v>23.393899999999999</v>
      </c>
      <c r="C35" s="17">
        <f>22.9595 * CHOOSE(CONTROL!$C$9, $D$9, 100%, $F$9) + CHOOSE(CONTROL!$C$27, 0.0021, 0)</f>
        <v>22.961599999999997</v>
      </c>
      <c r="D35" s="17">
        <f>22.9595 * CHOOSE(CONTROL!$C$9, $D$9, 100%, $F$9) + CHOOSE(CONTROL!$C$27, 0.0021, 0)</f>
        <v>22.961599999999997</v>
      </c>
      <c r="E35" s="17">
        <f>22.8229 * CHOOSE(CONTROL!$C$9, $D$9, 100%, $F$9) + CHOOSE(CONTROL!$C$27, 0.0021, 0)</f>
        <v>22.824999999999999</v>
      </c>
      <c r="F35" s="17">
        <f>22.8229 * CHOOSE(CONTROL!$C$9, $D$9, 100%, $F$9) + CHOOSE(CONTROL!$C$27, 0.0021, 0)</f>
        <v>22.824999999999999</v>
      </c>
      <c r="G35" s="17">
        <f>23.0942 * CHOOSE(CONTROL!$C$9, $D$9, 100%, $F$9) + CHOOSE(CONTROL!$C$27, 0.0021, 0)</f>
        <v>23.096299999999999</v>
      </c>
      <c r="H35" s="17">
        <f>22.9595 * CHOOSE(CONTROL!$C$9, $D$9, 100%, $F$9) + CHOOSE(CONTROL!$C$27, 0.0021, 0)</f>
        <v>22.961599999999997</v>
      </c>
      <c r="I35" s="17">
        <f>22.9595 * CHOOSE(CONTROL!$C$9, $D$9, 100%, $F$9) + CHOOSE(CONTROL!$C$27, 0.0021, 0)</f>
        <v>22.961599999999997</v>
      </c>
      <c r="J35" s="17">
        <f>22.5993 * CHOOSE(CONTROL!$C$9, $D$9, 100%, $F$9) + CHOOSE(CONTROL!$C$27, 0.0021, 0)</f>
        <v>22.601399999999998</v>
      </c>
      <c r="K35" s="17">
        <f>22.9595 * CHOOSE(CONTROL!$C$9, $D$9, 100%, $F$9) + CHOOSE(CONTROL!$C$27, 0.0021, 0)</f>
        <v>22.961599999999997</v>
      </c>
      <c r="L35" s="17"/>
      <c r="M35" s="34"/>
      <c r="N35" s="34"/>
      <c r="O35" s="34"/>
      <c r="P35" s="34"/>
      <c r="Q35" s="34"/>
    </row>
    <row r="36" spans="1:17" ht="15" x14ac:dyDescent="0.2">
      <c r="A36" s="16">
        <v>42005</v>
      </c>
      <c r="B36" s="17">
        <f>23.381 * CHOOSE(CONTROL!$C$9, $D$9, 100%, $F$9) + CHOOSE(CONTROL!$C$27, 0.0021, 0)</f>
        <v>23.383099999999999</v>
      </c>
      <c r="C36" s="17">
        <f>22.9487 * CHOOSE(CONTROL!$C$9, $D$9, 100%, $F$9) + CHOOSE(CONTROL!$C$27, 0.0021, 0)</f>
        <v>22.950799999999997</v>
      </c>
      <c r="D36" s="17">
        <f>22.9487 * CHOOSE(CONTROL!$C$9, $D$9, 100%, $F$9) + CHOOSE(CONTROL!$C$27, 0.0021, 0)</f>
        <v>22.950799999999997</v>
      </c>
      <c r="E36" s="17">
        <f>22.8121 * CHOOSE(CONTROL!$C$9, $D$9, 100%, $F$9) + CHOOSE(CONTROL!$C$27, 0.0021, 0)</f>
        <v>22.8142</v>
      </c>
      <c r="F36" s="17">
        <f>22.8121 * CHOOSE(CONTROL!$C$9, $D$9, 100%, $F$9) + CHOOSE(CONTROL!$C$27, 0.0021, 0)</f>
        <v>22.8142</v>
      </c>
      <c r="G36" s="17">
        <f>23.0834 * CHOOSE(CONTROL!$C$9, $D$9, 100%, $F$9) + CHOOSE(CONTROL!$C$27, 0.0021, 0)</f>
        <v>23.0855</v>
      </c>
      <c r="H36" s="17">
        <f>22.9487 * CHOOSE(CONTROL!$C$9, $D$9, 100%, $F$9) + CHOOSE(CONTROL!$C$27, 0.0021, 0)</f>
        <v>22.950799999999997</v>
      </c>
      <c r="I36" s="17">
        <f>22.9487 * CHOOSE(CONTROL!$C$9, $D$9, 100%, $F$9) + CHOOSE(CONTROL!$C$27, 0.0021, 0)</f>
        <v>22.950799999999997</v>
      </c>
      <c r="J36" s="17">
        <f>22.9487 * CHOOSE(CONTROL!$C$9, $D$9, 100%, $F$9) + CHOOSE(CONTROL!$C$27, 0.0021, 0)</f>
        <v>22.950799999999997</v>
      </c>
      <c r="K36" s="17">
        <f>22.9487 * CHOOSE(CONTROL!$C$9, $D$9, 100%, $F$9) + CHOOSE(CONTROL!$C$27, 0.0021, 0)</f>
        <v>22.950799999999997</v>
      </c>
      <c r="L36" s="17"/>
      <c r="M36" s="34"/>
      <c r="N36" s="34"/>
      <c r="O36" s="34"/>
      <c r="P36" s="34"/>
      <c r="Q36" s="34"/>
    </row>
    <row r="37" spans="1:17" ht="15" x14ac:dyDescent="0.2">
      <c r="A37" s="16">
        <v>42036</v>
      </c>
      <c r="B37" s="17">
        <f>23.3197 * CHOOSE(CONTROL!$C$9, $D$9, 100%, $F$9) + CHOOSE(CONTROL!$C$27, 0.0021, 0)</f>
        <v>23.3218</v>
      </c>
      <c r="C37" s="17">
        <f>22.8875 * CHOOSE(CONTROL!$C$9, $D$9, 100%, $F$9) + CHOOSE(CONTROL!$C$27, 0.0021, 0)</f>
        <v>22.889599999999998</v>
      </c>
      <c r="D37" s="17">
        <f>22.8875 * CHOOSE(CONTROL!$C$9, $D$9, 100%, $F$9) + CHOOSE(CONTROL!$C$27, 0.0021, 0)</f>
        <v>22.889599999999998</v>
      </c>
      <c r="E37" s="17">
        <f>22.7508 * CHOOSE(CONTROL!$C$9, $D$9, 100%, $F$9) + CHOOSE(CONTROL!$C$27, 0.0021, 0)</f>
        <v>22.7529</v>
      </c>
      <c r="F37" s="17">
        <f>22.7508 * CHOOSE(CONTROL!$C$9, $D$9, 100%, $F$9) + CHOOSE(CONTROL!$C$27, 0.0021, 0)</f>
        <v>22.7529</v>
      </c>
      <c r="G37" s="17">
        <f>23.0222 * CHOOSE(CONTROL!$C$9, $D$9, 100%, $F$9) + CHOOSE(CONTROL!$C$27, 0.0021, 0)</f>
        <v>23.0243</v>
      </c>
      <c r="H37" s="17">
        <f>22.8875 * CHOOSE(CONTROL!$C$9, $D$9, 100%, $F$9) + CHOOSE(CONTROL!$C$27, 0.0021, 0)</f>
        <v>22.889599999999998</v>
      </c>
      <c r="I37" s="17">
        <f>22.8875 * CHOOSE(CONTROL!$C$9, $D$9, 100%, $F$9) + CHOOSE(CONTROL!$C$27, 0.0021, 0)</f>
        <v>22.889599999999998</v>
      </c>
      <c r="J37" s="17">
        <f>22.8875 * CHOOSE(CONTROL!$C$9, $D$9, 100%, $F$9) + CHOOSE(CONTROL!$C$27, 0.0021, 0)</f>
        <v>22.889599999999998</v>
      </c>
      <c r="K37" s="17">
        <f>22.8875 * CHOOSE(CONTROL!$C$9, $D$9, 100%, $F$9) + CHOOSE(CONTROL!$C$27, 0.0021, 0)</f>
        <v>22.889599999999998</v>
      </c>
      <c r="L37" s="17"/>
      <c r="M37" s="34"/>
      <c r="N37" s="34"/>
      <c r="O37" s="34"/>
      <c r="P37" s="34"/>
      <c r="Q37" s="34"/>
    </row>
    <row r="38" spans="1:17" ht="15" x14ac:dyDescent="0.2">
      <c r="A38" s="16">
        <v>42064</v>
      </c>
      <c r="B38" s="17">
        <f>23.2261 * CHOOSE(CONTROL!$C$9, $D$9, 100%, $F$9) + CHOOSE(CONTROL!$C$27, 0.0021, 0)</f>
        <v>23.228199999999998</v>
      </c>
      <c r="C38" s="17">
        <f>22.7938 * CHOOSE(CONTROL!$C$9, $D$9, 100%, $F$9) + CHOOSE(CONTROL!$C$27, 0.0021, 0)</f>
        <v>22.7959</v>
      </c>
      <c r="D38" s="17">
        <f>22.7938 * CHOOSE(CONTROL!$C$9, $D$9, 100%, $F$9) + CHOOSE(CONTROL!$C$27, 0.0021, 0)</f>
        <v>22.7959</v>
      </c>
      <c r="E38" s="17">
        <f>22.6572 * CHOOSE(CONTROL!$C$9, $D$9, 100%, $F$9) + CHOOSE(CONTROL!$C$27, 0.0021, 0)</f>
        <v>22.659299999999998</v>
      </c>
      <c r="F38" s="17">
        <f>22.6572 * CHOOSE(CONTROL!$C$9, $D$9, 100%, $F$9) + CHOOSE(CONTROL!$C$27, 0.0021, 0)</f>
        <v>22.659299999999998</v>
      </c>
      <c r="G38" s="17">
        <f>22.9285 * CHOOSE(CONTROL!$C$9, $D$9, 100%, $F$9) + CHOOSE(CONTROL!$C$27, 0.0021, 0)</f>
        <v>22.930599999999998</v>
      </c>
      <c r="H38" s="17">
        <f>22.7938 * CHOOSE(CONTROL!$C$9, $D$9, 100%, $F$9) + CHOOSE(CONTROL!$C$27, 0.0021, 0)</f>
        <v>22.7959</v>
      </c>
      <c r="I38" s="17">
        <f>22.7938 * CHOOSE(CONTROL!$C$9, $D$9, 100%, $F$9) + CHOOSE(CONTROL!$C$27, 0.0021, 0)</f>
        <v>22.7959</v>
      </c>
      <c r="J38" s="17">
        <f>22.7938 * CHOOSE(CONTROL!$C$9, $D$9, 100%, $F$9) + CHOOSE(CONTROL!$C$27, 0.0021, 0)</f>
        <v>22.7959</v>
      </c>
      <c r="K38" s="17">
        <f>22.7938 * CHOOSE(CONTROL!$C$9, $D$9, 100%, $F$9) + CHOOSE(CONTROL!$C$27, 0.0021, 0)</f>
        <v>22.7959</v>
      </c>
      <c r="L38" s="17"/>
      <c r="M38" s="34"/>
      <c r="N38" s="34"/>
      <c r="O38" s="34"/>
      <c r="P38" s="34"/>
      <c r="Q38" s="34"/>
    </row>
    <row r="39" spans="1:17" ht="15" x14ac:dyDescent="0.2">
      <c r="A39" s="16">
        <v>42095</v>
      </c>
      <c r="B39" s="17">
        <f>23.046 * CHOOSE(CONTROL!$C$9, $D$9, 100%, $F$9) + CHOOSE(CONTROL!$C$27, 0.0021, 0)</f>
        <v>23.048099999999998</v>
      </c>
      <c r="C39" s="17">
        <f>22.6137 * CHOOSE(CONTROL!$C$9, $D$9, 100%, $F$9) + CHOOSE(CONTROL!$C$27, 0.0021, 0)</f>
        <v>22.6158</v>
      </c>
      <c r="D39" s="17">
        <f>22.6137 * CHOOSE(CONTROL!$C$9, $D$9, 100%, $F$9) + CHOOSE(CONTROL!$C$27, 0.0021, 0)</f>
        <v>22.6158</v>
      </c>
      <c r="E39" s="17">
        <f>22.4771 * CHOOSE(CONTROL!$C$9, $D$9, 100%, $F$9) + CHOOSE(CONTROL!$C$27, 0.0021, 0)</f>
        <v>22.479199999999999</v>
      </c>
      <c r="F39" s="17">
        <f>22.4771 * CHOOSE(CONTROL!$C$9, $D$9, 100%, $F$9) + CHOOSE(CONTROL!$C$27, 0.0021, 0)</f>
        <v>22.479199999999999</v>
      </c>
      <c r="G39" s="17">
        <f>22.7484 * CHOOSE(CONTROL!$C$9, $D$9, 100%, $F$9) + CHOOSE(CONTROL!$C$27, 0.0021, 0)</f>
        <v>22.750499999999999</v>
      </c>
      <c r="H39" s="17">
        <f>22.6137 * CHOOSE(CONTROL!$C$9, $D$9, 100%, $F$9) + CHOOSE(CONTROL!$C$27, 0.0021, 0)</f>
        <v>22.6158</v>
      </c>
      <c r="I39" s="17">
        <f>22.6137 * CHOOSE(CONTROL!$C$9, $D$9, 100%, $F$9) + CHOOSE(CONTROL!$C$27, 0.0021, 0)</f>
        <v>22.6158</v>
      </c>
      <c r="J39" s="17">
        <f>22.6137 * CHOOSE(CONTROL!$C$9, $D$9, 100%, $F$9) + CHOOSE(CONTROL!$C$27, 0.0021, 0)</f>
        <v>22.6158</v>
      </c>
      <c r="K39" s="17">
        <f>22.6137 * CHOOSE(CONTROL!$C$9, $D$9, 100%, $F$9) + CHOOSE(CONTROL!$C$27, 0.0021, 0)</f>
        <v>22.6158</v>
      </c>
      <c r="L39" s="17"/>
      <c r="M39" s="34"/>
      <c r="N39" s="34"/>
      <c r="O39" s="34"/>
      <c r="P39" s="34"/>
      <c r="Q39" s="34"/>
    </row>
    <row r="40" spans="1:17" ht="15" x14ac:dyDescent="0.2">
      <c r="A40" s="16">
        <v>42125</v>
      </c>
      <c r="B40" s="17">
        <f>22.9235 * CHOOSE(CONTROL!$C$9, $D$9, 100%, $F$9) + CHOOSE(CONTROL!$C$27, 0.0021, 0)</f>
        <v>22.925599999999999</v>
      </c>
      <c r="C40" s="17">
        <f>22.4913 * CHOOSE(CONTROL!$C$9, $D$9, 100%, $F$9) + CHOOSE(CONTROL!$C$27, 0.0021, 0)</f>
        <v>22.493399999999998</v>
      </c>
      <c r="D40" s="17">
        <f>22.4913 * CHOOSE(CONTROL!$C$9, $D$9, 100%, $F$9) + CHOOSE(CONTROL!$C$27, 0.0021, 0)</f>
        <v>22.493399999999998</v>
      </c>
      <c r="E40" s="17">
        <f>22.3546 * CHOOSE(CONTROL!$C$9, $D$9, 100%, $F$9) + CHOOSE(CONTROL!$C$27, 0.0021, 0)</f>
        <v>22.3567</v>
      </c>
      <c r="F40" s="17">
        <f>22.3546 * CHOOSE(CONTROL!$C$9, $D$9, 100%, $F$9) + CHOOSE(CONTROL!$C$27, 0.0021, 0)</f>
        <v>22.3567</v>
      </c>
      <c r="G40" s="17">
        <f>22.626 * CHOOSE(CONTROL!$C$9, $D$9, 100%, $F$9) + CHOOSE(CONTROL!$C$27, 0.0021, 0)</f>
        <v>22.6281</v>
      </c>
      <c r="H40" s="17">
        <f>22.4913 * CHOOSE(CONTROL!$C$9, $D$9, 100%, $F$9) + CHOOSE(CONTROL!$C$27, 0.0021, 0)</f>
        <v>22.493399999999998</v>
      </c>
      <c r="I40" s="17">
        <f>22.4913 * CHOOSE(CONTROL!$C$9, $D$9, 100%, $F$9) + CHOOSE(CONTROL!$C$27, 0.0021, 0)</f>
        <v>22.493399999999998</v>
      </c>
      <c r="J40" s="17">
        <f>22.4913 * CHOOSE(CONTROL!$C$9, $D$9, 100%, $F$9) + CHOOSE(CONTROL!$C$27, 0.0021, 0)</f>
        <v>22.493399999999998</v>
      </c>
      <c r="K40" s="17">
        <f>22.4913 * CHOOSE(CONTROL!$C$9, $D$9, 100%, $F$9) + CHOOSE(CONTROL!$C$27, 0.0021, 0)</f>
        <v>22.493399999999998</v>
      </c>
      <c r="L40" s="17"/>
      <c r="M40" s="34"/>
      <c r="N40" s="34"/>
      <c r="O40" s="34"/>
      <c r="P40" s="34"/>
      <c r="Q40" s="34"/>
    </row>
    <row r="41" spans="1:17" ht="15" x14ac:dyDescent="0.2">
      <c r="A41" s="16">
        <v>42156</v>
      </c>
      <c r="B41" s="17">
        <f>22.8082 * CHOOSE(CONTROL!$C$9, $D$9, 100%, $F$9) + CHOOSE(CONTROL!$C$27, 0.0021, 0)</f>
        <v>22.810299999999998</v>
      </c>
      <c r="C41" s="17">
        <f>22.376 * CHOOSE(CONTROL!$C$9, $D$9, 100%, $F$9) + CHOOSE(CONTROL!$C$27, 0.0021, 0)</f>
        <v>22.3781</v>
      </c>
      <c r="D41" s="17">
        <f>22.376 * CHOOSE(CONTROL!$C$9, $D$9, 100%, $F$9) + CHOOSE(CONTROL!$C$27, 0.0021, 0)</f>
        <v>22.3781</v>
      </c>
      <c r="E41" s="17">
        <f>22.2393 * CHOOSE(CONTROL!$C$9, $D$9, 100%, $F$9) + CHOOSE(CONTROL!$C$27, 0.0021, 0)</f>
        <v>22.241399999999999</v>
      </c>
      <c r="F41" s="17">
        <f>22.2393 * CHOOSE(CONTROL!$C$9, $D$9, 100%, $F$9) + CHOOSE(CONTROL!$C$27, 0.0021, 0)</f>
        <v>22.241399999999999</v>
      </c>
      <c r="G41" s="17">
        <f>22.5107 * CHOOSE(CONTROL!$C$9, $D$9, 100%, $F$9) + CHOOSE(CONTROL!$C$27, 0.0021, 0)</f>
        <v>22.512799999999999</v>
      </c>
      <c r="H41" s="17">
        <f>22.376 * CHOOSE(CONTROL!$C$9, $D$9, 100%, $F$9) + CHOOSE(CONTROL!$C$27, 0.0021, 0)</f>
        <v>22.3781</v>
      </c>
      <c r="I41" s="17">
        <f>22.376 * CHOOSE(CONTROL!$C$9, $D$9, 100%, $F$9) + CHOOSE(CONTROL!$C$27, 0.0021, 0)</f>
        <v>22.3781</v>
      </c>
      <c r="J41" s="17">
        <f>22.376 * CHOOSE(CONTROL!$C$9, $D$9, 100%, $F$9) + CHOOSE(CONTROL!$C$27, 0.0021, 0)</f>
        <v>22.3781</v>
      </c>
      <c r="K41" s="17">
        <f>22.376 * CHOOSE(CONTROL!$C$9, $D$9, 100%, $F$9) + CHOOSE(CONTROL!$C$27, 0.0021, 0)</f>
        <v>22.3781</v>
      </c>
      <c r="L41" s="17"/>
      <c r="M41" s="34"/>
      <c r="N41" s="34"/>
      <c r="O41" s="34"/>
      <c r="P41" s="34"/>
      <c r="Q41" s="34"/>
    </row>
    <row r="42" spans="1:17" ht="15" x14ac:dyDescent="0.2">
      <c r="A42" s="16">
        <v>42186</v>
      </c>
      <c r="B42" s="17">
        <f>22.7722 * CHOOSE(CONTROL!$C$9, $D$9, 100%, $F$9) + CHOOSE(CONTROL!$C$27, 0.0021, 0)</f>
        <v>22.7743</v>
      </c>
      <c r="C42" s="17">
        <f>22.34 * CHOOSE(CONTROL!$C$9, $D$9, 100%, $F$9) + CHOOSE(CONTROL!$C$27, 0.0021, 0)</f>
        <v>22.342099999999999</v>
      </c>
      <c r="D42" s="17">
        <f>22.34 * CHOOSE(CONTROL!$C$9, $D$9, 100%, $F$9) + CHOOSE(CONTROL!$C$27, 0.0021, 0)</f>
        <v>22.342099999999999</v>
      </c>
      <c r="E42" s="17">
        <f>22.2033 * CHOOSE(CONTROL!$C$9, $D$9, 100%, $F$9) + CHOOSE(CONTROL!$C$27, 0.0021, 0)</f>
        <v>22.205399999999997</v>
      </c>
      <c r="F42" s="17">
        <f>22.2033 * CHOOSE(CONTROL!$C$9, $D$9, 100%, $F$9) + CHOOSE(CONTROL!$C$27, 0.0021, 0)</f>
        <v>22.205399999999997</v>
      </c>
      <c r="G42" s="17">
        <f>22.4747 * CHOOSE(CONTROL!$C$9, $D$9, 100%, $F$9) + CHOOSE(CONTROL!$C$27, 0.0021, 0)</f>
        <v>22.476799999999997</v>
      </c>
      <c r="H42" s="17">
        <f>22.34 * CHOOSE(CONTROL!$C$9, $D$9, 100%, $F$9) + CHOOSE(CONTROL!$C$27, 0.0021, 0)</f>
        <v>22.342099999999999</v>
      </c>
      <c r="I42" s="17">
        <f>22.34 * CHOOSE(CONTROL!$C$9, $D$9, 100%, $F$9) + CHOOSE(CONTROL!$C$27, 0.0021, 0)</f>
        <v>22.342099999999999</v>
      </c>
      <c r="J42" s="17">
        <f>22.34 * CHOOSE(CONTROL!$C$9, $D$9, 100%, $F$9) + CHOOSE(CONTROL!$C$27, 0.0021, 0)</f>
        <v>22.342099999999999</v>
      </c>
      <c r="K42" s="17">
        <f>22.34 * CHOOSE(CONTROL!$C$9, $D$9, 100%, $F$9) + CHOOSE(CONTROL!$C$27, 0.0021, 0)</f>
        <v>22.342099999999999</v>
      </c>
      <c r="L42" s="17"/>
      <c r="M42" s="34"/>
      <c r="N42" s="34"/>
      <c r="O42" s="34"/>
      <c r="P42" s="34"/>
      <c r="Q42" s="34"/>
    </row>
    <row r="43" spans="1:17" ht="15" x14ac:dyDescent="0.2">
      <c r="A43" s="16">
        <v>42217</v>
      </c>
      <c r="B43" s="17">
        <f>22.747 * CHOOSE(CONTROL!$C$9, $D$9, 100%, $F$9) + CHOOSE(CONTROL!$C$27, 0.0021, 0)</f>
        <v>22.749099999999999</v>
      </c>
      <c r="C43" s="17">
        <f>22.3148 * CHOOSE(CONTROL!$C$9, $D$9, 100%, $F$9) + CHOOSE(CONTROL!$C$27, 0.0021, 0)</f>
        <v>22.3169</v>
      </c>
      <c r="D43" s="17">
        <f>22.3148 * CHOOSE(CONTROL!$C$9, $D$9, 100%, $F$9) + CHOOSE(CONTROL!$C$27, 0.0021, 0)</f>
        <v>22.3169</v>
      </c>
      <c r="E43" s="17">
        <f>22.1781 * CHOOSE(CONTROL!$C$9, $D$9, 100%, $F$9) + CHOOSE(CONTROL!$C$27, 0.0021, 0)</f>
        <v>22.180199999999999</v>
      </c>
      <c r="F43" s="17">
        <f>22.1781 * CHOOSE(CONTROL!$C$9, $D$9, 100%, $F$9) + CHOOSE(CONTROL!$C$27, 0.0021, 0)</f>
        <v>22.180199999999999</v>
      </c>
      <c r="G43" s="17">
        <f>22.4495 * CHOOSE(CONTROL!$C$9, $D$9, 100%, $F$9) + CHOOSE(CONTROL!$C$27, 0.0021, 0)</f>
        <v>22.451599999999999</v>
      </c>
      <c r="H43" s="17">
        <f>22.3148 * CHOOSE(CONTROL!$C$9, $D$9, 100%, $F$9) + CHOOSE(CONTROL!$C$27, 0.0021, 0)</f>
        <v>22.3169</v>
      </c>
      <c r="I43" s="17">
        <f>22.3148 * CHOOSE(CONTROL!$C$9, $D$9, 100%, $F$9) + CHOOSE(CONTROL!$C$27, 0.0021, 0)</f>
        <v>22.3169</v>
      </c>
      <c r="J43" s="17">
        <f>22.3148 * CHOOSE(CONTROL!$C$9, $D$9, 100%, $F$9) + CHOOSE(CONTROL!$C$27, 0.0021, 0)</f>
        <v>22.3169</v>
      </c>
      <c r="K43" s="17">
        <f>22.3148 * CHOOSE(CONTROL!$C$9, $D$9, 100%, $F$9) + CHOOSE(CONTROL!$C$27, 0.0021, 0)</f>
        <v>22.3169</v>
      </c>
      <c r="L43" s="17"/>
      <c r="M43" s="34"/>
      <c r="N43" s="34"/>
      <c r="O43" s="34"/>
      <c r="P43" s="34"/>
      <c r="Q43" s="34"/>
    </row>
    <row r="44" spans="1:17" ht="15" x14ac:dyDescent="0.2">
      <c r="A44" s="16">
        <v>42248</v>
      </c>
      <c r="B44" s="17">
        <f>22.7254 * CHOOSE(CONTROL!$C$9, $D$9, 100%, $F$9) + CHOOSE(CONTROL!$C$27, 0.0021, 0)</f>
        <v>22.727499999999999</v>
      </c>
      <c r="C44" s="17">
        <f>22.2931 * CHOOSE(CONTROL!$C$9, $D$9, 100%, $F$9) + CHOOSE(CONTROL!$C$27, 0.0021, 0)</f>
        <v>22.295199999999998</v>
      </c>
      <c r="D44" s="17">
        <f>22.2931 * CHOOSE(CONTROL!$C$9, $D$9, 100%, $F$9) + CHOOSE(CONTROL!$C$27, 0.0021, 0)</f>
        <v>22.295199999999998</v>
      </c>
      <c r="E44" s="17">
        <f>22.1565 * CHOOSE(CONTROL!$C$9, $D$9, 100%, $F$9) + CHOOSE(CONTROL!$C$27, 0.0021, 0)</f>
        <v>22.1586</v>
      </c>
      <c r="F44" s="17">
        <f>22.1565 * CHOOSE(CONTROL!$C$9, $D$9, 100%, $F$9) + CHOOSE(CONTROL!$C$27, 0.0021, 0)</f>
        <v>22.1586</v>
      </c>
      <c r="G44" s="17">
        <f>22.4279 * CHOOSE(CONTROL!$C$9, $D$9, 100%, $F$9) + CHOOSE(CONTROL!$C$27, 0.0021, 0)</f>
        <v>22.43</v>
      </c>
      <c r="H44" s="17">
        <f>22.2931 * CHOOSE(CONTROL!$C$9, $D$9, 100%, $F$9) + CHOOSE(CONTROL!$C$27, 0.0021, 0)</f>
        <v>22.295199999999998</v>
      </c>
      <c r="I44" s="17">
        <f>22.2931 * CHOOSE(CONTROL!$C$9, $D$9, 100%, $F$9) + CHOOSE(CONTROL!$C$27, 0.0021, 0)</f>
        <v>22.295199999999998</v>
      </c>
      <c r="J44" s="17">
        <f>22.2931 * CHOOSE(CONTROL!$C$9, $D$9, 100%, $F$9) + CHOOSE(CONTROL!$C$27, 0.0021, 0)</f>
        <v>22.295199999999998</v>
      </c>
      <c r="K44" s="17">
        <f>22.2931 * CHOOSE(CONTROL!$C$9, $D$9, 100%, $F$9) + CHOOSE(CONTROL!$C$27, 0.0021, 0)</f>
        <v>22.295199999999998</v>
      </c>
      <c r="L44" s="17"/>
      <c r="M44" s="34"/>
      <c r="N44" s="34"/>
      <c r="O44" s="34"/>
      <c r="P44" s="34"/>
      <c r="Q44" s="34"/>
    </row>
    <row r="45" spans="1:17" ht="15" x14ac:dyDescent="0.2">
      <c r="A45" s="16">
        <v>42278</v>
      </c>
      <c r="B45" s="17">
        <f>22.7038 * CHOOSE(CONTROL!$C$9, $D$9, 100%, $F$9) + CHOOSE(CONTROL!$C$27, 0.0021, 0)</f>
        <v>22.7059</v>
      </c>
      <c r="C45" s="17">
        <f>22.2715 * CHOOSE(CONTROL!$C$9, $D$9, 100%, $F$9) + CHOOSE(CONTROL!$C$27, 0.0021, 0)</f>
        <v>22.273599999999998</v>
      </c>
      <c r="D45" s="17">
        <f>22.2715 * CHOOSE(CONTROL!$C$9, $D$9, 100%, $F$9) + CHOOSE(CONTROL!$C$27, 0.0021, 0)</f>
        <v>22.273599999999998</v>
      </c>
      <c r="E45" s="17">
        <f>22.1349 * CHOOSE(CONTROL!$C$9, $D$9, 100%, $F$9) + CHOOSE(CONTROL!$C$27, 0.0021, 0)</f>
        <v>22.136999999999997</v>
      </c>
      <c r="F45" s="17">
        <f>22.1349 * CHOOSE(CONTROL!$C$9, $D$9, 100%, $F$9) + CHOOSE(CONTROL!$C$27, 0.0021, 0)</f>
        <v>22.136999999999997</v>
      </c>
      <c r="G45" s="17">
        <f>22.4062 * CHOOSE(CONTROL!$C$9, $D$9, 100%, $F$9) + CHOOSE(CONTROL!$C$27, 0.0021, 0)</f>
        <v>22.408299999999997</v>
      </c>
      <c r="H45" s="17">
        <f>22.2715 * CHOOSE(CONTROL!$C$9, $D$9, 100%, $F$9) + CHOOSE(CONTROL!$C$27, 0.0021, 0)</f>
        <v>22.273599999999998</v>
      </c>
      <c r="I45" s="17">
        <f>22.2715 * CHOOSE(CONTROL!$C$9, $D$9, 100%, $F$9) + CHOOSE(CONTROL!$C$27, 0.0021, 0)</f>
        <v>22.273599999999998</v>
      </c>
      <c r="J45" s="17">
        <f>22.2715 * CHOOSE(CONTROL!$C$9, $D$9, 100%, $F$9) + CHOOSE(CONTROL!$C$27, 0.0021, 0)</f>
        <v>22.273599999999998</v>
      </c>
      <c r="K45" s="17">
        <f>22.2715 * CHOOSE(CONTROL!$C$9, $D$9, 100%, $F$9) + CHOOSE(CONTROL!$C$27, 0.0021, 0)</f>
        <v>22.273599999999998</v>
      </c>
      <c r="L45" s="17"/>
      <c r="M45" s="34"/>
      <c r="N45" s="34"/>
      <c r="O45" s="34"/>
      <c r="P45" s="34"/>
      <c r="Q45" s="34"/>
    </row>
    <row r="46" spans="1:17" ht="15" x14ac:dyDescent="0.2">
      <c r="A46" s="16">
        <v>42309</v>
      </c>
      <c r="B46" s="17">
        <f>22.6858 * CHOOSE(CONTROL!$C$9, $D$9, 100%, $F$9) + CHOOSE(CONTROL!$C$27, 0.0021, 0)</f>
        <v>22.687899999999999</v>
      </c>
      <c r="C46" s="17">
        <f>22.2535 * CHOOSE(CONTROL!$C$9, $D$9, 100%, $F$9) + CHOOSE(CONTROL!$C$27, 0.0021, 0)</f>
        <v>22.255599999999998</v>
      </c>
      <c r="D46" s="17">
        <f>22.2535 * CHOOSE(CONTROL!$C$9, $D$9, 100%, $F$9) + CHOOSE(CONTROL!$C$27, 0.0021, 0)</f>
        <v>22.255599999999998</v>
      </c>
      <c r="E46" s="17">
        <f>22.1169 * CHOOSE(CONTROL!$C$9, $D$9, 100%, $F$9) + CHOOSE(CONTROL!$C$27, 0.0021, 0)</f>
        <v>22.119</v>
      </c>
      <c r="F46" s="17">
        <f>22.1169 * CHOOSE(CONTROL!$C$9, $D$9, 100%, $F$9) + CHOOSE(CONTROL!$C$27, 0.0021, 0)</f>
        <v>22.119</v>
      </c>
      <c r="G46" s="17">
        <f>22.3882 * CHOOSE(CONTROL!$C$9, $D$9, 100%, $F$9) + CHOOSE(CONTROL!$C$27, 0.0021, 0)</f>
        <v>22.3903</v>
      </c>
      <c r="H46" s="17">
        <f>22.2535 * CHOOSE(CONTROL!$C$9, $D$9, 100%, $F$9) + CHOOSE(CONTROL!$C$27, 0.0021, 0)</f>
        <v>22.255599999999998</v>
      </c>
      <c r="I46" s="17">
        <f>22.2535 * CHOOSE(CONTROL!$C$9, $D$9, 100%, $F$9) + CHOOSE(CONTROL!$C$27, 0.0021, 0)</f>
        <v>22.255599999999998</v>
      </c>
      <c r="J46" s="17">
        <f>22.2535 * CHOOSE(CONTROL!$C$9, $D$9, 100%, $F$9) + CHOOSE(CONTROL!$C$27, 0.0021, 0)</f>
        <v>22.255599999999998</v>
      </c>
      <c r="K46" s="17">
        <f>22.2535 * CHOOSE(CONTROL!$C$9, $D$9, 100%, $F$9) + CHOOSE(CONTROL!$C$27, 0.0021, 0)</f>
        <v>22.255599999999998</v>
      </c>
      <c r="L46" s="17"/>
      <c r="M46" s="34"/>
      <c r="N46" s="34"/>
      <c r="O46" s="34"/>
      <c r="P46" s="34"/>
      <c r="Q46" s="34"/>
    </row>
    <row r="47" spans="1:17" ht="15" x14ac:dyDescent="0.2">
      <c r="A47" s="16">
        <v>42339</v>
      </c>
      <c r="B47" s="17">
        <f>22.6678 * CHOOSE(CONTROL!$C$9, $D$9, 100%, $F$9) + CHOOSE(CONTROL!$C$27, 0.0021, 0)</f>
        <v>22.669899999999998</v>
      </c>
      <c r="C47" s="17">
        <f>22.2355 * CHOOSE(CONTROL!$C$9, $D$9, 100%, $F$9) + CHOOSE(CONTROL!$C$27, 0.0021, 0)</f>
        <v>22.237599999999997</v>
      </c>
      <c r="D47" s="17">
        <f>22.2355 * CHOOSE(CONTROL!$C$9, $D$9, 100%, $F$9) + CHOOSE(CONTROL!$C$27, 0.0021, 0)</f>
        <v>22.237599999999997</v>
      </c>
      <c r="E47" s="17">
        <f>22.0988 * CHOOSE(CONTROL!$C$9, $D$9, 100%, $F$9) + CHOOSE(CONTROL!$C$27, 0.0021, 0)</f>
        <v>22.100899999999999</v>
      </c>
      <c r="F47" s="17">
        <f>22.0988 * CHOOSE(CONTROL!$C$9, $D$9, 100%, $F$9) + CHOOSE(CONTROL!$C$27, 0.0021, 0)</f>
        <v>22.100899999999999</v>
      </c>
      <c r="G47" s="17">
        <f>22.3702 * CHOOSE(CONTROL!$C$9, $D$9, 100%, $F$9) + CHOOSE(CONTROL!$C$27, 0.0021, 0)</f>
        <v>22.372299999999999</v>
      </c>
      <c r="H47" s="17">
        <f>22.2355 * CHOOSE(CONTROL!$C$9, $D$9, 100%, $F$9) + CHOOSE(CONTROL!$C$27, 0.0021, 0)</f>
        <v>22.237599999999997</v>
      </c>
      <c r="I47" s="17">
        <f>22.2355 * CHOOSE(CONTROL!$C$9, $D$9, 100%, $F$9) + CHOOSE(CONTROL!$C$27, 0.0021, 0)</f>
        <v>22.237599999999997</v>
      </c>
      <c r="J47" s="17">
        <f>22.2355 * CHOOSE(CONTROL!$C$9, $D$9, 100%, $F$9) + CHOOSE(CONTROL!$C$27, 0.0021, 0)</f>
        <v>22.237599999999997</v>
      </c>
      <c r="K47" s="17">
        <f>22.2355 * CHOOSE(CONTROL!$C$9, $D$9, 100%, $F$9) + CHOOSE(CONTROL!$C$27, 0.0021, 0)</f>
        <v>22.237599999999997</v>
      </c>
      <c r="L47" s="17"/>
      <c r="M47" s="34"/>
      <c r="N47" s="34"/>
      <c r="O47" s="34"/>
      <c r="P47" s="34"/>
      <c r="Q47" s="34"/>
    </row>
    <row r="48" spans="1:17" ht="15" x14ac:dyDescent="0.2">
      <c r="A48" s="16">
        <v>42370</v>
      </c>
      <c r="B48" s="17">
        <f>23.2339 * CHOOSE(CONTROL!$C$9, $D$9, 100%, $F$9) + CHOOSE(CONTROL!$C$27, 0.0021, 0)</f>
        <v>23.235999999999997</v>
      </c>
      <c r="C48" s="17">
        <f>22.8016 * CHOOSE(CONTROL!$C$9, $D$9, 100%, $F$9) + CHOOSE(CONTROL!$C$27, 0.0021, 0)</f>
        <v>22.803699999999999</v>
      </c>
      <c r="D48" s="17">
        <f>22.8016 * CHOOSE(CONTROL!$C$9, $D$9, 100%, $F$9) + CHOOSE(CONTROL!$C$27, 0.0021, 0)</f>
        <v>22.803699999999999</v>
      </c>
      <c r="E48" s="17">
        <f>22.665 * CHOOSE(CONTROL!$C$9, $D$9, 100%, $F$9) + CHOOSE(CONTROL!$C$27, 0.0021, 0)</f>
        <v>22.667099999999998</v>
      </c>
      <c r="F48" s="17">
        <f>22.665 * CHOOSE(CONTROL!$C$9, $D$9, 100%, $F$9) + CHOOSE(CONTROL!$C$27, 0.0021, 0)</f>
        <v>22.667099999999998</v>
      </c>
      <c r="G48" s="17">
        <f>22.9363 * CHOOSE(CONTROL!$C$9, $D$9, 100%, $F$9) + CHOOSE(CONTROL!$C$27, 0.0021, 0)</f>
        <v>22.938399999999998</v>
      </c>
      <c r="H48" s="17">
        <f>22.8016 * CHOOSE(CONTROL!$C$9, $D$9, 100%, $F$9) + CHOOSE(CONTROL!$C$27, 0.0021, 0)</f>
        <v>22.803699999999999</v>
      </c>
      <c r="I48" s="17">
        <f>22.8016 * CHOOSE(CONTROL!$C$9, $D$9, 100%, $F$9) + CHOOSE(CONTROL!$C$27, 0.0021, 0)</f>
        <v>22.803699999999999</v>
      </c>
      <c r="J48" s="17">
        <f>22.8016 * CHOOSE(CONTROL!$C$9, $D$9, 100%, $F$9) + CHOOSE(CONTROL!$C$27, 0.0021, 0)</f>
        <v>22.803699999999999</v>
      </c>
      <c r="K48" s="17">
        <f>22.8016 * CHOOSE(CONTROL!$C$9, $D$9, 100%, $F$9) + CHOOSE(CONTROL!$C$27, 0.0021, 0)</f>
        <v>22.803699999999999</v>
      </c>
      <c r="L48" s="17"/>
    </row>
    <row r="49" spans="1:12" ht="15" x14ac:dyDescent="0.2">
      <c r="A49" s="16">
        <v>42401</v>
      </c>
      <c r="B49" s="17">
        <f>22.6834 * CHOOSE(CONTROL!$C$9, $D$9, 100%, $F$9) + CHOOSE(CONTROL!$C$27, 0.0021, 0)</f>
        <v>22.685499999999998</v>
      </c>
      <c r="C49" s="17">
        <f>22.2512 * CHOOSE(CONTROL!$C$9, $D$9, 100%, $F$9) + CHOOSE(CONTROL!$C$27, 0.0021, 0)</f>
        <v>22.253299999999999</v>
      </c>
      <c r="D49" s="17">
        <f>22.2512 * CHOOSE(CONTROL!$C$9, $D$9, 100%, $F$9) + CHOOSE(CONTROL!$C$27, 0.0021, 0)</f>
        <v>22.253299999999999</v>
      </c>
      <c r="E49" s="17">
        <f>22.1145 * CHOOSE(CONTROL!$C$9, $D$9, 100%, $F$9) + CHOOSE(CONTROL!$C$27, 0.0021, 0)</f>
        <v>22.116599999999998</v>
      </c>
      <c r="F49" s="17">
        <f>22.1145 * CHOOSE(CONTROL!$C$9, $D$9, 100%, $F$9) + CHOOSE(CONTROL!$C$27, 0.0021, 0)</f>
        <v>22.116599999999998</v>
      </c>
      <c r="G49" s="17">
        <f>22.3859 * CHOOSE(CONTROL!$C$9, $D$9, 100%, $F$9) + CHOOSE(CONTROL!$C$27, 0.0021, 0)</f>
        <v>22.387999999999998</v>
      </c>
      <c r="H49" s="17">
        <f>22.2512 * CHOOSE(CONTROL!$C$9, $D$9, 100%, $F$9) + CHOOSE(CONTROL!$C$27, 0.0021, 0)</f>
        <v>22.253299999999999</v>
      </c>
      <c r="I49" s="17">
        <f>22.2512 * CHOOSE(CONTROL!$C$9, $D$9, 100%, $F$9) + CHOOSE(CONTROL!$C$27, 0.0021, 0)</f>
        <v>22.253299999999999</v>
      </c>
      <c r="J49" s="17">
        <f>22.2512 * CHOOSE(CONTROL!$C$9, $D$9, 100%, $F$9) + CHOOSE(CONTROL!$C$27, 0.0021, 0)</f>
        <v>22.253299999999999</v>
      </c>
      <c r="K49" s="17">
        <f>22.2512 * CHOOSE(CONTROL!$C$9, $D$9, 100%, $F$9) + CHOOSE(CONTROL!$C$27, 0.0021, 0)</f>
        <v>22.253299999999999</v>
      </c>
      <c r="L49" s="17"/>
    </row>
    <row r="50" spans="1:12" ht="15" x14ac:dyDescent="0.2">
      <c r="A50" s="16">
        <v>42430</v>
      </c>
      <c r="B50" s="17">
        <f>22.4799 * CHOOSE(CONTROL!$C$9, $D$9, 100%, $F$9) + CHOOSE(CONTROL!$C$27, 0.0021, 0)</f>
        <v>22.481999999999999</v>
      </c>
      <c r="C50" s="17">
        <f>22.0477 * CHOOSE(CONTROL!$C$9, $D$9, 100%, $F$9) + CHOOSE(CONTROL!$C$27, 0.0021, 0)</f>
        <v>22.049799999999998</v>
      </c>
      <c r="D50" s="17">
        <f>22.0477 * CHOOSE(CONTROL!$C$9, $D$9, 100%, $F$9) + CHOOSE(CONTROL!$C$27, 0.0021, 0)</f>
        <v>22.049799999999998</v>
      </c>
      <c r="E50" s="17">
        <f>21.911 * CHOOSE(CONTROL!$C$9, $D$9, 100%, $F$9) + CHOOSE(CONTROL!$C$27, 0.0021, 0)</f>
        <v>21.9131</v>
      </c>
      <c r="F50" s="17">
        <f>21.911 * CHOOSE(CONTROL!$C$9, $D$9, 100%, $F$9) + CHOOSE(CONTROL!$C$27, 0.0021, 0)</f>
        <v>21.9131</v>
      </c>
      <c r="G50" s="17">
        <f>22.1824 * CHOOSE(CONTROL!$C$9, $D$9, 100%, $F$9) + CHOOSE(CONTROL!$C$27, 0.0021, 0)</f>
        <v>22.1845</v>
      </c>
      <c r="H50" s="17">
        <f>22.0477 * CHOOSE(CONTROL!$C$9, $D$9, 100%, $F$9) + CHOOSE(CONTROL!$C$27, 0.0021, 0)</f>
        <v>22.049799999999998</v>
      </c>
      <c r="I50" s="17">
        <f>22.0477 * CHOOSE(CONTROL!$C$9, $D$9, 100%, $F$9) + CHOOSE(CONTROL!$C$27, 0.0021, 0)</f>
        <v>22.049799999999998</v>
      </c>
      <c r="J50" s="17">
        <f>22.0477 * CHOOSE(CONTROL!$C$9, $D$9, 100%, $F$9) + CHOOSE(CONTROL!$C$27, 0.0021, 0)</f>
        <v>22.049799999999998</v>
      </c>
      <c r="K50" s="17">
        <f>22.0477 * CHOOSE(CONTROL!$C$9, $D$9, 100%, $F$9) + CHOOSE(CONTROL!$C$27, 0.0021, 0)</f>
        <v>22.049799999999998</v>
      </c>
      <c r="L50" s="17"/>
    </row>
    <row r="51" spans="1:12" ht="15" x14ac:dyDescent="0.2">
      <c r="A51" s="16">
        <v>42461</v>
      </c>
      <c r="B51" s="17">
        <f>22.2277 * CHOOSE(CONTROL!$C$9, $D$9, 100%, $F$9) + CHOOSE(CONTROL!$C$27, 0.0021, 0)</f>
        <v>22.229799999999997</v>
      </c>
      <c r="C51" s="17">
        <f>21.7955 * CHOOSE(CONTROL!$C$9, $D$9, 100%, $F$9) + CHOOSE(CONTROL!$C$27, 0.0021, 0)</f>
        <v>21.797599999999999</v>
      </c>
      <c r="D51" s="17">
        <f>21.7955 * CHOOSE(CONTROL!$C$9, $D$9, 100%, $F$9) + CHOOSE(CONTROL!$C$27, 0.0021, 0)</f>
        <v>21.797599999999999</v>
      </c>
      <c r="E51" s="17">
        <f>21.6588 * CHOOSE(CONTROL!$C$9, $D$9, 100%, $F$9) + CHOOSE(CONTROL!$C$27, 0.0021, 0)</f>
        <v>21.660899999999998</v>
      </c>
      <c r="F51" s="17">
        <f>21.6588 * CHOOSE(CONTROL!$C$9, $D$9, 100%, $F$9) + CHOOSE(CONTROL!$C$27, 0.0021, 0)</f>
        <v>21.660899999999998</v>
      </c>
      <c r="G51" s="17">
        <f>21.9302 * CHOOSE(CONTROL!$C$9, $D$9, 100%, $F$9) + CHOOSE(CONTROL!$C$27, 0.0021, 0)</f>
        <v>21.932299999999998</v>
      </c>
      <c r="H51" s="17">
        <f>21.7955 * CHOOSE(CONTROL!$C$9, $D$9, 100%, $F$9) + CHOOSE(CONTROL!$C$27, 0.0021, 0)</f>
        <v>21.797599999999999</v>
      </c>
      <c r="I51" s="17">
        <f>21.7955 * CHOOSE(CONTROL!$C$9, $D$9, 100%, $F$9) + CHOOSE(CONTROL!$C$27, 0.0021, 0)</f>
        <v>21.797599999999999</v>
      </c>
      <c r="J51" s="17">
        <f>21.7955 * CHOOSE(CONTROL!$C$9, $D$9, 100%, $F$9) + CHOOSE(CONTROL!$C$27, 0.0021, 0)</f>
        <v>21.797599999999999</v>
      </c>
      <c r="K51" s="17">
        <f>21.7955 * CHOOSE(CONTROL!$C$9, $D$9, 100%, $F$9) + CHOOSE(CONTROL!$C$27, 0.0021, 0)</f>
        <v>21.797599999999999</v>
      </c>
      <c r="L51" s="17"/>
    </row>
    <row r="52" spans="1:12" ht="15" x14ac:dyDescent="0.2">
      <c r="A52" s="16">
        <v>42491</v>
      </c>
      <c r="B52" s="17">
        <f>22.6883 * CHOOSE(CONTROL!$C$9, $D$9, 100%, $F$9) + CHOOSE(CONTROL!$C$27, 0.0021, 0)</f>
        <v>22.6904</v>
      </c>
      <c r="C52" s="17">
        <f>22.2561 * CHOOSE(CONTROL!$C$9, $D$9, 100%, $F$9) + CHOOSE(CONTROL!$C$27, 0.0021, 0)</f>
        <v>22.258199999999999</v>
      </c>
      <c r="D52" s="17">
        <f>22.2561 * CHOOSE(CONTROL!$C$9, $D$9, 100%, $F$9) + CHOOSE(CONTROL!$C$27, 0.0021, 0)</f>
        <v>22.258199999999999</v>
      </c>
      <c r="E52" s="17">
        <f>22.1194 * CHOOSE(CONTROL!$C$9, $D$9, 100%, $F$9) + CHOOSE(CONTROL!$C$27, 0.0021, 0)</f>
        <v>22.121499999999997</v>
      </c>
      <c r="F52" s="17">
        <f>22.1194 * CHOOSE(CONTROL!$C$9, $D$9, 100%, $F$9) + CHOOSE(CONTROL!$C$27, 0.0021, 0)</f>
        <v>22.121499999999997</v>
      </c>
      <c r="G52" s="17">
        <f>22.3908 * CHOOSE(CONTROL!$C$9, $D$9, 100%, $F$9) + CHOOSE(CONTROL!$C$27, 0.0021, 0)</f>
        <v>22.392899999999997</v>
      </c>
      <c r="H52" s="17">
        <f>22.2561 * CHOOSE(CONTROL!$C$9, $D$9, 100%, $F$9) + CHOOSE(CONTROL!$C$27, 0.0021, 0)</f>
        <v>22.258199999999999</v>
      </c>
      <c r="I52" s="17">
        <f>22.2561 * CHOOSE(CONTROL!$C$9, $D$9, 100%, $F$9) + CHOOSE(CONTROL!$C$27, 0.0021, 0)</f>
        <v>22.258199999999999</v>
      </c>
      <c r="J52" s="17">
        <f>22.2561 * CHOOSE(CONTROL!$C$9, $D$9, 100%, $F$9) + CHOOSE(CONTROL!$C$27, 0.0021, 0)</f>
        <v>22.258199999999999</v>
      </c>
      <c r="K52" s="17">
        <f>22.2561 * CHOOSE(CONTROL!$C$9, $D$9, 100%, $F$9) + CHOOSE(CONTROL!$C$27, 0.0021, 0)</f>
        <v>22.258199999999999</v>
      </c>
      <c r="L52" s="17"/>
    </row>
    <row r="53" spans="1:12" ht="15" x14ac:dyDescent="0.2">
      <c r="A53" s="16">
        <v>42522</v>
      </c>
      <c r="B53" s="17">
        <f>22.9821 * CHOOSE(CONTROL!$C$9, $D$9, 100%, $F$9) + CHOOSE(CONTROL!$C$27, 0.0021, 0)</f>
        <v>22.984199999999998</v>
      </c>
      <c r="C53" s="17">
        <f>22.5499 * CHOOSE(CONTROL!$C$9, $D$9, 100%, $F$9) + CHOOSE(CONTROL!$C$27, 0.0021, 0)</f>
        <v>22.552</v>
      </c>
      <c r="D53" s="17">
        <f>22.5499 * CHOOSE(CONTROL!$C$9, $D$9, 100%, $F$9) + CHOOSE(CONTROL!$C$27, 0.0021, 0)</f>
        <v>22.552</v>
      </c>
      <c r="E53" s="17">
        <f>22.4132 * CHOOSE(CONTROL!$C$9, $D$9, 100%, $F$9) + CHOOSE(CONTROL!$C$27, 0.0021, 0)</f>
        <v>22.415299999999998</v>
      </c>
      <c r="F53" s="17">
        <f>22.4132 * CHOOSE(CONTROL!$C$9, $D$9, 100%, $F$9) + CHOOSE(CONTROL!$C$27, 0.0021, 0)</f>
        <v>22.415299999999998</v>
      </c>
      <c r="G53" s="17">
        <f>22.6846 * CHOOSE(CONTROL!$C$9, $D$9, 100%, $F$9) + CHOOSE(CONTROL!$C$27, 0.0021, 0)</f>
        <v>22.686699999999998</v>
      </c>
      <c r="H53" s="17">
        <f>22.5499 * CHOOSE(CONTROL!$C$9, $D$9, 100%, $F$9) + CHOOSE(CONTROL!$C$27, 0.0021, 0)</f>
        <v>22.552</v>
      </c>
      <c r="I53" s="17">
        <f>22.5499 * CHOOSE(CONTROL!$C$9, $D$9, 100%, $F$9) + CHOOSE(CONTROL!$C$27, 0.0021, 0)</f>
        <v>22.552</v>
      </c>
      <c r="J53" s="17">
        <f>22.5499 * CHOOSE(CONTROL!$C$9, $D$9, 100%, $F$9) + CHOOSE(CONTROL!$C$27, 0.0021, 0)</f>
        <v>22.552</v>
      </c>
      <c r="K53" s="17">
        <f>22.5499 * CHOOSE(CONTROL!$C$9, $D$9, 100%, $F$9) + CHOOSE(CONTROL!$C$27, 0.0021, 0)</f>
        <v>22.552</v>
      </c>
      <c r="L53" s="17"/>
    </row>
    <row r="54" spans="1:12" ht="15" x14ac:dyDescent="0.2">
      <c r="A54" s="16">
        <v>42552</v>
      </c>
      <c r="B54" s="17">
        <f>23.441 * CHOOSE(CONTROL!$C$9, $D$9, 100%, $F$9) + CHOOSE(CONTROL!$C$27, 0.0021, 0)</f>
        <v>23.443099999999998</v>
      </c>
      <c r="C54" s="17">
        <f>23.0087 * CHOOSE(CONTROL!$C$9, $D$9, 100%, $F$9) + CHOOSE(CONTROL!$C$27, 0.0021, 0)</f>
        <v>23.0108</v>
      </c>
      <c r="D54" s="17">
        <f>23.0087 * CHOOSE(CONTROL!$C$9, $D$9, 100%, $F$9) + CHOOSE(CONTROL!$C$27, 0.0021, 0)</f>
        <v>23.0108</v>
      </c>
      <c r="E54" s="17">
        <f>22.8721 * CHOOSE(CONTROL!$C$9, $D$9, 100%, $F$9) + CHOOSE(CONTROL!$C$27, 0.0021, 0)</f>
        <v>22.874199999999998</v>
      </c>
      <c r="F54" s="17">
        <f>22.8721 * CHOOSE(CONTROL!$C$9, $D$9, 100%, $F$9) + CHOOSE(CONTROL!$C$27, 0.0021, 0)</f>
        <v>22.874199999999998</v>
      </c>
      <c r="G54" s="17">
        <f>23.1434 * CHOOSE(CONTROL!$C$9, $D$9, 100%, $F$9) + CHOOSE(CONTROL!$C$27, 0.0021, 0)</f>
        <v>23.145499999999998</v>
      </c>
      <c r="H54" s="17">
        <f>23.0087 * CHOOSE(CONTROL!$C$9, $D$9, 100%, $F$9) + CHOOSE(CONTROL!$C$27, 0.0021, 0)</f>
        <v>23.0108</v>
      </c>
      <c r="I54" s="17">
        <f>23.0087 * CHOOSE(CONTROL!$C$9, $D$9, 100%, $F$9) + CHOOSE(CONTROL!$C$27, 0.0021, 0)</f>
        <v>23.0108</v>
      </c>
      <c r="J54" s="17">
        <f>23.0087 * CHOOSE(CONTROL!$C$9, $D$9, 100%, $F$9) + CHOOSE(CONTROL!$C$27, 0.0021, 0)</f>
        <v>23.0108</v>
      </c>
      <c r="K54" s="17">
        <f>23.0087 * CHOOSE(CONTROL!$C$9, $D$9, 100%, $F$9) + CHOOSE(CONTROL!$C$27, 0.0021, 0)</f>
        <v>23.0108</v>
      </c>
      <c r="L54" s="17"/>
    </row>
    <row r="55" spans="1:12" ht="15" x14ac:dyDescent="0.2">
      <c r="A55" s="16">
        <v>42583</v>
      </c>
      <c r="B55" s="17">
        <f>23.6118 * CHOOSE(CONTROL!$C$9, $D$9, 100%, $F$9) + CHOOSE(CONTROL!$C$27, 0.0021, 0)</f>
        <v>23.613899999999997</v>
      </c>
      <c r="C55" s="17">
        <f>23.1796 * CHOOSE(CONTROL!$C$9, $D$9, 100%, $F$9) + CHOOSE(CONTROL!$C$27, 0.0021, 0)</f>
        <v>23.181699999999999</v>
      </c>
      <c r="D55" s="17">
        <f>23.1796 * CHOOSE(CONTROL!$C$9, $D$9, 100%, $F$9) + CHOOSE(CONTROL!$C$27, 0.0021, 0)</f>
        <v>23.181699999999999</v>
      </c>
      <c r="E55" s="17">
        <f>23.0429 * CHOOSE(CONTROL!$C$9, $D$9, 100%, $F$9) + CHOOSE(CONTROL!$C$27, 0.0021, 0)</f>
        <v>23.044999999999998</v>
      </c>
      <c r="F55" s="17">
        <f>23.0429 * CHOOSE(CONTROL!$C$9, $D$9, 100%, $F$9) + CHOOSE(CONTROL!$C$27, 0.0021, 0)</f>
        <v>23.044999999999998</v>
      </c>
      <c r="G55" s="17">
        <f>23.3143 * CHOOSE(CONTROL!$C$9, $D$9, 100%, $F$9) + CHOOSE(CONTROL!$C$27, 0.0021, 0)</f>
        <v>23.316399999999998</v>
      </c>
      <c r="H55" s="17">
        <f>23.1796 * CHOOSE(CONTROL!$C$9, $D$9, 100%, $F$9) + CHOOSE(CONTROL!$C$27, 0.0021, 0)</f>
        <v>23.181699999999999</v>
      </c>
      <c r="I55" s="17">
        <f>23.1796 * CHOOSE(CONTROL!$C$9, $D$9, 100%, $F$9) + CHOOSE(CONTROL!$C$27, 0.0021, 0)</f>
        <v>23.181699999999999</v>
      </c>
      <c r="J55" s="17">
        <f>23.1796 * CHOOSE(CONTROL!$C$9, $D$9, 100%, $F$9) + CHOOSE(CONTROL!$C$27, 0.0021, 0)</f>
        <v>23.181699999999999</v>
      </c>
      <c r="K55" s="17">
        <f>23.1796 * CHOOSE(CONTROL!$C$9, $D$9, 100%, $F$9) + CHOOSE(CONTROL!$C$27, 0.0021, 0)</f>
        <v>23.181699999999999</v>
      </c>
      <c r="L55" s="17"/>
    </row>
    <row r="56" spans="1:12" ht="15" x14ac:dyDescent="0.2">
      <c r="A56" s="16">
        <v>42614</v>
      </c>
      <c r="B56" s="17">
        <f>24.0902 * CHOOSE(CONTROL!$C$9, $D$9, 100%, $F$9) + CHOOSE(CONTROL!$C$27, 0.0021, 0)</f>
        <v>24.092299999999998</v>
      </c>
      <c r="C56" s="17">
        <f>23.6579 * CHOOSE(CONTROL!$C$9, $D$9, 100%, $F$9) + CHOOSE(CONTROL!$C$27, 0.0021, 0)</f>
        <v>23.66</v>
      </c>
      <c r="D56" s="17">
        <f>23.6579 * CHOOSE(CONTROL!$C$9, $D$9, 100%, $F$9) + CHOOSE(CONTROL!$C$27, 0.0021, 0)</f>
        <v>23.66</v>
      </c>
      <c r="E56" s="17">
        <f>23.5213 * CHOOSE(CONTROL!$C$9, $D$9, 100%, $F$9) + CHOOSE(CONTROL!$C$27, 0.0021, 0)</f>
        <v>23.523399999999999</v>
      </c>
      <c r="F56" s="17">
        <f>23.5213 * CHOOSE(CONTROL!$C$9, $D$9, 100%, $F$9) + CHOOSE(CONTROL!$C$27, 0.0021, 0)</f>
        <v>23.523399999999999</v>
      </c>
      <c r="G56" s="17">
        <f>23.7926 * CHOOSE(CONTROL!$C$9, $D$9, 100%, $F$9) + CHOOSE(CONTROL!$C$27, 0.0021, 0)</f>
        <v>23.794699999999999</v>
      </c>
      <c r="H56" s="17">
        <f>23.6579 * CHOOSE(CONTROL!$C$9, $D$9, 100%, $F$9) + CHOOSE(CONTROL!$C$27, 0.0021, 0)</f>
        <v>23.66</v>
      </c>
      <c r="I56" s="17">
        <f>23.6579 * CHOOSE(CONTROL!$C$9, $D$9, 100%, $F$9) + CHOOSE(CONTROL!$C$27, 0.0021, 0)</f>
        <v>23.66</v>
      </c>
      <c r="J56" s="17">
        <f>23.6579 * CHOOSE(CONTROL!$C$9, $D$9, 100%, $F$9) + CHOOSE(CONTROL!$C$27, 0.0021, 0)</f>
        <v>23.66</v>
      </c>
      <c r="K56" s="17">
        <f>23.6579 * CHOOSE(CONTROL!$C$9, $D$9, 100%, $F$9) + CHOOSE(CONTROL!$C$27, 0.0021, 0)</f>
        <v>23.66</v>
      </c>
      <c r="L56" s="17"/>
    </row>
    <row r="57" spans="1:12" ht="15" x14ac:dyDescent="0.2">
      <c r="A57" s="16">
        <v>42644</v>
      </c>
      <c r="B57" s="17">
        <f>24.6861 * CHOOSE(CONTROL!$C$9, $D$9, 100%, $F$9) + CHOOSE(CONTROL!$C$27, 0.0021, 0)</f>
        <v>24.688199999999998</v>
      </c>
      <c r="C57" s="17">
        <f>24.2539 * CHOOSE(CONTROL!$C$9, $D$9, 100%, $F$9) + CHOOSE(CONTROL!$C$27, 0.0021, 0)</f>
        <v>24.256</v>
      </c>
      <c r="D57" s="17">
        <f>24.2539 * CHOOSE(CONTROL!$C$9, $D$9, 100%, $F$9) + CHOOSE(CONTROL!$C$27, 0.0021, 0)</f>
        <v>24.256</v>
      </c>
      <c r="E57" s="17">
        <f>24.1172 * CHOOSE(CONTROL!$C$9, $D$9, 100%, $F$9) + CHOOSE(CONTROL!$C$27, 0.0021, 0)</f>
        <v>24.119299999999999</v>
      </c>
      <c r="F57" s="17">
        <f>24.1172 * CHOOSE(CONTROL!$C$9, $D$9, 100%, $F$9) + CHOOSE(CONTROL!$C$27, 0.0021, 0)</f>
        <v>24.119299999999999</v>
      </c>
      <c r="G57" s="17">
        <f>24.3886 * CHOOSE(CONTROL!$C$9, $D$9, 100%, $F$9) + CHOOSE(CONTROL!$C$27, 0.0021, 0)</f>
        <v>24.390699999999999</v>
      </c>
      <c r="H57" s="17">
        <f>24.2539 * CHOOSE(CONTROL!$C$9, $D$9, 100%, $F$9) + CHOOSE(CONTROL!$C$27, 0.0021, 0)</f>
        <v>24.256</v>
      </c>
      <c r="I57" s="17">
        <f>24.2539 * CHOOSE(CONTROL!$C$9, $D$9, 100%, $F$9) + CHOOSE(CONTROL!$C$27, 0.0021, 0)</f>
        <v>24.256</v>
      </c>
      <c r="J57" s="17">
        <f>24.2539 * CHOOSE(CONTROL!$C$9, $D$9, 100%, $F$9) + CHOOSE(CONTROL!$C$27, 0.0021, 0)</f>
        <v>24.256</v>
      </c>
      <c r="K57" s="17">
        <f>24.2539 * CHOOSE(CONTROL!$C$9, $D$9, 100%, $F$9) + CHOOSE(CONTROL!$C$27, 0.0021, 0)</f>
        <v>24.256</v>
      </c>
      <c r="L57" s="17"/>
    </row>
    <row r="58" spans="1:12" ht="15" x14ac:dyDescent="0.2">
      <c r="A58" s="16">
        <v>42675</v>
      </c>
      <c r="B58" s="17">
        <f>24.7841 * CHOOSE(CONTROL!$C$9, $D$9, 100%, $F$9) + CHOOSE(CONTROL!$C$27, 0.0021, 0)</f>
        <v>24.786199999999997</v>
      </c>
      <c r="C58" s="17">
        <f>24.3518 * CHOOSE(CONTROL!$C$9, $D$9, 100%, $F$9) + CHOOSE(CONTROL!$C$27, 0.0021, 0)</f>
        <v>24.353899999999999</v>
      </c>
      <c r="D58" s="17">
        <f>24.3518 * CHOOSE(CONTROL!$C$9, $D$9, 100%, $F$9) + CHOOSE(CONTROL!$C$27, 0.0021, 0)</f>
        <v>24.353899999999999</v>
      </c>
      <c r="E58" s="17">
        <f>24.2152 * CHOOSE(CONTROL!$C$9, $D$9, 100%, $F$9) + CHOOSE(CONTROL!$C$27, 0.0021, 0)</f>
        <v>24.217299999999998</v>
      </c>
      <c r="F58" s="17">
        <f>24.2152 * CHOOSE(CONTROL!$C$9, $D$9, 100%, $F$9) + CHOOSE(CONTROL!$C$27, 0.0021, 0)</f>
        <v>24.217299999999998</v>
      </c>
      <c r="G58" s="17">
        <f>24.4865 * CHOOSE(CONTROL!$C$9, $D$9, 100%, $F$9) + CHOOSE(CONTROL!$C$27, 0.0021, 0)</f>
        <v>24.488599999999998</v>
      </c>
      <c r="H58" s="17">
        <f>24.3518 * CHOOSE(CONTROL!$C$9, $D$9, 100%, $F$9) + CHOOSE(CONTROL!$C$27, 0.0021, 0)</f>
        <v>24.353899999999999</v>
      </c>
      <c r="I58" s="17">
        <f>24.3518 * CHOOSE(CONTROL!$C$9, $D$9, 100%, $F$9) + CHOOSE(CONTROL!$C$27, 0.0021, 0)</f>
        <v>24.353899999999999</v>
      </c>
      <c r="J58" s="17">
        <f>24.3518 * CHOOSE(CONTROL!$C$9, $D$9, 100%, $F$9) + CHOOSE(CONTROL!$C$27, 0.0021, 0)</f>
        <v>24.353899999999999</v>
      </c>
      <c r="K58" s="17">
        <f>24.3518 * CHOOSE(CONTROL!$C$9, $D$9, 100%, $F$9) + CHOOSE(CONTROL!$C$27, 0.0021, 0)</f>
        <v>24.353899999999999</v>
      </c>
      <c r="L58" s="17"/>
    </row>
    <row r="59" spans="1:12" ht="15" x14ac:dyDescent="0.2">
      <c r="A59" s="16">
        <v>42705</v>
      </c>
      <c r="B59" s="17">
        <f>24.3885 * CHOOSE(CONTROL!$C$9, $D$9, 100%, $F$9) + CHOOSE(CONTROL!$C$27, 0.0021, 0)</f>
        <v>24.390599999999999</v>
      </c>
      <c r="C59" s="17">
        <f>23.9562 * CHOOSE(CONTROL!$C$9, $D$9, 100%, $F$9) + CHOOSE(CONTROL!$C$27, 0.0021, 0)</f>
        <v>23.958299999999998</v>
      </c>
      <c r="D59" s="17">
        <f>23.9562 * CHOOSE(CONTROL!$C$9, $D$9, 100%, $F$9) + CHOOSE(CONTROL!$C$27, 0.0021, 0)</f>
        <v>23.958299999999998</v>
      </c>
      <c r="E59" s="17">
        <f>23.8196 * CHOOSE(CONTROL!$C$9, $D$9, 100%, $F$9) + CHOOSE(CONTROL!$C$27, 0.0021, 0)</f>
        <v>23.8217</v>
      </c>
      <c r="F59" s="17">
        <f>23.8196 * CHOOSE(CONTROL!$C$9, $D$9, 100%, $F$9) + CHOOSE(CONTROL!$C$27, 0.0021, 0)</f>
        <v>23.8217</v>
      </c>
      <c r="G59" s="17">
        <f>24.0909 * CHOOSE(CONTROL!$C$9, $D$9, 100%, $F$9) + CHOOSE(CONTROL!$C$27, 0.0021, 0)</f>
        <v>24.093</v>
      </c>
      <c r="H59" s="17">
        <f>23.9562 * CHOOSE(CONTROL!$C$9, $D$9, 100%, $F$9) + CHOOSE(CONTROL!$C$27, 0.0021, 0)</f>
        <v>23.958299999999998</v>
      </c>
      <c r="I59" s="17">
        <f>23.9562 * CHOOSE(CONTROL!$C$9, $D$9, 100%, $F$9) + CHOOSE(CONTROL!$C$27, 0.0021, 0)</f>
        <v>23.958299999999998</v>
      </c>
      <c r="J59" s="17">
        <f>23.9562 * CHOOSE(CONTROL!$C$9, $D$9, 100%, $F$9) + CHOOSE(CONTROL!$C$27, 0.0021, 0)</f>
        <v>23.958299999999998</v>
      </c>
      <c r="K59" s="17">
        <f>23.9562 * CHOOSE(CONTROL!$C$9, $D$9, 100%, $F$9) + CHOOSE(CONTROL!$C$27, 0.0021, 0)</f>
        <v>23.958299999999998</v>
      </c>
      <c r="L59" s="17"/>
    </row>
    <row r="60" spans="1:12" ht="15" x14ac:dyDescent="0.2">
      <c r="A60" s="16">
        <v>42736</v>
      </c>
      <c r="B60" s="17">
        <f>23.7354 * CHOOSE(CONTROL!$C$9, $D$9, 100%, $F$9) + CHOOSE(CONTROL!$C$27, 0.0021, 0)</f>
        <v>23.737499999999997</v>
      </c>
      <c r="C60" s="17">
        <f>23.3032 * CHOOSE(CONTROL!$C$9, $D$9, 100%, $F$9) + CHOOSE(CONTROL!$C$27, 0.0021, 0)</f>
        <v>23.305299999999999</v>
      </c>
      <c r="D60" s="17">
        <f>23.3032 * CHOOSE(CONTROL!$C$9, $D$9, 100%, $F$9) + CHOOSE(CONTROL!$C$27, 0.0021, 0)</f>
        <v>23.305299999999999</v>
      </c>
      <c r="E60" s="17">
        <f>23.1665 * CHOOSE(CONTROL!$C$9, $D$9, 100%, $F$9) + CHOOSE(CONTROL!$C$27, 0.0021, 0)</f>
        <v>23.168599999999998</v>
      </c>
      <c r="F60" s="17">
        <f>23.1665 * CHOOSE(CONTROL!$C$9, $D$9, 100%, $F$9) + CHOOSE(CONTROL!$C$27, 0.0021, 0)</f>
        <v>23.168599999999998</v>
      </c>
      <c r="G60" s="17">
        <f>23.4379 * CHOOSE(CONTROL!$C$9, $D$9, 100%, $F$9) + CHOOSE(CONTROL!$C$27, 0.0021, 0)</f>
        <v>23.439999999999998</v>
      </c>
      <c r="H60" s="17">
        <f>23.3032 * CHOOSE(CONTROL!$C$9, $D$9, 100%, $F$9) + CHOOSE(CONTROL!$C$27, 0.0021, 0)</f>
        <v>23.305299999999999</v>
      </c>
      <c r="I60" s="17">
        <f>23.3032 * CHOOSE(CONTROL!$C$9, $D$9, 100%, $F$9) + CHOOSE(CONTROL!$C$27, 0.0021, 0)</f>
        <v>23.305299999999999</v>
      </c>
      <c r="J60" s="17">
        <f>23.3032 * CHOOSE(CONTROL!$C$9, $D$9, 100%, $F$9) + CHOOSE(CONTROL!$C$27, 0.0021, 0)</f>
        <v>23.305299999999999</v>
      </c>
      <c r="K60" s="17">
        <f>23.3032 * CHOOSE(CONTROL!$C$9, $D$9, 100%, $F$9) + CHOOSE(CONTROL!$C$27, 0.0021, 0)</f>
        <v>23.305299999999999</v>
      </c>
      <c r="L60" s="17"/>
    </row>
    <row r="61" spans="1:12" ht="15" x14ac:dyDescent="0.2">
      <c r="A61" s="16">
        <v>42767</v>
      </c>
      <c r="B61" s="17">
        <f>23.1718 * CHOOSE(CONTROL!$C$9, $D$9, 100%, $F$9) + CHOOSE(CONTROL!$C$27, 0.0021, 0)</f>
        <v>23.1739</v>
      </c>
      <c r="C61" s="17">
        <f>22.7396 * CHOOSE(CONTROL!$C$9, $D$9, 100%, $F$9) + CHOOSE(CONTROL!$C$27, 0.0021, 0)</f>
        <v>22.741699999999998</v>
      </c>
      <c r="D61" s="17">
        <f>22.7396 * CHOOSE(CONTROL!$C$9, $D$9, 100%, $F$9) + CHOOSE(CONTROL!$C$27, 0.0021, 0)</f>
        <v>22.741699999999998</v>
      </c>
      <c r="E61" s="17">
        <f>22.6029 * CHOOSE(CONTROL!$C$9, $D$9, 100%, $F$9) + CHOOSE(CONTROL!$C$27, 0.0021, 0)</f>
        <v>22.605</v>
      </c>
      <c r="F61" s="17">
        <f>22.6029 * CHOOSE(CONTROL!$C$9, $D$9, 100%, $F$9) + CHOOSE(CONTROL!$C$27, 0.0021, 0)</f>
        <v>22.605</v>
      </c>
      <c r="G61" s="17">
        <f>22.8743 * CHOOSE(CONTROL!$C$9, $D$9, 100%, $F$9) + CHOOSE(CONTROL!$C$27, 0.0021, 0)</f>
        <v>22.8764</v>
      </c>
      <c r="H61" s="17">
        <f>22.7396 * CHOOSE(CONTROL!$C$9, $D$9, 100%, $F$9) + CHOOSE(CONTROL!$C$27, 0.0021, 0)</f>
        <v>22.741699999999998</v>
      </c>
      <c r="I61" s="17">
        <f>22.7396 * CHOOSE(CONTROL!$C$9, $D$9, 100%, $F$9) + CHOOSE(CONTROL!$C$27, 0.0021, 0)</f>
        <v>22.741699999999998</v>
      </c>
      <c r="J61" s="17">
        <f>22.7396 * CHOOSE(CONTROL!$C$9, $D$9, 100%, $F$9) + CHOOSE(CONTROL!$C$27, 0.0021, 0)</f>
        <v>22.741699999999998</v>
      </c>
      <c r="K61" s="17">
        <f>22.7396 * CHOOSE(CONTROL!$C$9, $D$9, 100%, $F$9) + CHOOSE(CONTROL!$C$27, 0.0021, 0)</f>
        <v>22.741699999999998</v>
      </c>
      <c r="L61" s="17"/>
    </row>
    <row r="62" spans="1:12" ht="15" x14ac:dyDescent="0.2">
      <c r="A62" s="16">
        <v>42795</v>
      </c>
      <c r="B62" s="17">
        <f>22.9634 * CHOOSE(CONTROL!$C$9, $D$9, 100%, $F$9) + CHOOSE(CONTROL!$C$27, 0.0021, 0)</f>
        <v>22.965499999999999</v>
      </c>
      <c r="C62" s="17">
        <f>22.5312 * CHOOSE(CONTROL!$C$9, $D$9, 100%, $F$9) + CHOOSE(CONTROL!$C$27, 0.0021, 0)</f>
        <v>22.533299999999997</v>
      </c>
      <c r="D62" s="17">
        <f>22.5312 * CHOOSE(CONTROL!$C$9, $D$9, 100%, $F$9) + CHOOSE(CONTROL!$C$27, 0.0021, 0)</f>
        <v>22.533299999999997</v>
      </c>
      <c r="E62" s="17">
        <f>22.3945 * CHOOSE(CONTROL!$C$9, $D$9, 100%, $F$9) + CHOOSE(CONTROL!$C$27, 0.0021, 0)</f>
        <v>22.396599999999999</v>
      </c>
      <c r="F62" s="17">
        <f>22.3945 * CHOOSE(CONTROL!$C$9, $D$9, 100%, $F$9) + CHOOSE(CONTROL!$C$27, 0.0021, 0)</f>
        <v>22.396599999999999</v>
      </c>
      <c r="G62" s="17">
        <f>22.6659 * CHOOSE(CONTROL!$C$9, $D$9, 100%, $F$9) + CHOOSE(CONTROL!$C$27, 0.0021, 0)</f>
        <v>22.667999999999999</v>
      </c>
      <c r="H62" s="17">
        <f>22.5312 * CHOOSE(CONTROL!$C$9, $D$9, 100%, $F$9) + CHOOSE(CONTROL!$C$27, 0.0021, 0)</f>
        <v>22.533299999999997</v>
      </c>
      <c r="I62" s="17">
        <f>22.5312 * CHOOSE(CONTROL!$C$9, $D$9, 100%, $F$9) + CHOOSE(CONTROL!$C$27, 0.0021, 0)</f>
        <v>22.533299999999997</v>
      </c>
      <c r="J62" s="17">
        <f>22.5312 * CHOOSE(CONTROL!$C$9, $D$9, 100%, $F$9) + CHOOSE(CONTROL!$C$27, 0.0021, 0)</f>
        <v>22.533299999999997</v>
      </c>
      <c r="K62" s="17">
        <f>22.5312 * CHOOSE(CONTROL!$C$9, $D$9, 100%, $F$9) + CHOOSE(CONTROL!$C$27, 0.0021, 0)</f>
        <v>22.533299999999997</v>
      </c>
      <c r="L62" s="17"/>
    </row>
    <row r="63" spans="1:12" ht="15" x14ac:dyDescent="0.2">
      <c r="A63" s="16">
        <v>42826</v>
      </c>
      <c r="B63" s="17">
        <f>22.7052 * CHOOSE(CONTROL!$C$9, $D$9, 100%, $F$9) + CHOOSE(CONTROL!$C$27, 0.0021, 0)</f>
        <v>22.7073</v>
      </c>
      <c r="C63" s="17">
        <f>22.2729 * CHOOSE(CONTROL!$C$9, $D$9, 100%, $F$9) + CHOOSE(CONTROL!$C$27, 0.0021, 0)</f>
        <v>22.274999999999999</v>
      </c>
      <c r="D63" s="17">
        <f>22.2729 * CHOOSE(CONTROL!$C$9, $D$9, 100%, $F$9) + CHOOSE(CONTROL!$C$27, 0.0021, 0)</f>
        <v>22.274999999999999</v>
      </c>
      <c r="E63" s="17">
        <f>22.1363 * CHOOSE(CONTROL!$C$9, $D$9, 100%, $F$9) + CHOOSE(CONTROL!$C$27, 0.0021, 0)</f>
        <v>22.138399999999997</v>
      </c>
      <c r="F63" s="17">
        <f>22.1363 * CHOOSE(CONTROL!$C$9, $D$9, 100%, $F$9) + CHOOSE(CONTROL!$C$27, 0.0021, 0)</f>
        <v>22.138399999999997</v>
      </c>
      <c r="G63" s="17">
        <f>22.4077 * CHOOSE(CONTROL!$C$9, $D$9, 100%, $F$9) + CHOOSE(CONTROL!$C$27, 0.0021, 0)</f>
        <v>22.409799999999997</v>
      </c>
      <c r="H63" s="17">
        <f>22.2729 * CHOOSE(CONTROL!$C$9, $D$9, 100%, $F$9) + CHOOSE(CONTROL!$C$27, 0.0021, 0)</f>
        <v>22.274999999999999</v>
      </c>
      <c r="I63" s="17">
        <f>22.2729 * CHOOSE(CONTROL!$C$9, $D$9, 100%, $F$9) + CHOOSE(CONTROL!$C$27, 0.0021, 0)</f>
        <v>22.274999999999999</v>
      </c>
      <c r="J63" s="17">
        <f>22.2729 * CHOOSE(CONTROL!$C$9, $D$9, 100%, $F$9) + CHOOSE(CONTROL!$C$27, 0.0021, 0)</f>
        <v>22.274999999999999</v>
      </c>
      <c r="K63" s="17">
        <f>22.2729 * CHOOSE(CONTROL!$C$9, $D$9, 100%, $F$9) + CHOOSE(CONTROL!$C$27, 0.0021, 0)</f>
        <v>22.274999999999999</v>
      </c>
      <c r="L63" s="17"/>
    </row>
    <row r="64" spans="1:12" ht="15" x14ac:dyDescent="0.2">
      <c r="A64" s="16">
        <v>42856</v>
      </c>
      <c r="B64" s="17">
        <f>23.1768 * CHOOSE(CONTROL!$C$9, $D$9, 100%, $F$9) + CHOOSE(CONTROL!$C$27, 0.0021, 0)</f>
        <v>23.178899999999999</v>
      </c>
      <c r="C64" s="17">
        <f>22.7445 * CHOOSE(CONTROL!$C$9, $D$9, 100%, $F$9) + CHOOSE(CONTROL!$C$27, 0.0021, 0)</f>
        <v>22.746599999999997</v>
      </c>
      <c r="D64" s="17">
        <f>22.7445 * CHOOSE(CONTROL!$C$9, $D$9, 100%, $F$9) + CHOOSE(CONTROL!$C$27, 0.0021, 0)</f>
        <v>22.746599999999997</v>
      </c>
      <c r="E64" s="17">
        <f>22.6079 * CHOOSE(CONTROL!$C$9, $D$9, 100%, $F$9) + CHOOSE(CONTROL!$C$27, 0.0021, 0)</f>
        <v>22.61</v>
      </c>
      <c r="F64" s="17">
        <f>22.6079 * CHOOSE(CONTROL!$C$9, $D$9, 100%, $F$9) + CHOOSE(CONTROL!$C$27, 0.0021, 0)</f>
        <v>22.61</v>
      </c>
      <c r="G64" s="17">
        <f>22.8793 * CHOOSE(CONTROL!$C$9, $D$9, 100%, $F$9) + CHOOSE(CONTROL!$C$27, 0.0021, 0)</f>
        <v>22.881399999999999</v>
      </c>
      <c r="H64" s="17">
        <f>22.7445 * CHOOSE(CONTROL!$C$9, $D$9, 100%, $F$9) + CHOOSE(CONTROL!$C$27, 0.0021, 0)</f>
        <v>22.746599999999997</v>
      </c>
      <c r="I64" s="17">
        <f>22.7445 * CHOOSE(CONTROL!$C$9, $D$9, 100%, $F$9) + CHOOSE(CONTROL!$C$27, 0.0021, 0)</f>
        <v>22.746599999999997</v>
      </c>
      <c r="J64" s="17">
        <f>22.7445 * CHOOSE(CONTROL!$C$9, $D$9, 100%, $F$9) + CHOOSE(CONTROL!$C$27, 0.0021, 0)</f>
        <v>22.746599999999997</v>
      </c>
      <c r="K64" s="17">
        <f>22.7445 * CHOOSE(CONTROL!$C$9, $D$9, 100%, $F$9) + CHOOSE(CONTROL!$C$27, 0.0021, 0)</f>
        <v>22.746599999999997</v>
      </c>
      <c r="L64" s="17"/>
    </row>
    <row r="65" spans="1:12" ht="15" x14ac:dyDescent="0.2">
      <c r="A65" s="16">
        <v>42887</v>
      </c>
      <c r="B65" s="17">
        <f>23.4776 * CHOOSE(CONTROL!$C$9, $D$9, 100%, $F$9) + CHOOSE(CONTROL!$C$27, 0.0021, 0)</f>
        <v>23.479699999999998</v>
      </c>
      <c r="C65" s="17">
        <f>23.0454 * CHOOSE(CONTROL!$C$9, $D$9, 100%, $F$9) + CHOOSE(CONTROL!$C$27, 0.0021, 0)</f>
        <v>23.047499999999999</v>
      </c>
      <c r="D65" s="17">
        <f>23.0454 * CHOOSE(CONTROL!$C$9, $D$9, 100%, $F$9) + CHOOSE(CONTROL!$C$27, 0.0021, 0)</f>
        <v>23.047499999999999</v>
      </c>
      <c r="E65" s="17">
        <f>22.9087 * CHOOSE(CONTROL!$C$9, $D$9, 100%, $F$9) + CHOOSE(CONTROL!$C$27, 0.0021, 0)</f>
        <v>22.910799999999998</v>
      </c>
      <c r="F65" s="17">
        <f>22.9087 * CHOOSE(CONTROL!$C$9, $D$9, 100%, $F$9) + CHOOSE(CONTROL!$C$27, 0.0021, 0)</f>
        <v>22.910799999999998</v>
      </c>
      <c r="G65" s="17">
        <f>23.1801 * CHOOSE(CONTROL!$C$9, $D$9, 100%, $F$9) + CHOOSE(CONTROL!$C$27, 0.0021, 0)</f>
        <v>23.182199999999998</v>
      </c>
      <c r="H65" s="17">
        <f>23.0454 * CHOOSE(CONTROL!$C$9, $D$9, 100%, $F$9) + CHOOSE(CONTROL!$C$27, 0.0021, 0)</f>
        <v>23.047499999999999</v>
      </c>
      <c r="I65" s="17">
        <f>23.0454 * CHOOSE(CONTROL!$C$9, $D$9, 100%, $F$9) + CHOOSE(CONTROL!$C$27, 0.0021, 0)</f>
        <v>23.047499999999999</v>
      </c>
      <c r="J65" s="17">
        <f>23.0454 * CHOOSE(CONTROL!$C$9, $D$9, 100%, $F$9) + CHOOSE(CONTROL!$C$27, 0.0021, 0)</f>
        <v>23.047499999999999</v>
      </c>
      <c r="K65" s="17">
        <f>23.0454 * CHOOSE(CONTROL!$C$9, $D$9, 100%, $F$9) + CHOOSE(CONTROL!$C$27, 0.0021, 0)</f>
        <v>23.047499999999999</v>
      </c>
      <c r="L65" s="17"/>
    </row>
    <row r="66" spans="1:12" ht="15" x14ac:dyDescent="0.2">
      <c r="A66" s="16">
        <v>42917</v>
      </c>
      <c r="B66" s="17">
        <f>23.9475 * CHOOSE(CONTROL!$C$9, $D$9, 100%, $F$9) + CHOOSE(CONTROL!$C$27, 0.0021, 0)</f>
        <v>23.9496</v>
      </c>
      <c r="C66" s="17">
        <f>23.5152 * CHOOSE(CONTROL!$C$9, $D$9, 100%, $F$9) + CHOOSE(CONTROL!$C$27, 0.0021, 0)</f>
        <v>23.517299999999999</v>
      </c>
      <c r="D66" s="17">
        <f>23.5152 * CHOOSE(CONTROL!$C$9, $D$9, 100%, $F$9) + CHOOSE(CONTROL!$C$27, 0.0021, 0)</f>
        <v>23.517299999999999</v>
      </c>
      <c r="E66" s="17">
        <f>23.3785 * CHOOSE(CONTROL!$C$9, $D$9, 100%, $F$9) + CHOOSE(CONTROL!$C$27, 0.0021, 0)</f>
        <v>23.380599999999998</v>
      </c>
      <c r="F66" s="17">
        <f>23.3785 * CHOOSE(CONTROL!$C$9, $D$9, 100%, $F$9) + CHOOSE(CONTROL!$C$27, 0.0021, 0)</f>
        <v>23.380599999999998</v>
      </c>
      <c r="G66" s="17">
        <f>23.6499 * CHOOSE(CONTROL!$C$9, $D$9, 100%, $F$9) + CHOOSE(CONTROL!$C$27, 0.0021, 0)</f>
        <v>23.651999999999997</v>
      </c>
      <c r="H66" s="17">
        <f>23.5152 * CHOOSE(CONTROL!$C$9, $D$9, 100%, $F$9) + CHOOSE(CONTROL!$C$27, 0.0021, 0)</f>
        <v>23.517299999999999</v>
      </c>
      <c r="I66" s="17">
        <f>23.5152 * CHOOSE(CONTROL!$C$9, $D$9, 100%, $F$9) + CHOOSE(CONTROL!$C$27, 0.0021, 0)</f>
        <v>23.517299999999999</v>
      </c>
      <c r="J66" s="17">
        <f>23.5152 * CHOOSE(CONTROL!$C$9, $D$9, 100%, $F$9) + CHOOSE(CONTROL!$C$27, 0.0021, 0)</f>
        <v>23.517299999999999</v>
      </c>
      <c r="K66" s="17">
        <f>23.5152 * CHOOSE(CONTROL!$C$9, $D$9, 100%, $F$9) + CHOOSE(CONTROL!$C$27, 0.0021, 0)</f>
        <v>23.517299999999999</v>
      </c>
      <c r="L66" s="17"/>
    </row>
    <row r="67" spans="1:12" ht="15" x14ac:dyDescent="0.2">
      <c r="A67" s="16">
        <v>42948</v>
      </c>
      <c r="B67" s="17">
        <f>24.1224 * CHOOSE(CONTROL!$C$9, $D$9, 100%, $F$9) + CHOOSE(CONTROL!$C$27, 0.0021, 0)</f>
        <v>24.124499999999998</v>
      </c>
      <c r="C67" s="17">
        <f>23.6902 * CHOOSE(CONTROL!$C$9, $D$9, 100%, $F$9) + CHOOSE(CONTROL!$C$27, 0.0021, 0)</f>
        <v>23.692299999999999</v>
      </c>
      <c r="D67" s="17">
        <f>23.6902 * CHOOSE(CONTROL!$C$9, $D$9, 100%, $F$9) + CHOOSE(CONTROL!$C$27, 0.0021, 0)</f>
        <v>23.692299999999999</v>
      </c>
      <c r="E67" s="17">
        <f>23.5535 * CHOOSE(CONTROL!$C$9, $D$9, 100%, $F$9) + CHOOSE(CONTROL!$C$27, 0.0021, 0)</f>
        <v>23.555599999999998</v>
      </c>
      <c r="F67" s="17">
        <f>23.5535 * CHOOSE(CONTROL!$C$9, $D$9, 100%, $F$9) + CHOOSE(CONTROL!$C$27, 0.0021, 0)</f>
        <v>23.555599999999998</v>
      </c>
      <c r="G67" s="17">
        <f>23.8249 * CHOOSE(CONTROL!$C$9, $D$9, 100%, $F$9) + CHOOSE(CONTROL!$C$27, 0.0021, 0)</f>
        <v>23.826999999999998</v>
      </c>
      <c r="H67" s="17">
        <f>23.6902 * CHOOSE(CONTROL!$C$9, $D$9, 100%, $F$9) + CHOOSE(CONTROL!$C$27, 0.0021, 0)</f>
        <v>23.692299999999999</v>
      </c>
      <c r="I67" s="17">
        <f>23.6902 * CHOOSE(CONTROL!$C$9, $D$9, 100%, $F$9) + CHOOSE(CONTROL!$C$27, 0.0021, 0)</f>
        <v>23.692299999999999</v>
      </c>
      <c r="J67" s="17">
        <f>23.6902 * CHOOSE(CONTROL!$C$9, $D$9, 100%, $F$9) + CHOOSE(CONTROL!$C$27, 0.0021, 0)</f>
        <v>23.692299999999999</v>
      </c>
      <c r="K67" s="17">
        <f>23.6902 * CHOOSE(CONTROL!$C$9, $D$9, 100%, $F$9) + CHOOSE(CONTROL!$C$27, 0.0021, 0)</f>
        <v>23.692299999999999</v>
      </c>
      <c r="L67" s="17"/>
    </row>
    <row r="68" spans="1:12" ht="15" x14ac:dyDescent="0.2">
      <c r="A68" s="16">
        <v>42979</v>
      </c>
      <c r="B68" s="17">
        <f>24.6122 * CHOOSE(CONTROL!$C$9, $D$9, 100%, $F$9) + CHOOSE(CONTROL!$C$27, 0.0021, 0)</f>
        <v>24.6143</v>
      </c>
      <c r="C68" s="17">
        <f>24.18 * CHOOSE(CONTROL!$C$9, $D$9, 100%, $F$9) + CHOOSE(CONTROL!$C$27, 0.0021, 0)</f>
        <v>24.182099999999998</v>
      </c>
      <c r="D68" s="17">
        <f>24.18 * CHOOSE(CONTROL!$C$9, $D$9, 100%, $F$9) + CHOOSE(CONTROL!$C$27, 0.0021, 0)</f>
        <v>24.182099999999998</v>
      </c>
      <c r="E68" s="17">
        <f>24.0433 * CHOOSE(CONTROL!$C$9, $D$9, 100%, $F$9) + CHOOSE(CONTROL!$C$27, 0.0021, 0)</f>
        <v>24.045399999999997</v>
      </c>
      <c r="F68" s="17">
        <f>24.0433 * CHOOSE(CONTROL!$C$9, $D$9, 100%, $F$9) + CHOOSE(CONTROL!$C$27, 0.0021, 0)</f>
        <v>24.045399999999997</v>
      </c>
      <c r="G68" s="17">
        <f>24.3147 * CHOOSE(CONTROL!$C$9, $D$9, 100%, $F$9) + CHOOSE(CONTROL!$C$27, 0.0021, 0)</f>
        <v>24.316799999999997</v>
      </c>
      <c r="H68" s="17">
        <f>24.18 * CHOOSE(CONTROL!$C$9, $D$9, 100%, $F$9) + CHOOSE(CONTROL!$C$27, 0.0021, 0)</f>
        <v>24.182099999999998</v>
      </c>
      <c r="I68" s="17">
        <f>24.18 * CHOOSE(CONTROL!$C$9, $D$9, 100%, $F$9) + CHOOSE(CONTROL!$C$27, 0.0021, 0)</f>
        <v>24.182099999999998</v>
      </c>
      <c r="J68" s="17">
        <f>24.18 * CHOOSE(CONTROL!$C$9, $D$9, 100%, $F$9) + CHOOSE(CONTROL!$C$27, 0.0021, 0)</f>
        <v>24.182099999999998</v>
      </c>
      <c r="K68" s="17">
        <f>24.18 * CHOOSE(CONTROL!$C$9, $D$9, 100%, $F$9) + CHOOSE(CONTROL!$C$27, 0.0021, 0)</f>
        <v>24.182099999999998</v>
      </c>
      <c r="L68" s="17"/>
    </row>
    <row r="69" spans="1:12" ht="15" x14ac:dyDescent="0.2">
      <c r="A69" s="16">
        <v>43009</v>
      </c>
      <c r="B69" s="17">
        <f>25.2224 * CHOOSE(CONTROL!$C$9, $D$9, 100%, $F$9) + CHOOSE(CONTROL!$C$27, 0.0021, 0)</f>
        <v>25.224499999999999</v>
      </c>
      <c r="C69" s="17">
        <f>24.7902 * CHOOSE(CONTROL!$C$9, $D$9, 100%, $F$9) + CHOOSE(CONTROL!$C$27, 0.0021, 0)</f>
        <v>24.792299999999997</v>
      </c>
      <c r="D69" s="17">
        <f>24.7902 * CHOOSE(CONTROL!$C$9, $D$9, 100%, $F$9) + CHOOSE(CONTROL!$C$27, 0.0021, 0)</f>
        <v>24.792299999999997</v>
      </c>
      <c r="E69" s="17">
        <f>24.6535 * CHOOSE(CONTROL!$C$9, $D$9, 100%, $F$9) + CHOOSE(CONTROL!$C$27, 0.0021, 0)</f>
        <v>24.6556</v>
      </c>
      <c r="F69" s="17">
        <f>24.6535 * CHOOSE(CONTROL!$C$9, $D$9, 100%, $F$9) + CHOOSE(CONTROL!$C$27, 0.0021, 0)</f>
        <v>24.6556</v>
      </c>
      <c r="G69" s="17">
        <f>24.9249 * CHOOSE(CONTROL!$C$9, $D$9, 100%, $F$9) + CHOOSE(CONTROL!$C$27, 0.0021, 0)</f>
        <v>24.927</v>
      </c>
      <c r="H69" s="17">
        <f>24.7902 * CHOOSE(CONTROL!$C$9, $D$9, 100%, $F$9) + CHOOSE(CONTROL!$C$27, 0.0021, 0)</f>
        <v>24.792299999999997</v>
      </c>
      <c r="I69" s="17">
        <f>24.7902 * CHOOSE(CONTROL!$C$9, $D$9, 100%, $F$9) + CHOOSE(CONTROL!$C$27, 0.0021, 0)</f>
        <v>24.792299999999997</v>
      </c>
      <c r="J69" s="17">
        <f>24.7902 * CHOOSE(CONTROL!$C$9, $D$9, 100%, $F$9) + CHOOSE(CONTROL!$C$27, 0.0021, 0)</f>
        <v>24.792299999999997</v>
      </c>
      <c r="K69" s="17">
        <f>24.7902 * CHOOSE(CONTROL!$C$9, $D$9, 100%, $F$9) + CHOOSE(CONTROL!$C$27, 0.0021, 0)</f>
        <v>24.792299999999997</v>
      </c>
      <c r="L69" s="17"/>
    </row>
    <row r="70" spans="1:12" ht="15" x14ac:dyDescent="0.2">
      <c r="A70" s="16">
        <v>43040</v>
      </c>
      <c r="B70" s="17">
        <f>25.3227 * CHOOSE(CONTROL!$C$9, $D$9, 100%, $F$9) + CHOOSE(CONTROL!$C$27, 0.0021, 0)</f>
        <v>25.3248</v>
      </c>
      <c r="C70" s="17">
        <f>24.8905 * CHOOSE(CONTROL!$C$9, $D$9, 100%, $F$9) + CHOOSE(CONTROL!$C$27, 0.0021, 0)</f>
        <v>24.892599999999998</v>
      </c>
      <c r="D70" s="17">
        <f>24.8905 * CHOOSE(CONTROL!$C$9, $D$9, 100%, $F$9) + CHOOSE(CONTROL!$C$27, 0.0021, 0)</f>
        <v>24.892599999999998</v>
      </c>
      <c r="E70" s="17">
        <f>24.7538 * CHOOSE(CONTROL!$C$9, $D$9, 100%, $F$9) + CHOOSE(CONTROL!$C$27, 0.0021, 0)</f>
        <v>24.755899999999997</v>
      </c>
      <c r="F70" s="17">
        <f>24.7538 * CHOOSE(CONTROL!$C$9, $D$9, 100%, $F$9) + CHOOSE(CONTROL!$C$27, 0.0021, 0)</f>
        <v>24.755899999999997</v>
      </c>
      <c r="G70" s="17">
        <f>25.0252 * CHOOSE(CONTROL!$C$9, $D$9, 100%, $F$9) + CHOOSE(CONTROL!$C$27, 0.0021, 0)</f>
        <v>25.0273</v>
      </c>
      <c r="H70" s="17">
        <f>24.8905 * CHOOSE(CONTROL!$C$9, $D$9, 100%, $F$9) + CHOOSE(CONTROL!$C$27, 0.0021, 0)</f>
        <v>24.892599999999998</v>
      </c>
      <c r="I70" s="17">
        <f>24.8905 * CHOOSE(CONTROL!$C$9, $D$9, 100%, $F$9) + CHOOSE(CONTROL!$C$27, 0.0021, 0)</f>
        <v>24.892599999999998</v>
      </c>
      <c r="J70" s="17">
        <f>24.8905 * CHOOSE(CONTROL!$C$9, $D$9, 100%, $F$9) + CHOOSE(CONTROL!$C$27, 0.0021, 0)</f>
        <v>24.892599999999998</v>
      </c>
      <c r="K70" s="17">
        <f>24.8905 * CHOOSE(CONTROL!$C$9, $D$9, 100%, $F$9) + CHOOSE(CONTROL!$C$27, 0.0021, 0)</f>
        <v>24.892599999999998</v>
      </c>
      <c r="L70" s="17"/>
    </row>
    <row r="71" spans="1:12" ht="15" x14ac:dyDescent="0.2">
      <c r="A71" s="16">
        <v>43070</v>
      </c>
      <c r="B71" s="17">
        <f>24.9177 * CHOOSE(CONTROL!$C$9, $D$9, 100%, $F$9) + CHOOSE(CONTROL!$C$27, 0.0021, 0)</f>
        <v>24.919799999999999</v>
      </c>
      <c r="C71" s="17">
        <f>24.4854 * CHOOSE(CONTROL!$C$9, $D$9, 100%, $F$9) + CHOOSE(CONTROL!$C$27, 0.0021, 0)</f>
        <v>24.487499999999997</v>
      </c>
      <c r="D71" s="17">
        <f>24.4854 * CHOOSE(CONTROL!$C$9, $D$9, 100%, $F$9) + CHOOSE(CONTROL!$C$27, 0.0021, 0)</f>
        <v>24.487499999999997</v>
      </c>
      <c r="E71" s="17">
        <f>24.3488 * CHOOSE(CONTROL!$C$9, $D$9, 100%, $F$9) + CHOOSE(CONTROL!$C$27, 0.0021, 0)</f>
        <v>24.350899999999999</v>
      </c>
      <c r="F71" s="17">
        <f>24.3488 * CHOOSE(CONTROL!$C$9, $D$9, 100%, $F$9) + CHOOSE(CONTROL!$C$27, 0.0021, 0)</f>
        <v>24.350899999999999</v>
      </c>
      <c r="G71" s="17">
        <f>24.6201 * CHOOSE(CONTROL!$C$9, $D$9, 100%, $F$9) + CHOOSE(CONTROL!$C$27, 0.0021, 0)</f>
        <v>24.622199999999999</v>
      </c>
      <c r="H71" s="17">
        <f>24.4854 * CHOOSE(CONTROL!$C$9, $D$9, 100%, $F$9) + CHOOSE(CONTROL!$C$27, 0.0021, 0)</f>
        <v>24.487499999999997</v>
      </c>
      <c r="I71" s="17">
        <f>24.4854 * CHOOSE(CONTROL!$C$9, $D$9, 100%, $F$9) + CHOOSE(CONTROL!$C$27, 0.0021, 0)</f>
        <v>24.487499999999997</v>
      </c>
      <c r="J71" s="17">
        <f>24.4854 * CHOOSE(CONTROL!$C$9, $D$9, 100%, $F$9) + CHOOSE(CONTROL!$C$27, 0.0021, 0)</f>
        <v>24.487499999999997</v>
      </c>
      <c r="K71" s="17">
        <f>24.4854 * CHOOSE(CONTROL!$C$9, $D$9, 100%, $F$9) + CHOOSE(CONTROL!$C$27, 0.0021, 0)</f>
        <v>24.487499999999997</v>
      </c>
      <c r="L71" s="17"/>
    </row>
    <row r="72" spans="1:12" ht="15" x14ac:dyDescent="0.2">
      <c r="A72" s="16">
        <v>43101</v>
      </c>
      <c r="B72" s="17">
        <f>25.1269 * CHOOSE(CONTROL!$C$9, $D$9, 100%, $F$9) + CHOOSE(CONTROL!$C$27, 0.0021, 0)</f>
        <v>25.128999999999998</v>
      </c>
      <c r="C72" s="17">
        <f>24.6946 * CHOOSE(CONTROL!$C$9, $D$9, 100%, $F$9) + CHOOSE(CONTROL!$C$27, 0.0021, 0)</f>
        <v>24.6967</v>
      </c>
      <c r="D72" s="17">
        <f>24.6946 * CHOOSE(CONTROL!$C$9, $D$9, 100%, $F$9) + CHOOSE(CONTROL!$C$27, 0.0021, 0)</f>
        <v>24.6967</v>
      </c>
      <c r="E72" s="17">
        <f>24.558 * CHOOSE(CONTROL!$C$9, $D$9, 100%, $F$9) + CHOOSE(CONTROL!$C$27, 0.0021, 0)</f>
        <v>24.560099999999998</v>
      </c>
      <c r="F72" s="17">
        <f>24.558 * CHOOSE(CONTROL!$C$9, $D$9, 100%, $F$9) + CHOOSE(CONTROL!$C$27, 0.0021, 0)</f>
        <v>24.560099999999998</v>
      </c>
      <c r="G72" s="17">
        <f>24.8293 * CHOOSE(CONTROL!$C$9, $D$9, 100%, $F$9) + CHOOSE(CONTROL!$C$27, 0.0021, 0)</f>
        <v>24.831399999999999</v>
      </c>
      <c r="H72" s="17">
        <f>24.6946 * CHOOSE(CONTROL!$C$9, $D$9, 100%, $F$9) + CHOOSE(CONTROL!$C$27, 0.0021, 0)</f>
        <v>24.6967</v>
      </c>
      <c r="I72" s="17">
        <f>24.6946 * CHOOSE(CONTROL!$C$9, $D$9, 100%, $F$9) + CHOOSE(CONTROL!$C$27, 0.0021, 0)</f>
        <v>24.6967</v>
      </c>
      <c r="J72" s="17">
        <f>24.6946 * CHOOSE(CONTROL!$C$9, $D$9, 100%, $F$9) + CHOOSE(CONTROL!$C$27, 0.0021, 0)</f>
        <v>24.6967</v>
      </c>
      <c r="K72" s="17">
        <f>24.6946 * CHOOSE(CONTROL!$C$9, $D$9, 100%, $F$9) + CHOOSE(CONTROL!$C$27, 0.0021, 0)</f>
        <v>24.6967</v>
      </c>
      <c r="L72" s="17"/>
    </row>
    <row r="73" spans="1:12" ht="15" x14ac:dyDescent="0.2">
      <c r="A73" s="16">
        <v>43132</v>
      </c>
      <c r="B73" s="17">
        <f>24.5267 * CHOOSE(CONTROL!$C$9, $D$9, 100%, $F$9) + CHOOSE(CONTROL!$C$27, 0.0021, 0)</f>
        <v>24.5288</v>
      </c>
      <c r="C73" s="17">
        <f>24.0944 * CHOOSE(CONTROL!$C$9, $D$9, 100%, $F$9) + CHOOSE(CONTROL!$C$27, 0.0021, 0)</f>
        <v>24.096499999999999</v>
      </c>
      <c r="D73" s="17">
        <f>24.0944 * CHOOSE(CONTROL!$C$9, $D$9, 100%, $F$9) + CHOOSE(CONTROL!$C$27, 0.0021, 0)</f>
        <v>24.096499999999999</v>
      </c>
      <c r="E73" s="17">
        <f>23.9578 * CHOOSE(CONTROL!$C$9, $D$9, 100%, $F$9) + CHOOSE(CONTROL!$C$27, 0.0021, 0)</f>
        <v>23.959899999999998</v>
      </c>
      <c r="F73" s="17">
        <f>23.9578 * CHOOSE(CONTROL!$C$9, $D$9, 100%, $F$9) + CHOOSE(CONTROL!$C$27, 0.0021, 0)</f>
        <v>23.959899999999998</v>
      </c>
      <c r="G73" s="17">
        <f>24.2292 * CHOOSE(CONTROL!$C$9, $D$9, 100%, $F$9) + CHOOSE(CONTROL!$C$27, 0.0021, 0)</f>
        <v>24.231299999999997</v>
      </c>
      <c r="H73" s="17">
        <f>24.0944 * CHOOSE(CONTROL!$C$9, $D$9, 100%, $F$9) + CHOOSE(CONTROL!$C$27, 0.0021, 0)</f>
        <v>24.096499999999999</v>
      </c>
      <c r="I73" s="17">
        <f>24.0944 * CHOOSE(CONTROL!$C$9, $D$9, 100%, $F$9) + CHOOSE(CONTROL!$C$27, 0.0021, 0)</f>
        <v>24.096499999999999</v>
      </c>
      <c r="J73" s="17">
        <f>24.0944 * CHOOSE(CONTROL!$C$9, $D$9, 100%, $F$9) + CHOOSE(CONTROL!$C$27, 0.0021, 0)</f>
        <v>24.096499999999999</v>
      </c>
      <c r="K73" s="17">
        <f>24.0944 * CHOOSE(CONTROL!$C$9, $D$9, 100%, $F$9) + CHOOSE(CONTROL!$C$27, 0.0021, 0)</f>
        <v>24.096499999999999</v>
      </c>
      <c r="L73" s="17"/>
    </row>
    <row r="74" spans="1:12" ht="15" x14ac:dyDescent="0.2">
      <c r="A74" s="16">
        <v>43160</v>
      </c>
      <c r="B74" s="17">
        <f>24.3048 * CHOOSE(CONTROL!$C$9, $D$9, 100%, $F$9) + CHOOSE(CONTROL!$C$27, 0.0021, 0)</f>
        <v>24.306899999999999</v>
      </c>
      <c r="C74" s="17">
        <f>23.8725 * CHOOSE(CONTROL!$C$9, $D$9, 100%, $F$9) + CHOOSE(CONTROL!$C$27, 0.0021, 0)</f>
        <v>23.874599999999997</v>
      </c>
      <c r="D74" s="17">
        <f>23.8725 * CHOOSE(CONTROL!$C$9, $D$9, 100%, $F$9) + CHOOSE(CONTROL!$C$27, 0.0021, 0)</f>
        <v>23.874599999999997</v>
      </c>
      <c r="E74" s="17">
        <f>23.7359 * CHOOSE(CONTROL!$C$9, $D$9, 100%, $F$9) + CHOOSE(CONTROL!$C$27, 0.0021, 0)</f>
        <v>23.738</v>
      </c>
      <c r="F74" s="17">
        <f>23.7359 * CHOOSE(CONTROL!$C$9, $D$9, 100%, $F$9) + CHOOSE(CONTROL!$C$27, 0.0021, 0)</f>
        <v>23.738</v>
      </c>
      <c r="G74" s="17">
        <f>24.0072 * CHOOSE(CONTROL!$C$9, $D$9, 100%, $F$9) + CHOOSE(CONTROL!$C$27, 0.0021, 0)</f>
        <v>24.0093</v>
      </c>
      <c r="H74" s="17">
        <f>23.8725 * CHOOSE(CONTROL!$C$9, $D$9, 100%, $F$9) + CHOOSE(CONTROL!$C$27, 0.0021, 0)</f>
        <v>23.874599999999997</v>
      </c>
      <c r="I74" s="17">
        <f>23.8725 * CHOOSE(CONTROL!$C$9, $D$9, 100%, $F$9) + CHOOSE(CONTROL!$C$27, 0.0021, 0)</f>
        <v>23.874599999999997</v>
      </c>
      <c r="J74" s="17">
        <f>23.8725 * CHOOSE(CONTROL!$C$9, $D$9, 100%, $F$9) + CHOOSE(CONTROL!$C$27, 0.0021, 0)</f>
        <v>23.874599999999997</v>
      </c>
      <c r="K74" s="17">
        <f>23.8725 * CHOOSE(CONTROL!$C$9, $D$9, 100%, $F$9) + CHOOSE(CONTROL!$C$27, 0.0021, 0)</f>
        <v>23.874599999999997</v>
      </c>
      <c r="L74" s="17"/>
    </row>
    <row r="75" spans="1:12" ht="15" x14ac:dyDescent="0.2">
      <c r="A75" s="16">
        <v>43191</v>
      </c>
      <c r="B75" s="17">
        <f>24.0298 * CHOOSE(CONTROL!$C$9, $D$9, 100%, $F$9) + CHOOSE(CONTROL!$C$27, 0.0021, 0)</f>
        <v>24.0319</v>
      </c>
      <c r="C75" s="17">
        <f>23.5975 * CHOOSE(CONTROL!$C$9, $D$9, 100%, $F$9) + CHOOSE(CONTROL!$C$27, 0.0021, 0)</f>
        <v>23.599599999999999</v>
      </c>
      <c r="D75" s="17">
        <f>23.5975 * CHOOSE(CONTROL!$C$9, $D$9, 100%, $F$9) + CHOOSE(CONTROL!$C$27, 0.0021, 0)</f>
        <v>23.599599999999999</v>
      </c>
      <c r="E75" s="17">
        <f>23.4609 * CHOOSE(CONTROL!$C$9, $D$9, 100%, $F$9) + CHOOSE(CONTROL!$C$27, 0.0021, 0)</f>
        <v>23.462999999999997</v>
      </c>
      <c r="F75" s="17">
        <f>23.4609 * CHOOSE(CONTROL!$C$9, $D$9, 100%, $F$9) + CHOOSE(CONTROL!$C$27, 0.0021, 0)</f>
        <v>23.462999999999997</v>
      </c>
      <c r="G75" s="17">
        <f>23.7323 * CHOOSE(CONTROL!$C$9, $D$9, 100%, $F$9) + CHOOSE(CONTROL!$C$27, 0.0021, 0)</f>
        <v>23.734399999999997</v>
      </c>
      <c r="H75" s="17">
        <f>23.5975 * CHOOSE(CONTROL!$C$9, $D$9, 100%, $F$9) + CHOOSE(CONTROL!$C$27, 0.0021, 0)</f>
        <v>23.599599999999999</v>
      </c>
      <c r="I75" s="17">
        <f>23.5975 * CHOOSE(CONTROL!$C$9, $D$9, 100%, $F$9) + CHOOSE(CONTROL!$C$27, 0.0021, 0)</f>
        <v>23.599599999999999</v>
      </c>
      <c r="J75" s="17">
        <f>23.5975 * CHOOSE(CONTROL!$C$9, $D$9, 100%, $F$9) + CHOOSE(CONTROL!$C$27, 0.0021, 0)</f>
        <v>23.599599999999999</v>
      </c>
      <c r="K75" s="17">
        <f>23.5975 * CHOOSE(CONTROL!$C$9, $D$9, 100%, $F$9) + CHOOSE(CONTROL!$C$27, 0.0021, 0)</f>
        <v>23.599599999999999</v>
      </c>
      <c r="L75" s="17"/>
    </row>
    <row r="76" spans="1:12" ht="15" x14ac:dyDescent="0.2">
      <c r="A76" s="16">
        <v>43221</v>
      </c>
      <c r="B76" s="17">
        <f>24.532 * CHOOSE(CONTROL!$C$9, $D$9, 100%, $F$9) + CHOOSE(CONTROL!$C$27, 0.0021, 0)</f>
        <v>24.534099999999999</v>
      </c>
      <c r="C76" s="17">
        <f>24.0998 * CHOOSE(CONTROL!$C$9, $D$9, 100%, $F$9) + CHOOSE(CONTROL!$C$27, 0.0021, 0)</f>
        <v>24.101899999999997</v>
      </c>
      <c r="D76" s="17">
        <f>24.0998 * CHOOSE(CONTROL!$C$9, $D$9, 100%, $F$9) + CHOOSE(CONTROL!$C$27, 0.0021, 0)</f>
        <v>24.101899999999997</v>
      </c>
      <c r="E76" s="17">
        <f>23.9631 * CHOOSE(CONTROL!$C$9, $D$9, 100%, $F$9) + CHOOSE(CONTROL!$C$27, 0.0021, 0)</f>
        <v>23.965199999999999</v>
      </c>
      <c r="F76" s="17">
        <f>23.9631 * CHOOSE(CONTROL!$C$9, $D$9, 100%, $F$9) + CHOOSE(CONTROL!$C$27, 0.0021, 0)</f>
        <v>23.965199999999999</v>
      </c>
      <c r="G76" s="17">
        <f>24.2345 * CHOOSE(CONTROL!$C$9, $D$9, 100%, $F$9) + CHOOSE(CONTROL!$C$27, 0.0021, 0)</f>
        <v>24.236599999999999</v>
      </c>
      <c r="H76" s="17">
        <f>24.0998 * CHOOSE(CONTROL!$C$9, $D$9, 100%, $F$9) + CHOOSE(CONTROL!$C$27, 0.0021, 0)</f>
        <v>24.101899999999997</v>
      </c>
      <c r="I76" s="17">
        <f>24.0998 * CHOOSE(CONTROL!$C$9, $D$9, 100%, $F$9) + CHOOSE(CONTROL!$C$27, 0.0021, 0)</f>
        <v>24.101899999999997</v>
      </c>
      <c r="J76" s="17">
        <f>24.0998 * CHOOSE(CONTROL!$C$9, $D$9, 100%, $F$9) + CHOOSE(CONTROL!$C$27, 0.0021, 0)</f>
        <v>24.101899999999997</v>
      </c>
      <c r="K76" s="17">
        <f>24.0998 * CHOOSE(CONTROL!$C$9, $D$9, 100%, $F$9) + CHOOSE(CONTROL!$C$27, 0.0021, 0)</f>
        <v>24.101899999999997</v>
      </c>
      <c r="L76" s="17"/>
    </row>
    <row r="77" spans="1:12" ht="15" x14ac:dyDescent="0.2">
      <c r="A77" s="16">
        <v>43252</v>
      </c>
      <c r="B77" s="17">
        <f>24.8524 * CHOOSE(CONTROL!$C$9, $D$9, 100%, $F$9) + CHOOSE(CONTROL!$C$27, 0.0021, 0)</f>
        <v>24.854499999999998</v>
      </c>
      <c r="C77" s="17">
        <f>24.4201 * CHOOSE(CONTROL!$C$9, $D$9, 100%, $F$9) + CHOOSE(CONTROL!$C$27, 0.0021, 0)</f>
        <v>24.4222</v>
      </c>
      <c r="D77" s="17">
        <f>24.4201 * CHOOSE(CONTROL!$C$9, $D$9, 100%, $F$9) + CHOOSE(CONTROL!$C$27, 0.0021, 0)</f>
        <v>24.4222</v>
      </c>
      <c r="E77" s="17">
        <f>24.2835 * CHOOSE(CONTROL!$C$9, $D$9, 100%, $F$9) + CHOOSE(CONTROL!$C$27, 0.0021, 0)</f>
        <v>24.285599999999999</v>
      </c>
      <c r="F77" s="17">
        <f>24.2835 * CHOOSE(CONTROL!$C$9, $D$9, 100%, $F$9) + CHOOSE(CONTROL!$C$27, 0.0021, 0)</f>
        <v>24.285599999999999</v>
      </c>
      <c r="G77" s="17">
        <f>24.5548 * CHOOSE(CONTROL!$C$9, $D$9, 100%, $F$9) + CHOOSE(CONTROL!$C$27, 0.0021, 0)</f>
        <v>24.556899999999999</v>
      </c>
      <c r="H77" s="17">
        <f>24.4201 * CHOOSE(CONTROL!$C$9, $D$9, 100%, $F$9) + CHOOSE(CONTROL!$C$27, 0.0021, 0)</f>
        <v>24.4222</v>
      </c>
      <c r="I77" s="17">
        <f>24.4201 * CHOOSE(CONTROL!$C$9, $D$9, 100%, $F$9) + CHOOSE(CONTROL!$C$27, 0.0021, 0)</f>
        <v>24.4222</v>
      </c>
      <c r="J77" s="17">
        <f>24.4201 * CHOOSE(CONTROL!$C$9, $D$9, 100%, $F$9) + CHOOSE(CONTROL!$C$27, 0.0021, 0)</f>
        <v>24.4222</v>
      </c>
      <c r="K77" s="17">
        <f>24.4201 * CHOOSE(CONTROL!$C$9, $D$9, 100%, $F$9) + CHOOSE(CONTROL!$C$27, 0.0021, 0)</f>
        <v>24.4222</v>
      </c>
      <c r="L77" s="17"/>
    </row>
    <row r="78" spans="1:12" ht="15" x14ac:dyDescent="0.2">
      <c r="A78" s="16">
        <v>43282</v>
      </c>
      <c r="B78" s="17">
        <f>25.3527 * CHOOSE(CONTROL!$C$9, $D$9, 100%, $F$9) + CHOOSE(CONTROL!$C$27, 0.0021, 0)</f>
        <v>25.354799999999997</v>
      </c>
      <c r="C78" s="17">
        <f>24.9204 * CHOOSE(CONTROL!$C$9, $D$9, 100%, $F$9) + CHOOSE(CONTROL!$C$27, 0.0021, 0)</f>
        <v>24.922499999999999</v>
      </c>
      <c r="D78" s="17">
        <f>24.9204 * CHOOSE(CONTROL!$C$9, $D$9, 100%, $F$9) + CHOOSE(CONTROL!$C$27, 0.0021, 0)</f>
        <v>24.922499999999999</v>
      </c>
      <c r="E78" s="17">
        <f>24.7838 * CHOOSE(CONTROL!$C$9, $D$9, 100%, $F$9) + CHOOSE(CONTROL!$C$27, 0.0021, 0)</f>
        <v>24.785899999999998</v>
      </c>
      <c r="F78" s="17">
        <f>24.7838 * CHOOSE(CONTROL!$C$9, $D$9, 100%, $F$9) + CHOOSE(CONTROL!$C$27, 0.0021, 0)</f>
        <v>24.785899999999998</v>
      </c>
      <c r="G78" s="17">
        <f>25.0551 * CHOOSE(CONTROL!$C$9, $D$9, 100%, $F$9) + CHOOSE(CONTROL!$C$27, 0.0021, 0)</f>
        <v>25.057199999999998</v>
      </c>
      <c r="H78" s="17">
        <f>24.9204 * CHOOSE(CONTROL!$C$9, $D$9, 100%, $F$9) + CHOOSE(CONTROL!$C$27, 0.0021, 0)</f>
        <v>24.922499999999999</v>
      </c>
      <c r="I78" s="17">
        <f>24.9204 * CHOOSE(CONTROL!$C$9, $D$9, 100%, $F$9) + CHOOSE(CONTROL!$C$27, 0.0021, 0)</f>
        <v>24.922499999999999</v>
      </c>
      <c r="J78" s="17">
        <f>24.9204 * CHOOSE(CONTROL!$C$9, $D$9, 100%, $F$9) + CHOOSE(CONTROL!$C$27, 0.0021, 0)</f>
        <v>24.922499999999999</v>
      </c>
      <c r="K78" s="17">
        <f>24.9204 * CHOOSE(CONTROL!$C$9, $D$9, 100%, $F$9) + CHOOSE(CONTROL!$C$27, 0.0021, 0)</f>
        <v>24.922499999999999</v>
      </c>
      <c r="L78" s="17"/>
    </row>
    <row r="79" spans="1:12" ht="15" x14ac:dyDescent="0.2">
      <c r="A79" s="16">
        <v>43313</v>
      </c>
      <c r="B79" s="17">
        <f>25.539 * CHOOSE(CONTROL!$C$9, $D$9, 100%, $F$9) + CHOOSE(CONTROL!$C$27, 0.0021, 0)</f>
        <v>25.5411</v>
      </c>
      <c r="C79" s="17">
        <f>25.1067 * CHOOSE(CONTROL!$C$9, $D$9, 100%, $F$9) + CHOOSE(CONTROL!$C$27, 0.0021, 0)</f>
        <v>25.108799999999999</v>
      </c>
      <c r="D79" s="17">
        <f>25.1067 * CHOOSE(CONTROL!$C$9, $D$9, 100%, $F$9) + CHOOSE(CONTROL!$C$27, 0.0021, 0)</f>
        <v>25.108799999999999</v>
      </c>
      <c r="E79" s="17">
        <f>24.9701 * CHOOSE(CONTROL!$C$9, $D$9, 100%, $F$9) + CHOOSE(CONTROL!$C$27, 0.0021, 0)</f>
        <v>24.972199999999997</v>
      </c>
      <c r="F79" s="17">
        <f>24.9701 * CHOOSE(CONTROL!$C$9, $D$9, 100%, $F$9) + CHOOSE(CONTROL!$C$27, 0.0021, 0)</f>
        <v>24.972199999999997</v>
      </c>
      <c r="G79" s="17">
        <f>25.2415 * CHOOSE(CONTROL!$C$9, $D$9, 100%, $F$9) + CHOOSE(CONTROL!$C$27, 0.0021, 0)</f>
        <v>25.243599999999997</v>
      </c>
      <c r="H79" s="17">
        <f>25.1067 * CHOOSE(CONTROL!$C$9, $D$9, 100%, $F$9) + CHOOSE(CONTROL!$C$27, 0.0021, 0)</f>
        <v>25.108799999999999</v>
      </c>
      <c r="I79" s="17">
        <f>25.1067 * CHOOSE(CONTROL!$C$9, $D$9, 100%, $F$9) + CHOOSE(CONTROL!$C$27, 0.0021, 0)</f>
        <v>25.108799999999999</v>
      </c>
      <c r="J79" s="17">
        <f>25.1067 * CHOOSE(CONTROL!$C$9, $D$9, 100%, $F$9) + CHOOSE(CONTROL!$C$27, 0.0021, 0)</f>
        <v>25.108799999999999</v>
      </c>
      <c r="K79" s="17">
        <f>25.1067 * CHOOSE(CONTROL!$C$9, $D$9, 100%, $F$9) + CHOOSE(CONTROL!$C$27, 0.0021, 0)</f>
        <v>25.108799999999999</v>
      </c>
      <c r="L79" s="17"/>
    </row>
    <row r="80" spans="1:12" ht="15" x14ac:dyDescent="0.2">
      <c r="A80" s="16">
        <v>43344</v>
      </c>
      <c r="B80" s="17">
        <f>26.0606 * CHOOSE(CONTROL!$C$9, $D$9, 100%, $F$9) + CHOOSE(CONTROL!$C$27, 0.0021, 0)</f>
        <v>26.0627</v>
      </c>
      <c r="C80" s="17">
        <f>25.6283 * CHOOSE(CONTROL!$C$9, $D$9, 100%, $F$9) + CHOOSE(CONTROL!$C$27, 0.0021, 0)</f>
        <v>25.630399999999998</v>
      </c>
      <c r="D80" s="17">
        <f>25.6283 * CHOOSE(CONTROL!$C$9, $D$9, 100%, $F$9) + CHOOSE(CONTROL!$C$27, 0.0021, 0)</f>
        <v>25.630399999999998</v>
      </c>
      <c r="E80" s="17">
        <f>25.4917 * CHOOSE(CONTROL!$C$9, $D$9, 100%, $F$9) + CHOOSE(CONTROL!$C$27, 0.0021, 0)</f>
        <v>25.4938</v>
      </c>
      <c r="F80" s="17">
        <f>25.4917 * CHOOSE(CONTROL!$C$9, $D$9, 100%, $F$9) + CHOOSE(CONTROL!$C$27, 0.0021, 0)</f>
        <v>25.4938</v>
      </c>
      <c r="G80" s="17">
        <f>25.763 * CHOOSE(CONTROL!$C$9, $D$9, 100%, $F$9) + CHOOSE(CONTROL!$C$27, 0.0021, 0)</f>
        <v>25.7651</v>
      </c>
      <c r="H80" s="17">
        <f>25.6283 * CHOOSE(CONTROL!$C$9, $D$9, 100%, $F$9) + CHOOSE(CONTROL!$C$27, 0.0021, 0)</f>
        <v>25.630399999999998</v>
      </c>
      <c r="I80" s="17">
        <f>25.6283 * CHOOSE(CONTROL!$C$9, $D$9, 100%, $F$9) + CHOOSE(CONTROL!$C$27, 0.0021, 0)</f>
        <v>25.630399999999998</v>
      </c>
      <c r="J80" s="17">
        <f>25.6283 * CHOOSE(CONTROL!$C$9, $D$9, 100%, $F$9) + CHOOSE(CONTROL!$C$27, 0.0021, 0)</f>
        <v>25.630399999999998</v>
      </c>
      <c r="K80" s="17">
        <f>25.6283 * CHOOSE(CONTROL!$C$9, $D$9, 100%, $F$9) + CHOOSE(CONTROL!$C$27, 0.0021, 0)</f>
        <v>25.630399999999998</v>
      </c>
      <c r="L80" s="17"/>
    </row>
    <row r="81" spans="1:12" ht="15" x14ac:dyDescent="0.2">
      <c r="A81" s="16">
        <v>43374</v>
      </c>
      <c r="B81" s="17">
        <f>26.7104 * CHOOSE(CONTROL!$C$9, $D$9, 100%, $F$9) + CHOOSE(CONTROL!$C$27, 0.0021, 0)</f>
        <v>26.712499999999999</v>
      </c>
      <c r="C81" s="17">
        <f>26.2781 * CHOOSE(CONTROL!$C$9, $D$9, 100%, $F$9) + CHOOSE(CONTROL!$C$27, 0.0021, 0)</f>
        <v>26.280199999999997</v>
      </c>
      <c r="D81" s="17">
        <f>26.2781 * CHOOSE(CONTROL!$C$9, $D$9, 100%, $F$9) + CHOOSE(CONTROL!$C$27, 0.0021, 0)</f>
        <v>26.280199999999997</v>
      </c>
      <c r="E81" s="17">
        <f>26.1415 * CHOOSE(CONTROL!$C$9, $D$9, 100%, $F$9) + CHOOSE(CONTROL!$C$27, 0.0021, 0)</f>
        <v>26.143599999999999</v>
      </c>
      <c r="F81" s="17">
        <f>26.1415 * CHOOSE(CONTROL!$C$9, $D$9, 100%, $F$9) + CHOOSE(CONTROL!$C$27, 0.0021, 0)</f>
        <v>26.143599999999999</v>
      </c>
      <c r="G81" s="17">
        <f>26.4128 * CHOOSE(CONTROL!$C$9, $D$9, 100%, $F$9) + CHOOSE(CONTROL!$C$27, 0.0021, 0)</f>
        <v>26.414899999999999</v>
      </c>
      <c r="H81" s="17">
        <f>26.2781 * CHOOSE(CONTROL!$C$9, $D$9, 100%, $F$9) + CHOOSE(CONTROL!$C$27, 0.0021, 0)</f>
        <v>26.280199999999997</v>
      </c>
      <c r="I81" s="17">
        <f>26.2781 * CHOOSE(CONTROL!$C$9, $D$9, 100%, $F$9) + CHOOSE(CONTROL!$C$27, 0.0021, 0)</f>
        <v>26.280199999999997</v>
      </c>
      <c r="J81" s="17">
        <f>26.2781 * CHOOSE(CONTROL!$C$9, $D$9, 100%, $F$9) + CHOOSE(CONTROL!$C$27, 0.0021, 0)</f>
        <v>26.280199999999997</v>
      </c>
      <c r="K81" s="17">
        <f>26.2781 * CHOOSE(CONTROL!$C$9, $D$9, 100%, $F$9) + CHOOSE(CONTROL!$C$27, 0.0021, 0)</f>
        <v>26.280199999999997</v>
      </c>
      <c r="L81" s="17"/>
    </row>
    <row r="82" spans="1:12" ht="15" x14ac:dyDescent="0.2">
      <c r="A82" s="16">
        <v>43405</v>
      </c>
      <c r="B82" s="17">
        <f>26.8172 * CHOOSE(CONTROL!$C$9, $D$9, 100%, $F$9) + CHOOSE(CONTROL!$C$27, 0.0021, 0)</f>
        <v>26.819299999999998</v>
      </c>
      <c r="C82" s="17">
        <f>26.3849 * CHOOSE(CONTROL!$C$9, $D$9, 100%, $F$9) + CHOOSE(CONTROL!$C$27, 0.0021, 0)</f>
        <v>26.386999999999997</v>
      </c>
      <c r="D82" s="17">
        <f>26.3849 * CHOOSE(CONTROL!$C$9, $D$9, 100%, $F$9) + CHOOSE(CONTROL!$C$27, 0.0021, 0)</f>
        <v>26.386999999999997</v>
      </c>
      <c r="E82" s="17">
        <f>26.2483 * CHOOSE(CONTROL!$C$9, $D$9, 100%, $F$9) + CHOOSE(CONTROL!$C$27, 0.0021, 0)</f>
        <v>26.250399999999999</v>
      </c>
      <c r="F82" s="17">
        <f>26.2483 * CHOOSE(CONTROL!$C$9, $D$9, 100%, $F$9) + CHOOSE(CONTROL!$C$27, 0.0021, 0)</f>
        <v>26.250399999999999</v>
      </c>
      <c r="G82" s="17">
        <f>26.5197 * CHOOSE(CONTROL!$C$9, $D$9, 100%, $F$9) + CHOOSE(CONTROL!$C$27, 0.0021, 0)</f>
        <v>26.521799999999999</v>
      </c>
      <c r="H82" s="17">
        <f>26.3849 * CHOOSE(CONTROL!$C$9, $D$9, 100%, $F$9) + CHOOSE(CONTROL!$C$27, 0.0021, 0)</f>
        <v>26.386999999999997</v>
      </c>
      <c r="I82" s="17">
        <f>26.3849 * CHOOSE(CONTROL!$C$9, $D$9, 100%, $F$9) + CHOOSE(CONTROL!$C$27, 0.0021, 0)</f>
        <v>26.386999999999997</v>
      </c>
      <c r="J82" s="17">
        <f>26.3849 * CHOOSE(CONTROL!$C$9, $D$9, 100%, $F$9) + CHOOSE(CONTROL!$C$27, 0.0021, 0)</f>
        <v>26.386999999999997</v>
      </c>
      <c r="K82" s="17">
        <f>26.3849 * CHOOSE(CONTROL!$C$9, $D$9, 100%, $F$9) + CHOOSE(CONTROL!$C$27, 0.0021, 0)</f>
        <v>26.386999999999997</v>
      </c>
      <c r="L82" s="17"/>
    </row>
    <row r="83" spans="1:12" ht="15" x14ac:dyDescent="0.2">
      <c r="A83" s="16">
        <v>43435</v>
      </c>
      <c r="B83" s="17">
        <f>26.3858 * CHOOSE(CONTROL!$C$9, $D$9, 100%, $F$9) + CHOOSE(CONTROL!$C$27, 0.0021, 0)</f>
        <v>26.387899999999998</v>
      </c>
      <c r="C83" s="17">
        <f>25.9536 * CHOOSE(CONTROL!$C$9, $D$9, 100%, $F$9) + CHOOSE(CONTROL!$C$27, 0.0021, 0)</f>
        <v>25.9557</v>
      </c>
      <c r="D83" s="17">
        <f>25.9536 * CHOOSE(CONTROL!$C$9, $D$9, 100%, $F$9) + CHOOSE(CONTROL!$C$27, 0.0021, 0)</f>
        <v>25.9557</v>
      </c>
      <c r="E83" s="17">
        <f>25.8169 * CHOOSE(CONTROL!$C$9, $D$9, 100%, $F$9) + CHOOSE(CONTROL!$C$27, 0.0021, 0)</f>
        <v>25.818999999999999</v>
      </c>
      <c r="F83" s="17">
        <f>25.8169 * CHOOSE(CONTROL!$C$9, $D$9, 100%, $F$9) + CHOOSE(CONTROL!$C$27, 0.0021, 0)</f>
        <v>25.818999999999999</v>
      </c>
      <c r="G83" s="17">
        <f>26.0883 * CHOOSE(CONTROL!$C$9, $D$9, 100%, $F$9) + CHOOSE(CONTROL!$C$27, 0.0021, 0)</f>
        <v>26.090399999999999</v>
      </c>
      <c r="H83" s="17">
        <f>25.9536 * CHOOSE(CONTROL!$C$9, $D$9, 100%, $F$9) + CHOOSE(CONTROL!$C$27, 0.0021, 0)</f>
        <v>25.9557</v>
      </c>
      <c r="I83" s="17">
        <f>25.9536 * CHOOSE(CONTROL!$C$9, $D$9, 100%, $F$9) + CHOOSE(CONTROL!$C$27, 0.0021, 0)</f>
        <v>25.9557</v>
      </c>
      <c r="J83" s="17">
        <f>25.9536 * CHOOSE(CONTROL!$C$9, $D$9, 100%, $F$9) + CHOOSE(CONTROL!$C$27, 0.0021, 0)</f>
        <v>25.9557</v>
      </c>
      <c r="K83" s="17">
        <f>25.9536 * CHOOSE(CONTROL!$C$9, $D$9, 100%, $F$9) + CHOOSE(CONTROL!$C$27, 0.0021, 0)</f>
        <v>25.9557</v>
      </c>
      <c r="L83" s="17"/>
    </row>
    <row r="84" spans="1:12" ht="15" x14ac:dyDescent="0.2">
      <c r="A84" s="16">
        <v>43466</v>
      </c>
      <c r="B84" s="17">
        <f>25.7543 * CHOOSE(CONTROL!$C$9, $D$9, 100%, $F$9) + CHOOSE(CONTROL!$C$27, 0.0021, 0)</f>
        <v>25.756399999999999</v>
      </c>
      <c r="C84" s="17">
        <f>25.3221 * CHOOSE(CONTROL!$C$9, $D$9, 100%, $F$9) + CHOOSE(CONTROL!$C$27, 0.0021, 0)</f>
        <v>25.324199999999998</v>
      </c>
      <c r="D84" s="17">
        <f>25.3221 * CHOOSE(CONTROL!$C$9, $D$9, 100%, $F$9) + CHOOSE(CONTROL!$C$27, 0.0021, 0)</f>
        <v>25.324199999999998</v>
      </c>
      <c r="E84" s="17">
        <f>25.1854 * CHOOSE(CONTROL!$C$9, $D$9, 100%, $F$9) + CHOOSE(CONTROL!$C$27, 0.0021, 0)</f>
        <v>25.1875</v>
      </c>
      <c r="F84" s="17">
        <f>25.1854 * CHOOSE(CONTROL!$C$9, $D$9, 100%, $F$9) + CHOOSE(CONTROL!$C$27, 0.0021, 0)</f>
        <v>25.1875</v>
      </c>
      <c r="G84" s="17">
        <f>25.4568 * CHOOSE(CONTROL!$C$9, $D$9, 100%, $F$9) + CHOOSE(CONTROL!$C$27, 0.0021, 0)</f>
        <v>25.4589</v>
      </c>
      <c r="H84" s="17">
        <f>25.3221 * CHOOSE(CONTROL!$C$9, $D$9, 100%, $F$9) + CHOOSE(CONTROL!$C$27, 0.0021, 0)</f>
        <v>25.324199999999998</v>
      </c>
      <c r="I84" s="17">
        <f>25.3221 * CHOOSE(CONTROL!$C$9, $D$9, 100%, $F$9) + CHOOSE(CONTROL!$C$27, 0.0021, 0)</f>
        <v>25.324199999999998</v>
      </c>
      <c r="J84" s="17">
        <f>25.3221 * CHOOSE(CONTROL!$C$9, $D$9, 100%, $F$9) + CHOOSE(CONTROL!$C$27, 0.0021, 0)</f>
        <v>25.324199999999998</v>
      </c>
      <c r="K84" s="17">
        <f>25.3221 * CHOOSE(CONTROL!$C$9, $D$9, 100%, $F$9) + CHOOSE(CONTROL!$C$27, 0.0021, 0)</f>
        <v>25.324199999999998</v>
      </c>
      <c r="L84" s="17"/>
    </row>
    <row r="85" spans="1:12" ht="15" x14ac:dyDescent="0.2">
      <c r="A85" s="16">
        <v>43497</v>
      </c>
      <c r="B85" s="17">
        <f>25.1376 * CHOOSE(CONTROL!$C$9, $D$9, 100%, $F$9) + CHOOSE(CONTROL!$C$27, 0.0021, 0)</f>
        <v>25.139699999999998</v>
      </c>
      <c r="C85" s="17">
        <f>24.7054 * CHOOSE(CONTROL!$C$9, $D$9, 100%, $F$9) + CHOOSE(CONTROL!$C$27, 0.0021, 0)</f>
        <v>24.7075</v>
      </c>
      <c r="D85" s="17">
        <f>24.7054 * CHOOSE(CONTROL!$C$9, $D$9, 100%, $F$9) + CHOOSE(CONTROL!$C$27, 0.0021, 0)</f>
        <v>24.7075</v>
      </c>
      <c r="E85" s="17">
        <f>24.5687 * CHOOSE(CONTROL!$C$9, $D$9, 100%, $F$9) + CHOOSE(CONTROL!$C$27, 0.0021, 0)</f>
        <v>24.570799999999998</v>
      </c>
      <c r="F85" s="17">
        <f>24.5687 * CHOOSE(CONTROL!$C$9, $D$9, 100%, $F$9) + CHOOSE(CONTROL!$C$27, 0.0021, 0)</f>
        <v>24.570799999999998</v>
      </c>
      <c r="G85" s="17">
        <f>24.8401 * CHOOSE(CONTROL!$C$9, $D$9, 100%, $F$9) + CHOOSE(CONTROL!$C$27, 0.0021, 0)</f>
        <v>24.842199999999998</v>
      </c>
      <c r="H85" s="17">
        <f>24.7054 * CHOOSE(CONTROL!$C$9, $D$9, 100%, $F$9) + CHOOSE(CONTROL!$C$27, 0.0021, 0)</f>
        <v>24.7075</v>
      </c>
      <c r="I85" s="17">
        <f>24.7054 * CHOOSE(CONTROL!$C$9, $D$9, 100%, $F$9) + CHOOSE(CONTROL!$C$27, 0.0021, 0)</f>
        <v>24.7075</v>
      </c>
      <c r="J85" s="17">
        <f>24.7054 * CHOOSE(CONTROL!$C$9, $D$9, 100%, $F$9) + CHOOSE(CONTROL!$C$27, 0.0021, 0)</f>
        <v>24.7075</v>
      </c>
      <c r="K85" s="17">
        <f>24.7054 * CHOOSE(CONTROL!$C$9, $D$9, 100%, $F$9) + CHOOSE(CONTROL!$C$27, 0.0021, 0)</f>
        <v>24.7075</v>
      </c>
      <c r="L85" s="17"/>
    </row>
    <row r="86" spans="1:12" ht="15" x14ac:dyDescent="0.2">
      <c r="A86" s="16">
        <v>43525</v>
      </c>
      <c r="B86" s="17">
        <f>24.9096 * CHOOSE(CONTROL!$C$9, $D$9, 100%, $F$9) + CHOOSE(CONTROL!$C$27, 0.0021, 0)</f>
        <v>24.9117</v>
      </c>
      <c r="C86" s="17">
        <f>24.4774 * CHOOSE(CONTROL!$C$9, $D$9, 100%, $F$9) + CHOOSE(CONTROL!$C$27, 0.0021, 0)</f>
        <v>24.479499999999998</v>
      </c>
      <c r="D86" s="17">
        <f>24.4774 * CHOOSE(CONTROL!$C$9, $D$9, 100%, $F$9) + CHOOSE(CONTROL!$C$27, 0.0021, 0)</f>
        <v>24.479499999999998</v>
      </c>
      <c r="E86" s="17">
        <f>24.3407 * CHOOSE(CONTROL!$C$9, $D$9, 100%, $F$9) + CHOOSE(CONTROL!$C$27, 0.0021, 0)</f>
        <v>24.342799999999997</v>
      </c>
      <c r="F86" s="17">
        <f>24.3407 * CHOOSE(CONTROL!$C$9, $D$9, 100%, $F$9) + CHOOSE(CONTROL!$C$27, 0.0021, 0)</f>
        <v>24.342799999999997</v>
      </c>
      <c r="G86" s="17">
        <f>24.6121 * CHOOSE(CONTROL!$C$9, $D$9, 100%, $F$9) + CHOOSE(CONTROL!$C$27, 0.0021, 0)</f>
        <v>24.6142</v>
      </c>
      <c r="H86" s="17">
        <f>24.4774 * CHOOSE(CONTROL!$C$9, $D$9, 100%, $F$9) + CHOOSE(CONTROL!$C$27, 0.0021, 0)</f>
        <v>24.479499999999998</v>
      </c>
      <c r="I86" s="17">
        <f>24.4774 * CHOOSE(CONTROL!$C$9, $D$9, 100%, $F$9) + CHOOSE(CONTROL!$C$27, 0.0021, 0)</f>
        <v>24.479499999999998</v>
      </c>
      <c r="J86" s="17">
        <f>24.4774 * CHOOSE(CONTROL!$C$9, $D$9, 100%, $F$9) + CHOOSE(CONTROL!$C$27, 0.0021, 0)</f>
        <v>24.479499999999998</v>
      </c>
      <c r="K86" s="17">
        <f>24.4774 * CHOOSE(CONTROL!$C$9, $D$9, 100%, $F$9) + CHOOSE(CONTROL!$C$27, 0.0021, 0)</f>
        <v>24.479499999999998</v>
      </c>
      <c r="L86" s="17"/>
    </row>
    <row r="87" spans="1:12" ht="15" x14ac:dyDescent="0.2">
      <c r="A87" s="16">
        <v>43556</v>
      </c>
      <c r="B87" s="17">
        <f>24.6271 * CHOOSE(CONTROL!$C$9, $D$9, 100%, $F$9) + CHOOSE(CONTROL!$C$27, 0.0021, 0)</f>
        <v>24.629199999999997</v>
      </c>
      <c r="C87" s="17">
        <f>24.1948 * CHOOSE(CONTROL!$C$9, $D$9, 100%, $F$9) + CHOOSE(CONTROL!$C$27, 0.0021, 0)</f>
        <v>24.196899999999999</v>
      </c>
      <c r="D87" s="17">
        <f>24.1948 * CHOOSE(CONTROL!$C$9, $D$9, 100%, $F$9) + CHOOSE(CONTROL!$C$27, 0.0021, 0)</f>
        <v>24.196899999999999</v>
      </c>
      <c r="E87" s="17">
        <f>24.0582 * CHOOSE(CONTROL!$C$9, $D$9, 100%, $F$9) + CHOOSE(CONTROL!$C$27, 0.0021, 0)</f>
        <v>24.060299999999998</v>
      </c>
      <c r="F87" s="17">
        <f>24.0582 * CHOOSE(CONTROL!$C$9, $D$9, 100%, $F$9) + CHOOSE(CONTROL!$C$27, 0.0021, 0)</f>
        <v>24.060299999999998</v>
      </c>
      <c r="G87" s="17">
        <f>24.3296 * CHOOSE(CONTROL!$C$9, $D$9, 100%, $F$9) + CHOOSE(CONTROL!$C$27, 0.0021, 0)</f>
        <v>24.331699999999998</v>
      </c>
      <c r="H87" s="17">
        <f>24.1948 * CHOOSE(CONTROL!$C$9, $D$9, 100%, $F$9) + CHOOSE(CONTROL!$C$27, 0.0021, 0)</f>
        <v>24.196899999999999</v>
      </c>
      <c r="I87" s="17">
        <f>24.1948 * CHOOSE(CONTROL!$C$9, $D$9, 100%, $F$9) + CHOOSE(CONTROL!$C$27, 0.0021, 0)</f>
        <v>24.196899999999999</v>
      </c>
      <c r="J87" s="17">
        <f>24.1948 * CHOOSE(CONTROL!$C$9, $D$9, 100%, $F$9) + CHOOSE(CONTROL!$C$27, 0.0021, 0)</f>
        <v>24.196899999999999</v>
      </c>
      <c r="K87" s="17">
        <f>24.1948 * CHOOSE(CONTROL!$C$9, $D$9, 100%, $F$9) + CHOOSE(CONTROL!$C$27, 0.0021, 0)</f>
        <v>24.196899999999999</v>
      </c>
      <c r="L87" s="17"/>
    </row>
    <row r="88" spans="1:12" ht="15" x14ac:dyDescent="0.2">
      <c r="A88" s="16">
        <v>43586</v>
      </c>
      <c r="B88" s="17">
        <f>25.1431 * CHOOSE(CONTROL!$C$9, $D$9, 100%, $F$9) + CHOOSE(CONTROL!$C$27, 0.0021, 0)</f>
        <v>25.145199999999999</v>
      </c>
      <c r="C88" s="17">
        <f>24.7109 * CHOOSE(CONTROL!$C$9, $D$9, 100%, $F$9) + CHOOSE(CONTROL!$C$27, 0.0021, 0)</f>
        <v>24.712999999999997</v>
      </c>
      <c r="D88" s="17">
        <f>24.7109 * CHOOSE(CONTROL!$C$9, $D$9, 100%, $F$9) + CHOOSE(CONTROL!$C$27, 0.0021, 0)</f>
        <v>24.712999999999997</v>
      </c>
      <c r="E88" s="17">
        <f>24.5742 * CHOOSE(CONTROL!$C$9, $D$9, 100%, $F$9) + CHOOSE(CONTROL!$C$27, 0.0021, 0)</f>
        <v>24.5763</v>
      </c>
      <c r="F88" s="17">
        <f>24.5742 * CHOOSE(CONTROL!$C$9, $D$9, 100%, $F$9) + CHOOSE(CONTROL!$C$27, 0.0021, 0)</f>
        <v>24.5763</v>
      </c>
      <c r="G88" s="17">
        <f>24.8456 * CHOOSE(CONTROL!$C$9, $D$9, 100%, $F$9) + CHOOSE(CONTROL!$C$27, 0.0021, 0)</f>
        <v>24.8477</v>
      </c>
      <c r="H88" s="17">
        <f>24.7109 * CHOOSE(CONTROL!$C$9, $D$9, 100%, $F$9) + CHOOSE(CONTROL!$C$27, 0.0021, 0)</f>
        <v>24.712999999999997</v>
      </c>
      <c r="I88" s="17">
        <f>24.7109 * CHOOSE(CONTROL!$C$9, $D$9, 100%, $F$9) + CHOOSE(CONTROL!$C$27, 0.0021, 0)</f>
        <v>24.712999999999997</v>
      </c>
      <c r="J88" s="17">
        <f>24.7109 * CHOOSE(CONTROL!$C$9, $D$9, 100%, $F$9) + CHOOSE(CONTROL!$C$27, 0.0021, 0)</f>
        <v>24.712999999999997</v>
      </c>
      <c r="K88" s="17">
        <f>24.7109 * CHOOSE(CONTROL!$C$9, $D$9, 100%, $F$9) + CHOOSE(CONTROL!$C$27, 0.0021, 0)</f>
        <v>24.712999999999997</v>
      </c>
      <c r="L88" s="17"/>
    </row>
    <row r="89" spans="1:12" ht="15" x14ac:dyDescent="0.2">
      <c r="A89" s="16">
        <v>43617</v>
      </c>
      <c r="B89" s="17">
        <f>25.4723 * CHOOSE(CONTROL!$C$9, $D$9, 100%, $F$9) + CHOOSE(CONTROL!$C$27, 0.0021, 0)</f>
        <v>25.474399999999999</v>
      </c>
      <c r="C89" s="17">
        <f>25.04 * CHOOSE(CONTROL!$C$9, $D$9, 100%, $F$9) + CHOOSE(CONTROL!$C$27, 0.0021, 0)</f>
        <v>25.042099999999998</v>
      </c>
      <c r="D89" s="17">
        <f>25.04 * CHOOSE(CONTROL!$C$9, $D$9, 100%, $F$9) + CHOOSE(CONTROL!$C$27, 0.0021, 0)</f>
        <v>25.042099999999998</v>
      </c>
      <c r="E89" s="17">
        <f>24.9034 * CHOOSE(CONTROL!$C$9, $D$9, 100%, $F$9) + CHOOSE(CONTROL!$C$27, 0.0021, 0)</f>
        <v>24.9055</v>
      </c>
      <c r="F89" s="17">
        <f>24.9034 * CHOOSE(CONTROL!$C$9, $D$9, 100%, $F$9) + CHOOSE(CONTROL!$C$27, 0.0021, 0)</f>
        <v>24.9055</v>
      </c>
      <c r="G89" s="17">
        <f>25.1747 * CHOOSE(CONTROL!$C$9, $D$9, 100%, $F$9) + CHOOSE(CONTROL!$C$27, 0.0021, 0)</f>
        <v>25.1768</v>
      </c>
      <c r="H89" s="17">
        <f>25.04 * CHOOSE(CONTROL!$C$9, $D$9, 100%, $F$9) + CHOOSE(CONTROL!$C$27, 0.0021, 0)</f>
        <v>25.042099999999998</v>
      </c>
      <c r="I89" s="17">
        <f>25.04 * CHOOSE(CONTROL!$C$9, $D$9, 100%, $F$9) + CHOOSE(CONTROL!$C$27, 0.0021, 0)</f>
        <v>25.042099999999998</v>
      </c>
      <c r="J89" s="17">
        <f>25.04 * CHOOSE(CONTROL!$C$9, $D$9, 100%, $F$9) + CHOOSE(CONTROL!$C$27, 0.0021, 0)</f>
        <v>25.042099999999998</v>
      </c>
      <c r="K89" s="17">
        <f>25.04 * CHOOSE(CONTROL!$C$9, $D$9, 100%, $F$9) + CHOOSE(CONTROL!$C$27, 0.0021, 0)</f>
        <v>25.042099999999998</v>
      </c>
      <c r="L89" s="17"/>
    </row>
    <row r="90" spans="1:12" ht="15" x14ac:dyDescent="0.2">
      <c r="A90" s="16">
        <v>43647</v>
      </c>
      <c r="B90" s="17">
        <f>25.9863 * CHOOSE(CONTROL!$C$9, $D$9, 100%, $F$9) + CHOOSE(CONTROL!$C$27, 0.0021, 0)</f>
        <v>25.988399999999999</v>
      </c>
      <c r="C90" s="17">
        <f>25.5541 * CHOOSE(CONTROL!$C$9, $D$9, 100%, $F$9) + CHOOSE(CONTROL!$C$27, 0.0021, 0)</f>
        <v>25.556199999999997</v>
      </c>
      <c r="D90" s="17">
        <f>25.5541 * CHOOSE(CONTROL!$C$9, $D$9, 100%, $F$9) + CHOOSE(CONTROL!$C$27, 0.0021, 0)</f>
        <v>25.556199999999997</v>
      </c>
      <c r="E90" s="17">
        <f>25.4174 * CHOOSE(CONTROL!$C$9, $D$9, 100%, $F$9) + CHOOSE(CONTROL!$C$27, 0.0021, 0)</f>
        <v>25.419499999999999</v>
      </c>
      <c r="F90" s="17">
        <f>25.4174 * CHOOSE(CONTROL!$C$9, $D$9, 100%, $F$9) + CHOOSE(CONTROL!$C$27, 0.0021, 0)</f>
        <v>25.419499999999999</v>
      </c>
      <c r="G90" s="17">
        <f>25.6888 * CHOOSE(CONTROL!$C$9, $D$9, 100%, $F$9) + CHOOSE(CONTROL!$C$27, 0.0021, 0)</f>
        <v>25.690899999999999</v>
      </c>
      <c r="H90" s="17">
        <f>25.5541 * CHOOSE(CONTROL!$C$9, $D$9, 100%, $F$9) + CHOOSE(CONTROL!$C$27, 0.0021, 0)</f>
        <v>25.556199999999997</v>
      </c>
      <c r="I90" s="17">
        <f>25.5541 * CHOOSE(CONTROL!$C$9, $D$9, 100%, $F$9) + CHOOSE(CONTROL!$C$27, 0.0021, 0)</f>
        <v>25.556199999999997</v>
      </c>
      <c r="J90" s="17">
        <f>25.5541 * CHOOSE(CONTROL!$C$9, $D$9, 100%, $F$9) + CHOOSE(CONTROL!$C$27, 0.0021, 0)</f>
        <v>25.556199999999997</v>
      </c>
      <c r="K90" s="17">
        <f>25.5541 * CHOOSE(CONTROL!$C$9, $D$9, 100%, $F$9) + CHOOSE(CONTROL!$C$27, 0.0021, 0)</f>
        <v>25.556199999999997</v>
      </c>
      <c r="L90" s="17"/>
    </row>
    <row r="91" spans="1:12" ht="15" x14ac:dyDescent="0.2">
      <c r="A91" s="16">
        <v>43678</v>
      </c>
      <c r="B91" s="17">
        <f>26.1777 * CHOOSE(CONTROL!$C$9, $D$9, 100%, $F$9) + CHOOSE(CONTROL!$C$27, 0.0021, 0)</f>
        <v>26.1798</v>
      </c>
      <c r="C91" s="17">
        <f>25.7455 * CHOOSE(CONTROL!$C$9, $D$9, 100%, $F$9) + CHOOSE(CONTROL!$C$27, 0.0021, 0)</f>
        <v>25.747599999999998</v>
      </c>
      <c r="D91" s="17">
        <f>25.7455 * CHOOSE(CONTROL!$C$9, $D$9, 100%, $F$9) + CHOOSE(CONTROL!$C$27, 0.0021, 0)</f>
        <v>25.747599999999998</v>
      </c>
      <c r="E91" s="17">
        <f>25.6088 * CHOOSE(CONTROL!$C$9, $D$9, 100%, $F$9) + CHOOSE(CONTROL!$C$27, 0.0021, 0)</f>
        <v>25.610899999999997</v>
      </c>
      <c r="F91" s="17">
        <f>25.6088 * CHOOSE(CONTROL!$C$9, $D$9, 100%, $F$9) + CHOOSE(CONTROL!$C$27, 0.0021, 0)</f>
        <v>25.610899999999997</v>
      </c>
      <c r="G91" s="17">
        <f>25.8802 * CHOOSE(CONTROL!$C$9, $D$9, 100%, $F$9) + CHOOSE(CONTROL!$C$27, 0.0021, 0)</f>
        <v>25.882299999999997</v>
      </c>
      <c r="H91" s="17">
        <f>25.7455 * CHOOSE(CONTROL!$C$9, $D$9, 100%, $F$9) + CHOOSE(CONTROL!$C$27, 0.0021, 0)</f>
        <v>25.747599999999998</v>
      </c>
      <c r="I91" s="17">
        <f>25.7455 * CHOOSE(CONTROL!$C$9, $D$9, 100%, $F$9) + CHOOSE(CONTROL!$C$27, 0.0021, 0)</f>
        <v>25.747599999999998</v>
      </c>
      <c r="J91" s="17">
        <f>25.7455 * CHOOSE(CONTROL!$C$9, $D$9, 100%, $F$9) + CHOOSE(CONTROL!$C$27, 0.0021, 0)</f>
        <v>25.747599999999998</v>
      </c>
      <c r="K91" s="17">
        <f>25.7455 * CHOOSE(CONTROL!$C$9, $D$9, 100%, $F$9) + CHOOSE(CONTROL!$C$27, 0.0021, 0)</f>
        <v>25.747599999999998</v>
      </c>
      <c r="L91" s="17"/>
    </row>
    <row r="92" spans="1:12" ht="15" x14ac:dyDescent="0.2">
      <c r="A92" s="16">
        <v>43709</v>
      </c>
      <c r="B92" s="17">
        <f>26.7137 * CHOOSE(CONTROL!$C$9, $D$9, 100%, $F$9) + CHOOSE(CONTROL!$C$27, 0.0021, 0)</f>
        <v>26.715799999999998</v>
      </c>
      <c r="C92" s="17">
        <f>26.2814 * CHOOSE(CONTROL!$C$9, $D$9, 100%, $F$9) + CHOOSE(CONTROL!$C$27, 0.0021, 0)</f>
        <v>26.2835</v>
      </c>
      <c r="D92" s="17">
        <f>26.2814 * CHOOSE(CONTROL!$C$9, $D$9, 100%, $F$9) + CHOOSE(CONTROL!$C$27, 0.0021, 0)</f>
        <v>26.2835</v>
      </c>
      <c r="E92" s="17">
        <f>26.1448 * CHOOSE(CONTROL!$C$9, $D$9, 100%, $F$9) + CHOOSE(CONTROL!$C$27, 0.0021, 0)</f>
        <v>26.146899999999999</v>
      </c>
      <c r="F92" s="17">
        <f>26.1448 * CHOOSE(CONTROL!$C$9, $D$9, 100%, $F$9) + CHOOSE(CONTROL!$C$27, 0.0021, 0)</f>
        <v>26.146899999999999</v>
      </c>
      <c r="G92" s="17">
        <f>26.4161 * CHOOSE(CONTROL!$C$9, $D$9, 100%, $F$9) + CHOOSE(CONTROL!$C$27, 0.0021, 0)</f>
        <v>26.418199999999999</v>
      </c>
      <c r="H92" s="17">
        <f>26.2814 * CHOOSE(CONTROL!$C$9, $D$9, 100%, $F$9) + CHOOSE(CONTROL!$C$27, 0.0021, 0)</f>
        <v>26.2835</v>
      </c>
      <c r="I92" s="17">
        <f>26.2814 * CHOOSE(CONTROL!$C$9, $D$9, 100%, $F$9) + CHOOSE(CONTROL!$C$27, 0.0021, 0)</f>
        <v>26.2835</v>
      </c>
      <c r="J92" s="17">
        <f>26.2814 * CHOOSE(CONTROL!$C$9, $D$9, 100%, $F$9) + CHOOSE(CONTROL!$C$27, 0.0021, 0)</f>
        <v>26.2835</v>
      </c>
      <c r="K92" s="17">
        <f>26.2814 * CHOOSE(CONTROL!$C$9, $D$9, 100%, $F$9) + CHOOSE(CONTROL!$C$27, 0.0021, 0)</f>
        <v>26.2835</v>
      </c>
      <c r="L92" s="17"/>
    </row>
    <row r="93" spans="1:12" ht="15" x14ac:dyDescent="0.2">
      <c r="A93" s="16">
        <v>43739</v>
      </c>
      <c r="B93" s="17">
        <f>27.3813 * CHOOSE(CONTROL!$C$9, $D$9, 100%, $F$9) + CHOOSE(CONTROL!$C$27, 0.0021, 0)</f>
        <v>27.383399999999998</v>
      </c>
      <c r="C93" s="17">
        <f>26.9491 * CHOOSE(CONTROL!$C$9, $D$9, 100%, $F$9) + CHOOSE(CONTROL!$C$27, 0.0021, 0)</f>
        <v>26.9512</v>
      </c>
      <c r="D93" s="17">
        <f>26.9491 * CHOOSE(CONTROL!$C$9, $D$9, 100%, $F$9) + CHOOSE(CONTROL!$C$27, 0.0021, 0)</f>
        <v>26.9512</v>
      </c>
      <c r="E93" s="17">
        <f>26.8124 * CHOOSE(CONTROL!$C$9, $D$9, 100%, $F$9) + CHOOSE(CONTROL!$C$27, 0.0021, 0)</f>
        <v>26.814499999999999</v>
      </c>
      <c r="F93" s="17">
        <f>26.8124 * CHOOSE(CONTROL!$C$9, $D$9, 100%, $F$9) + CHOOSE(CONTROL!$C$27, 0.0021, 0)</f>
        <v>26.814499999999999</v>
      </c>
      <c r="G93" s="17">
        <f>27.0838 * CHOOSE(CONTROL!$C$9, $D$9, 100%, $F$9) + CHOOSE(CONTROL!$C$27, 0.0021, 0)</f>
        <v>27.085899999999999</v>
      </c>
      <c r="H93" s="17">
        <f>26.9491 * CHOOSE(CONTROL!$C$9, $D$9, 100%, $F$9) + CHOOSE(CONTROL!$C$27, 0.0021, 0)</f>
        <v>26.9512</v>
      </c>
      <c r="I93" s="17">
        <f>26.9491 * CHOOSE(CONTROL!$C$9, $D$9, 100%, $F$9) + CHOOSE(CONTROL!$C$27, 0.0021, 0)</f>
        <v>26.9512</v>
      </c>
      <c r="J93" s="17">
        <f>26.9491 * CHOOSE(CONTROL!$C$9, $D$9, 100%, $F$9) + CHOOSE(CONTROL!$C$27, 0.0021, 0)</f>
        <v>26.9512</v>
      </c>
      <c r="K93" s="17">
        <f>26.9491 * CHOOSE(CONTROL!$C$9, $D$9, 100%, $F$9) + CHOOSE(CONTROL!$C$27, 0.0021, 0)</f>
        <v>26.9512</v>
      </c>
      <c r="L93" s="17"/>
    </row>
    <row r="94" spans="1:12" ht="15" x14ac:dyDescent="0.2">
      <c r="A94" s="16">
        <v>43770</v>
      </c>
      <c r="B94" s="17">
        <f>27.4911 * CHOOSE(CONTROL!$C$9, $D$9, 100%, $F$9) + CHOOSE(CONTROL!$C$27, 0.0021, 0)</f>
        <v>27.493199999999998</v>
      </c>
      <c r="C94" s="17">
        <f>27.0588 * CHOOSE(CONTROL!$C$9, $D$9, 100%, $F$9) + CHOOSE(CONTROL!$C$27, 0.0021, 0)</f>
        <v>27.0609</v>
      </c>
      <c r="D94" s="17">
        <f>27.0588 * CHOOSE(CONTROL!$C$9, $D$9, 100%, $F$9) + CHOOSE(CONTROL!$C$27, 0.0021, 0)</f>
        <v>27.0609</v>
      </c>
      <c r="E94" s="17">
        <f>26.9222 * CHOOSE(CONTROL!$C$9, $D$9, 100%, $F$9) + CHOOSE(CONTROL!$C$27, 0.0021, 0)</f>
        <v>26.924299999999999</v>
      </c>
      <c r="F94" s="17">
        <f>26.9222 * CHOOSE(CONTROL!$C$9, $D$9, 100%, $F$9) + CHOOSE(CONTROL!$C$27, 0.0021, 0)</f>
        <v>26.924299999999999</v>
      </c>
      <c r="G94" s="17">
        <f>27.1935 * CHOOSE(CONTROL!$C$9, $D$9, 100%, $F$9) + CHOOSE(CONTROL!$C$27, 0.0021, 0)</f>
        <v>27.195599999999999</v>
      </c>
      <c r="H94" s="17">
        <f>27.0588 * CHOOSE(CONTROL!$C$9, $D$9, 100%, $F$9) + CHOOSE(CONTROL!$C$27, 0.0021, 0)</f>
        <v>27.0609</v>
      </c>
      <c r="I94" s="17">
        <f>27.0588 * CHOOSE(CONTROL!$C$9, $D$9, 100%, $F$9) + CHOOSE(CONTROL!$C$27, 0.0021, 0)</f>
        <v>27.0609</v>
      </c>
      <c r="J94" s="17">
        <f>27.0588 * CHOOSE(CONTROL!$C$9, $D$9, 100%, $F$9) + CHOOSE(CONTROL!$C$27, 0.0021, 0)</f>
        <v>27.0609</v>
      </c>
      <c r="K94" s="17">
        <f>27.0588 * CHOOSE(CONTROL!$C$9, $D$9, 100%, $F$9) + CHOOSE(CONTROL!$C$27, 0.0021, 0)</f>
        <v>27.0609</v>
      </c>
      <c r="L94" s="17"/>
    </row>
    <row r="95" spans="1:12" ht="15" x14ac:dyDescent="0.2">
      <c r="A95" s="16">
        <v>43800</v>
      </c>
      <c r="B95" s="17">
        <f>27.0479 * CHOOSE(CONTROL!$C$9, $D$9, 100%, $F$9) + CHOOSE(CONTROL!$C$27, 0.0021, 0)</f>
        <v>27.049999999999997</v>
      </c>
      <c r="C95" s="17">
        <f>26.6156 * CHOOSE(CONTROL!$C$9, $D$9, 100%, $F$9) + CHOOSE(CONTROL!$C$27, 0.0021, 0)</f>
        <v>26.617699999999999</v>
      </c>
      <c r="D95" s="17">
        <f>26.6156 * CHOOSE(CONTROL!$C$9, $D$9, 100%, $F$9) + CHOOSE(CONTROL!$C$27, 0.0021, 0)</f>
        <v>26.617699999999999</v>
      </c>
      <c r="E95" s="17">
        <f>26.479 * CHOOSE(CONTROL!$C$9, $D$9, 100%, $F$9) + CHOOSE(CONTROL!$C$27, 0.0021, 0)</f>
        <v>26.481099999999998</v>
      </c>
      <c r="F95" s="17">
        <f>26.479 * CHOOSE(CONTROL!$C$9, $D$9, 100%, $F$9) + CHOOSE(CONTROL!$C$27, 0.0021, 0)</f>
        <v>26.481099999999998</v>
      </c>
      <c r="G95" s="17">
        <f>26.7503 * CHOOSE(CONTROL!$C$9, $D$9, 100%, $F$9) + CHOOSE(CONTROL!$C$27, 0.0021, 0)</f>
        <v>26.752399999999998</v>
      </c>
      <c r="H95" s="17">
        <f>26.6156 * CHOOSE(CONTROL!$C$9, $D$9, 100%, $F$9) + CHOOSE(CONTROL!$C$27, 0.0021, 0)</f>
        <v>26.617699999999999</v>
      </c>
      <c r="I95" s="17">
        <f>26.6156 * CHOOSE(CONTROL!$C$9, $D$9, 100%, $F$9) + CHOOSE(CONTROL!$C$27, 0.0021, 0)</f>
        <v>26.617699999999999</v>
      </c>
      <c r="J95" s="17">
        <f>26.6156 * CHOOSE(CONTROL!$C$9, $D$9, 100%, $F$9) + CHOOSE(CONTROL!$C$27, 0.0021, 0)</f>
        <v>26.617699999999999</v>
      </c>
      <c r="K95" s="17">
        <f>26.6156 * CHOOSE(CONTROL!$C$9, $D$9, 100%, $F$9) + CHOOSE(CONTROL!$C$27, 0.0021, 0)</f>
        <v>26.617699999999999</v>
      </c>
      <c r="L95" s="17"/>
    </row>
    <row r="96" spans="1:12" ht="15" x14ac:dyDescent="0.2">
      <c r="A96" s="16">
        <v>43831</v>
      </c>
      <c r="B96" s="17">
        <f>26.5345 * CHOOSE(CONTROL!$C$9, $D$9, 100%, $F$9) + CHOOSE(CONTROL!$C$27, 0.0021, 0)</f>
        <v>26.5366</v>
      </c>
      <c r="C96" s="17">
        <f>26.1023 * CHOOSE(CONTROL!$C$9, $D$9, 100%, $F$9) + CHOOSE(CONTROL!$C$27, 0.0021, 0)</f>
        <v>26.104399999999998</v>
      </c>
      <c r="D96" s="17">
        <f>26.1023 * CHOOSE(CONTROL!$C$9, $D$9, 100%, $F$9) + CHOOSE(CONTROL!$C$27, 0.0021, 0)</f>
        <v>26.104399999999998</v>
      </c>
      <c r="E96" s="17">
        <f>25.9656 * CHOOSE(CONTROL!$C$9, $D$9, 100%, $F$9) + CHOOSE(CONTROL!$C$27, 0.0021, 0)</f>
        <v>25.967699999999997</v>
      </c>
      <c r="F96" s="17">
        <f>25.9656 * CHOOSE(CONTROL!$C$9, $D$9, 100%, $F$9) + CHOOSE(CONTROL!$C$27, 0.0021, 0)</f>
        <v>25.967699999999997</v>
      </c>
      <c r="G96" s="17">
        <f>26.237 * CHOOSE(CONTROL!$C$9, $D$9, 100%, $F$9) + CHOOSE(CONTROL!$C$27, 0.0021, 0)</f>
        <v>26.239099999999997</v>
      </c>
      <c r="H96" s="17">
        <f>26.1023 * CHOOSE(CONTROL!$C$9, $D$9, 100%, $F$9) + CHOOSE(CONTROL!$C$27, 0.0021, 0)</f>
        <v>26.104399999999998</v>
      </c>
      <c r="I96" s="17">
        <f>26.1023 * CHOOSE(CONTROL!$C$9, $D$9, 100%, $F$9) + CHOOSE(CONTROL!$C$27, 0.0021, 0)</f>
        <v>26.104399999999998</v>
      </c>
      <c r="J96" s="17">
        <f>26.1023 * CHOOSE(CONTROL!$C$9, $D$9, 100%, $F$9) + CHOOSE(CONTROL!$C$27, 0.0021, 0)</f>
        <v>26.104399999999998</v>
      </c>
      <c r="K96" s="17">
        <f>26.1023 * CHOOSE(CONTROL!$C$9, $D$9, 100%, $F$9) + CHOOSE(CONTROL!$C$27, 0.0021, 0)</f>
        <v>26.104399999999998</v>
      </c>
      <c r="L96" s="17"/>
    </row>
    <row r="97" spans="1:12" ht="15" x14ac:dyDescent="0.2">
      <c r="A97" s="16">
        <v>43862</v>
      </c>
      <c r="B97" s="17">
        <f>25.8973 * CHOOSE(CONTROL!$C$9, $D$9, 100%, $F$9) + CHOOSE(CONTROL!$C$27, 0.0021, 0)</f>
        <v>25.8994</v>
      </c>
      <c r="C97" s="17">
        <f>25.4651 * CHOOSE(CONTROL!$C$9, $D$9, 100%, $F$9) + CHOOSE(CONTROL!$C$27, 0.0021, 0)</f>
        <v>25.467199999999998</v>
      </c>
      <c r="D97" s="17">
        <f>25.4651 * CHOOSE(CONTROL!$C$9, $D$9, 100%, $F$9) + CHOOSE(CONTROL!$C$27, 0.0021, 0)</f>
        <v>25.467199999999998</v>
      </c>
      <c r="E97" s="17">
        <f>25.3284 * CHOOSE(CONTROL!$C$9, $D$9, 100%, $F$9) + CHOOSE(CONTROL!$C$27, 0.0021, 0)</f>
        <v>25.330499999999997</v>
      </c>
      <c r="F97" s="17">
        <f>25.3284 * CHOOSE(CONTROL!$C$9, $D$9, 100%, $F$9) + CHOOSE(CONTROL!$C$27, 0.0021, 0)</f>
        <v>25.330499999999997</v>
      </c>
      <c r="G97" s="17">
        <f>25.5998 * CHOOSE(CONTROL!$C$9, $D$9, 100%, $F$9) + CHOOSE(CONTROL!$C$27, 0.0021, 0)</f>
        <v>25.601899999999997</v>
      </c>
      <c r="H97" s="17">
        <f>25.4651 * CHOOSE(CONTROL!$C$9, $D$9, 100%, $F$9) + CHOOSE(CONTROL!$C$27, 0.0021, 0)</f>
        <v>25.467199999999998</v>
      </c>
      <c r="I97" s="17">
        <f>25.4651 * CHOOSE(CONTROL!$C$9, $D$9, 100%, $F$9) + CHOOSE(CONTROL!$C$27, 0.0021, 0)</f>
        <v>25.467199999999998</v>
      </c>
      <c r="J97" s="17">
        <f>25.4651 * CHOOSE(CONTROL!$C$9, $D$9, 100%, $F$9) + CHOOSE(CONTROL!$C$27, 0.0021, 0)</f>
        <v>25.467199999999998</v>
      </c>
      <c r="K97" s="17">
        <f>25.4651 * CHOOSE(CONTROL!$C$9, $D$9, 100%, $F$9) + CHOOSE(CONTROL!$C$27, 0.0021, 0)</f>
        <v>25.467199999999998</v>
      </c>
      <c r="L97" s="17"/>
    </row>
    <row r="98" spans="1:12" ht="15" x14ac:dyDescent="0.2">
      <c r="A98" s="16">
        <v>43891</v>
      </c>
      <c r="B98" s="17">
        <f>25.6617 * CHOOSE(CONTROL!$C$9, $D$9, 100%, $F$9) + CHOOSE(CONTROL!$C$27, 0.0021, 0)</f>
        <v>25.663799999999998</v>
      </c>
      <c r="C98" s="17">
        <f>25.2295 * CHOOSE(CONTROL!$C$9, $D$9, 100%, $F$9) + CHOOSE(CONTROL!$C$27, 0.0021, 0)</f>
        <v>25.2316</v>
      </c>
      <c r="D98" s="17">
        <f>25.2295 * CHOOSE(CONTROL!$C$9, $D$9, 100%, $F$9) + CHOOSE(CONTROL!$C$27, 0.0021, 0)</f>
        <v>25.2316</v>
      </c>
      <c r="E98" s="17">
        <f>25.0928 * CHOOSE(CONTROL!$C$9, $D$9, 100%, $F$9) + CHOOSE(CONTROL!$C$27, 0.0021, 0)</f>
        <v>25.094899999999999</v>
      </c>
      <c r="F98" s="17">
        <f>25.0928 * CHOOSE(CONTROL!$C$9, $D$9, 100%, $F$9) + CHOOSE(CONTROL!$C$27, 0.0021, 0)</f>
        <v>25.094899999999999</v>
      </c>
      <c r="G98" s="17">
        <f>25.3642 * CHOOSE(CONTROL!$C$9, $D$9, 100%, $F$9) + CHOOSE(CONTROL!$C$27, 0.0021, 0)</f>
        <v>25.366299999999999</v>
      </c>
      <c r="H98" s="17">
        <f>25.2295 * CHOOSE(CONTROL!$C$9, $D$9, 100%, $F$9) + CHOOSE(CONTROL!$C$27, 0.0021, 0)</f>
        <v>25.2316</v>
      </c>
      <c r="I98" s="17">
        <f>25.2295 * CHOOSE(CONTROL!$C$9, $D$9, 100%, $F$9) + CHOOSE(CONTROL!$C$27, 0.0021, 0)</f>
        <v>25.2316</v>
      </c>
      <c r="J98" s="17">
        <f>25.2295 * CHOOSE(CONTROL!$C$9, $D$9, 100%, $F$9) + CHOOSE(CONTROL!$C$27, 0.0021, 0)</f>
        <v>25.2316</v>
      </c>
      <c r="K98" s="17">
        <f>25.2295 * CHOOSE(CONTROL!$C$9, $D$9, 100%, $F$9) + CHOOSE(CONTROL!$C$27, 0.0021, 0)</f>
        <v>25.2316</v>
      </c>
      <c r="L98" s="17"/>
    </row>
    <row r="99" spans="1:12" ht="15" x14ac:dyDescent="0.2">
      <c r="A99" s="16">
        <v>43922</v>
      </c>
      <c r="B99" s="17">
        <f>25.3698 * CHOOSE(CONTROL!$C$9, $D$9, 100%, $F$9) + CHOOSE(CONTROL!$C$27, 0.0021, 0)</f>
        <v>25.3719</v>
      </c>
      <c r="C99" s="17">
        <f>24.9376 * CHOOSE(CONTROL!$C$9, $D$9, 100%, $F$9) + CHOOSE(CONTROL!$C$27, 0.0021, 0)</f>
        <v>24.939699999999998</v>
      </c>
      <c r="D99" s="17">
        <f>24.9376 * CHOOSE(CONTROL!$C$9, $D$9, 100%, $F$9) + CHOOSE(CONTROL!$C$27, 0.0021, 0)</f>
        <v>24.939699999999998</v>
      </c>
      <c r="E99" s="17">
        <f>24.8009 * CHOOSE(CONTROL!$C$9, $D$9, 100%, $F$9) + CHOOSE(CONTROL!$C$27, 0.0021, 0)</f>
        <v>24.802999999999997</v>
      </c>
      <c r="F99" s="17">
        <f>24.8009 * CHOOSE(CONTROL!$C$9, $D$9, 100%, $F$9) + CHOOSE(CONTROL!$C$27, 0.0021, 0)</f>
        <v>24.802999999999997</v>
      </c>
      <c r="G99" s="17">
        <f>25.0723 * CHOOSE(CONTROL!$C$9, $D$9, 100%, $F$9) + CHOOSE(CONTROL!$C$27, 0.0021, 0)</f>
        <v>25.074399999999997</v>
      </c>
      <c r="H99" s="17">
        <f>24.9376 * CHOOSE(CONTROL!$C$9, $D$9, 100%, $F$9) + CHOOSE(CONTROL!$C$27, 0.0021, 0)</f>
        <v>24.939699999999998</v>
      </c>
      <c r="I99" s="17">
        <f>24.9376 * CHOOSE(CONTROL!$C$9, $D$9, 100%, $F$9) + CHOOSE(CONTROL!$C$27, 0.0021, 0)</f>
        <v>24.939699999999998</v>
      </c>
      <c r="J99" s="17">
        <f>24.9376 * CHOOSE(CONTROL!$C$9, $D$9, 100%, $F$9) + CHOOSE(CONTROL!$C$27, 0.0021, 0)</f>
        <v>24.939699999999998</v>
      </c>
      <c r="K99" s="17">
        <f>24.9376 * CHOOSE(CONTROL!$C$9, $D$9, 100%, $F$9) + CHOOSE(CONTROL!$C$27, 0.0021, 0)</f>
        <v>24.939699999999998</v>
      </c>
      <c r="L99" s="17"/>
    </row>
    <row r="100" spans="1:12" ht="15" x14ac:dyDescent="0.2">
      <c r="A100" s="16">
        <v>43952</v>
      </c>
      <c r="B100" s="17">
        <f>25.903 * CHOOSE(CONTROL!$C$9, $D$9, 100%, $F$9) + CHOOSE(CONTROL!$C$27, 0.0021, 0)</f>
        <v>25.905099999999997</v>
      </c>
      <c r="C100" s="17">
        <f>25.4707 * CHOOSE(CONTROL!$C$9, $D$9, 100%, $F$9) + CHOOSE(CONTROL!$C$27, 0.0021, 0)</f>
        <v>25.472799999999999</v>
      </c>
      <c r="D100" s="17">
        <f>25.4707 * CHOOSE(CONTROL!$C$9, $D$9, 100%, $F$9) + CHOOSE(CONTROL!$C$27, 0.0021, 0)</f>
        <v>25.472799999999999</v>
      </c>
      <c r="E100" s="17">
        <f>25.3341 * CHOOSE(CONTROL!$C$9, $D$9, 100%, $F$9) + CHOOSE(CONTROL!$C$27, 0.0021, 0)</f>
        <v>25.336199999999998</v>
      </c>
      <c r="F100" s="17">
        <f>25.3341 * CHOOSE(CONTROL!$C$9, $D$9, 100%, $F$9) + CHOOSE(CONTROL!$C$27, 0.0021, 0)</f>
        <v>25.336199999999998</v>
      </c>
      <c r="G100" s="17">
        <f>25.6054 * CHOOSE(CONTROL!$C$9, $D$9, 100%, $F$9) + CHOOSE(CONTROL!$C$27, 0.0021, 0)</f>
        <v>25.607499999999998</v>
      </c>
      <c r="H100" s="17">
        <f>25.4707 * CHOOSE(CONTROL!$C$9, $D$9, 100%, $F$9) + CHOOSE(CONTROL!$C$27, 0.0021, 0)</f>
        <v>25.472799999999999</v>
      </c>
      <c r="I100" s="17">
        <f>25.4707 * CHOOSE(CONTROL!$C$9, $D$9, 100%, $F$9) + CHOOSE(CONTROL!$C$27, 0.0021, 0)</f>
        <v>25.472799999999999</v>
      </c>
      <c r="J100" s="17">
        <f>25.4707 * CHOOSE(CONTROL!$C$9, $D$9, 100%, $F$9) + CHOOSE(CONTROL!$C$27, 0.0021, 0)</f>
        <v>25.472799999999999</v>
      </c>
      <c r="K100" s="17">
        <f>25.4707 * CHOOSE(CONTROL!$C$9, $D$9, 100%, $F$9) + CHOOSE(CONTROL!$C$27, 0.0021, 0)</f>
        <v>25.472799999999999</v>
      </c>
      <c r="L100" s="17"/>
    </row>
    <row r="101" spans="1:12" ht="15" x14ac:dyDescent="0.2">
      <c r="A101" s="16">
        <v>43983</v>
      </c>
      <c r="B101" s="17">
        <f>26.2431 * CHOOSE(CONTROL!$C$9, $D$9, 100%, $F$9) + CHOOSE(CONTROL!$C$27, 0.0021, 0)</f>
        <v>26.245199999999997</v>
      </c>
      <c r="C101" s="17">
        <f>25.8108 * CHOOSE(CONTROL!$C$9, $D$9, 100%, $F$9) + CHOOSE(CONTROL!$C$27, 0.0021, 0)</f>
        <v>25.812899999999999</v>
      </c>
      <c r="D101" s="17">
        <f>25.8108 * CHOOSE(CONTROL!$C$9, $D$9, 100%, $F$9) + CHOOSE(CONTROL!$C$27, 0.0021, 0)</f>
        <v>25.812899999999999</v>
      </c>
      <c r="E101" s="17">
        <f>25.6742 * CHOOSE(CONTROL!$C$9, $D$9, 100%, $F$9) + CHOOSE(CONTROL!$C$27, 0.0021, 0)</f>
        <v>25.676299999999998</v>
      </c>
      <c r="F101" s="17">
        <f>25.6742 * CHOOSE(CONTROL!$C$9, $D$9, 100%, $F$9) + CHOOSE(CONTROL!$C$27, 0.0021, 0)</f>
        <v>25.676299999999998</v>
      </c>
      <c r="G101" s="17">
        <f>25.9456 * CHOOSE(CONTROL!$C$9, $D$9, 100%, $F$9) + CHOOSE(CONTROL!$C$27, 0.0021, 0)</f>
        <v>25.947699999999998</v>
      </c>
      <c r="H101" s="17">
        <f>25.8108 * CHOOSE(CONTROL!$C$9, $D$9, 100%, $F$9) + CHOOSE(CONTROL!$C$27, 0.0021, 0)</f>
        <v>25.812899999999999</v>
      </c>
      <c r="I101" s="17">
        <f>25.8108 * CHOOSE(CONTROL!$C$9, $D$9, 100%, $F$9) + CHOOSE(CONTROL!$C$27, 0.0021, 0)</f>
        <v>25.812899999999999</v>
      </c>
      <c r="J101" s="17">
        <f>25.8108 * CHOOSE(CONTROL!$C$9, $D$9, 100%, $F$9) + CHOOSE(CONTROL!$C$27, 0.0021, 0)</f>
        <v>25.812899999999999</v>
      </c>
      <c r="K101" s="17">
        <f>25.8108 * CHOOSE(CONTROL!$C$9, $D$9, 100%, $F$9) + CHOOSE(CONTROL!$C$27, 0.0021, 0)</f>
        <v>25.812899999999999</v>
      </c>
      <c r="L101" s="17"/>
    </row>
    <row r="102" spans="1:12" ht="15" x14ac:dyDescent="0.2">
      <c r="A102" s="16">
        <v>44013</v>
      </c>
      <c r="B102" s="17">
        <f>26.7742 * CHOOSE(CONTROL!$C$9, $D$9, 100%, $F$9) + CHOOSE(CONTROL!$C$27, 0.0021, 0)</f>
        <v>26.776299999999999</v>
      </c>
      <c r="C102" s="17">
        <f>26.342 * CHOOSE(CONTROL!$C$9, $D$9, 100%, $F$9) + CHOOSE(CONTROL!$C$27, 0.0021, 0)</f>
        <v>26.344099999999997</v>
      </c>
      <c r="D102" s="17">
        <f>26.342 * CHOOSE(CONTROL!$C$9, $D$9, 100%, $F$9) + CHOOSE(CONTROL!$C$27, 0.0021, 0)</f>
        <v>26.344099999999997</v>
      </c>
      <c r="E102" s="17">
        <f>26.2053 * CHOOSE(CONTROL!$C$9, $D$9, 100%, $F$9) + CHOOSE(CONTROL!$C$27, 0.0021, 0)</f>
        <v>26.2074</v>
      </c>
      <c r="F102" s="17">
        <f>26.2053 * CHOOSE(CONTROL!$C$9, $D$9, 100%, $F$9) + CHOOSE(CONTROL!$C$27, 0.0021, 0)</f>
        <v>26.2074</v>
      </c>
      <c r="G102" s="17">
        <f>26.4767 * CHOOSE(CONTROL!$C$9, $D$9, 100%, $F$9) + CHOOSE(CONTROL!$C$27, 0.0021, 0)</f>
        <v>26.4788</v>
      </c>
      <c r="H102" s="17">
        <f>26.342 * CHOOSE(CONTROL!$C$9, $D$9, 100%, $F$9) + CHOOSE(CONTROL!$C$27, 0.0021, 0)</f>
        <v>26.344099999999997</v>
      </c>
      <c r="I102" s="17">
        <f>26.342 * CHOOSE(CONTROL!$C$9, $D$9, 100%, $F$9) + CHOOSE(CONTROL!$C$27, 0.0021, 0)</f>
        <v>26.344099999999997</v>
      </c>
      <c r="J102" s="17">
        <f>26.342 * CHOOSE(CONTROL!$C$9, $D$9, 100%, $F$9) + CHOOSE(CONTROL!$C$27, 0.0021, 0)</f>
        <v>26.344099999999997</v>
      </c>
      <c r="K102" s="17">
        <f>26.342 * CHOOSE(CONTROL!$C$9, $D$9, 100%, $F$9) + CHOOSE(CONTROL!$C$27, 0.0021, 0)</f>
        <v>26.344099999999997</v>
      </c>
      <c r="L102" s="17"/>
    </row>
    <row r="103" spans="1:12" ht="15" x14ac:dyDescent="0.2">
      <c r="A103" s="16">
        <v>44044</v>
      </c>
      <c r="B103" s="17">
        <f>26.972 * CHOOSE(CONTROL!$C$9, $D$9, 100%, $F$9) + CHOOSE(CONTROL!$C$27, 0.0021, 0)</f>
        <v>26.9741</v>
      </c>
      <c r="C103" s="17">
        <f>26.5398 * CHOOSE(CONTROL!$C$9, $D$9, 100%, $F$9) + CHOOSE(CONTROL!$C$27, 0.0021, 0)</f>
        <v>26.541899999999998</v>
      </c>
      <c r="D103" s="17">
        <f>26.5398 * CHOOSE(CONTROL!$C$9, $D$9, 100%, $F$9) + CHOOSE(CONTROL!$C$27, 0.0021, 0)</f>
        <v>26.541899999999998</v>
      </c>
      <c r="E103" s="17">
        <f>26.4031 * CHOOSE(CONTROL!$C$9, $D$9, 100%, $F$9) + CHOOSE(CONTROL!$C$27, 0.0021, 0)</f>
        <v>26.405199999999997</v>
      </c>
      <c r="F103" s="17">
        <f>26.4031 * CHOOSE(CONTROL!$C$9, $D$9, 100%, $F$9) + CHOOSE(CONTROL!$C$27, 0.0021, 0)</f>
        <v>26.405199999999997</v>
      </c>
      <c r="G103" s="17">
        <f>26.6745 * CHOOSE(CONTROL!$C$9, $D$9, 100%, $F$9) + CHOOSE(CONTROL!$C$27, 0.0021, 0)</f>
        <v>26.676599999999997</v>
      </c>
      <c r="H103" s="17">
        <f>26.5398 * CHOOSE(CONTROL!$C$9, $D$9, 100%, $F$9) + CHOOSE(CONTROL!$C$27, 0.0021, 0)</f>
        <v>26.541899999999998</v>
      </c>
      <c r="I103" s="17">
        <f>26.5398 * CHOOSE(CONTROL!$C$9, $D$9, 100%, $F$9) + CHOOSE(CONTROL!$C$27, 0.0021, 0)</f>
        <v>26.541899999999998</v>
      </c>
      <c r="J103" s="17">
        <f>26.5398 * CHOOSE(CONTROL!$C$9, $D$9, 100%, $F$9) + CHOOSE(CONTROL!$C$27, 0.0021, 0)</f>
        <v>26.541899999999998</v>
      </c>
      <c r="K103" s="17">
        <f>26.5398 * CHOOSE(CONTROL!$C$9, $D$9, 100%, $F$9) + CHOOSE(CONTROL!$C$27, 0.0021, 0)</f>
        <v>26.541899999999998</v>
      </c>
      <c r="L103" s="17"/>
    </row>
    <row r="104" spans="1:12" ht="15" x14ac:dyDescent="0.2">
      <c r="A104" s="16">
        <v>44075</v>
      </c>
      <c r="B104" s="17">
        <f>27.5258 * CHOOSE(CONTROL!$C$9, $D$9, 100%, $F$9) + CHOOSE(CONTROL!$C$27, 0.0021, 0)</f>
        <v>27.527899999999999</v>
      </c>
      <c r="C104" s="17">
        <f>27.0935 * CHOOSE(CONTROL!$C$9, $D$9, 100%, $F$9) + CHOOSE(CONTROL!$C$27, 0.0021, 0)</f>
        <v>27.095599999999997</v>
      </c>
      <c r="D104" s="17">
        <f>27.0935 * CHOOSE(CONTROL!$C$9, $D$9, 100%, $F$9) + CHOOSE(CONTROL!$C$27, 0.0021, 0)</f>
        <v>27.095599999999997</v>
      </c>
      <c r="E104" s="17">
        <f>26.9569 * CHOOSE(CONTROL!$C$9, $D$9, 100%, $F$9) + CHOOSE(CONTROL!$C$27, 0.0021, 0)</f>
        <v>26.959</v>
      </c>
      <c r="F104" s="17">
        <f>26.9569 * CHOOSE(CONTROL!$C$9, $D$9, 100%, $F$9) + CHOOSE(CONTROL!$C$27, 0.0021, 0)</f>
        <v>26.959</v>
      </c>
      <c r="G104" s="17">
        <f>27.2282 * CHOOSE(CONTROL!$C$9, $D$9, 100%, $F$9) + CHOOSE(CONTROL!$C$27, 0.0021, 0)</f>
        <v>27.2303</v>
      </c>
      <c r="H104" s="17">
        <f>27.0935 * CHOOSE(CONTROL!$C$9, $D$9, 100%, $F$9) + CHOOSE(CONTROL!$C$27, 0.0021, 0)</f>
        <v>27.095599999999997</v>
      </c>
      <c r="I104" s="17">
        <f>27.0935 * CHOOSE(CONTROL!$C$9, $D$9, 100%, $F$9) + CHOOSE(CONTROL!$C$27, 0.0021, 0)</f>
        <v>27.095599999999997</v>
      </c>
      <c r="J104" s="17">
        <f>27.0935 * CHOOSE(CONTROL!$C$9, $D$9, 100%, $F$9) + CHOOSE(CONTROL!$C$27, 0.0021, 0)</f>
        <v>27.095599999999997</v>
      </c>
      <c r="K104" s="17">
        <f>27.0935 * CHOOSE(CONTROL!$C$9, $D$9, 100%, $F$9) + CHOOSE(CONTROL!$C$27, 0.0021, 0)</f>
        <v>27.095599999999997</v>
      </c>
      <c r="L104" s="17"/>
    </row>
    <row r="105" spans="1:12" ht="15" x14ac:dyDescent="0.2">
      <c r="A105" s="16">
        <v>44105</v>
      </c>
      <c r="B105" s="17">
        <f>28.2156 * CHOOSE(CONTROL!$C$9, $D$9, 100%, $F$9) + CHOOSE(CONTROL!$C$27, 0.0021, 0)</f>
        <v>28.217699999999997</v>
      </c>
      <c r="C105" s="17">
        <f>27.7834 * CHOOSE(CONTROL!$C$9, $D$9, 100%, $F$9) + CHOOSE(CONTROL!$C$27, 0.0021, 0)</f>
        <v>27.785499999999999</v>
      </c>
      <c r="D105" s="17">
        <f>27.7834 * CHOOSE(CONTROL!$C$9, $D$9, 100%, $F$9) + CHOOSE(CONTROL!$C$27, 0.0021, 0)</f>
        <v>27.785499999999999</v>
      </c>
      <c r="E105" s="17">
        <f>27.6467 * CHOOSE(CONTROL!$C$9, $D$9, 100%, $F$9) + CHOOSE(CONTROL!$C$27, 0.0021, 0)</f>
        <v>27.648799999999998</v>
      </c>
      <c r="F105" s="17">
        <f>27.6467 * CHOOSE(CONTROL!$C$9, $D$9, 100%, $F$9) + CHOOSE(CONTROL!$C$27, 0.0021, 0)</f>
        <v>27.648799999999998</v>
      </c>
      <c r="G105" s="17">
        <f>27.9181 * CHOOSE(CONTROL!$C$9, $D$9, 100%, $F$9) + CHOOSE(CONTROL!$C$27, 0.0021, 0)</f>
        <v>27.920199999999998</v>
      </c>
      <c r="H105" s="17">
        <f>27.7834 * CHOOSE(CONTROL!$C$9, $D$9, 100%, $F$9) + CHOOSE(CONTROL!$C$27, 0.0021, 0)</f>
        <v>27.785499999999999</v>
      </c>
      <c r="I105" s="17">
        <f>27.7834 * CHOOSE(CONTROL!$C$9, $D$9, 100%, $F$9) + CHOOSE(CONTROL!$C$27, 0.0021, 0)</f>
        <v>27.785499999999999</v>
      </c>
      <c r="J105" s="17">
        <f>27.7834 * CHOOSE(CONTROL!$C$9, $D$9, 100%, $F$9) + CHOOSE(CONTROL!$C$27, 0.0021, 0)</f>
        <v>27.785499999999999</v>
      </c>
      <c r="K105" s="17">
        <f>27.7834 * CHOOSE(CONTROL!$C$9, $D$9, 100%, $F$9) + CHOOSE(CONTROL!$C$27, 0.0021, 0)</f>
        <v>27.785499999999999</v>
      </c>
      <c r="L105" s="17"/>
    </row>
    <row r="106" spans="1:12" ht="15" x14ac:dyDescent="0.2">
      <c r="A106" s="16">
        <v>44136</v>
      </c>
      <c r="B106" s="17">
        <f>28.329 * CHOOSE(CONTROL!$C$9, $D$9, 100%, $F$9) + CHOOSE(CONTROL!$C$27, 0.0021, 0)</f>
        <v>28.331099999999999</v>
      </c>
      <c r="C106" s="17">
        <f>27.8968 * CHOOSE(CONTROL!$C$9, $D$9, 100%, $F$9) + CHOOSE(CONTROL!$C$27, 0.0021, 0)</f>
        <v>27.898899999999998</v>
      </c>
      <c r="D106" s="17">
        <f>27.8968 * CHOOSE(CONTROL!$C$9, $D$9, 100%, $F$9) + CHOOSE(CONTROL!$C$27, 0.0021, 0)</f>
        <v>27.898899999999998</v>
      </c>
      <c r="E106" s="17">
        <f>27.7601 * CHOOSE(CONTROL!$C$9, $D$9, 100%, $F$9) + CHOOSE(CONTROL!$C$27, 0.0021, 0)</f>
        <v>27.7622</v>
      </c>
      <c r="F106" s="17">
        <f>27.7601 * CHOOSE(CONTROL!$C$9, $D$9, 100%, $F$9) + CHOOSE(CONTROL!$C$27, 0.0021, 0)</f>
        <v>27.7622</v>
      </c>
      <c r="G106" s="17">
        <f>28.0315 * CHOOSE(CONTROL!$C$9, $D$9, 100%, $F$9) + CHOOSE(CONTROL!$C$27, 0.0021, 0)</f>
        <v>28.0336</v>
      </c>
      <c r="H106" s="17">
        <f>27.8968 * CHOOSE(CONTROL!$C$9, $D$9, 100%, $F$9) + CHOOSE(CONTROL!$C$27, 0.0021, 0)</f>
        <v>27.898899999999998</v>
      </c>
      <c r="I106" s="17">
        <f>27.8968 * CHOOSE(CONTROL!$C$9, $D$9, 100%, $F$9) + CHOOSE(CONTROL!$C$27, 0.0021, 0)</f>
        <v>27.898899999999998</v>
      </c>
      <c r="J106" s="17">
        <f>27.8968 * CHOOSE(CONTROL!$C$9, $D$9, 100%, $F$9) + CHOOSE(CONTROL!$C$27, 0.0021, 0)</f>
        <v>27.898899999999998</v>
      </c>
      <c r="K106" s="17">
        <f>27.8968 * CHOOSE(CONTROL!$C$9, $D$9, 100%, $F$9) + CHOOSE(CONTROL!$C$27, 0.0021, 0)</f>
        <v>27.898899999999998</v>
      </c>
      <c r="L106" s="17"/>
    </row>
    <row r="107" spans="1:12" ht="15" x14ac:dyDescent="0.2">
      <c r="A107" s="16">
        <v>44166</v>
      </c>
      <c r="B107" s="17">
        <f>27.8711 * CHOOSE(CONTROL!$C$9, $D$9, 100%, $F$9) + CHOOSE(CONTROL!$C$27, 0.0021, 0)</f>
        <v>27.873199999999997</v>
      </c>
      <c r="C107" s="17">
        <f>27.4388 * CHOOSE(CONTROL!$C$9, $D$9, 100%, $F$9) + CHOOSE(CONTROL!$C$27, 0.0021, 0)</f>
        <v>27.440899999999999</v>
      </c>
      <c r="D107" s="17">
        <f>27.4388 * CHOOSE(CONTROL!$C$9, $D$9, 100%, $F$9) + CHOOSE(CONTROL!$C$27, 0.0021, 0)</f>
        <v>27.440899999999999</v>
      </c>
      <c r="E107" s="17">
        <f>27.3022 * CHOOSE(CONTROL!$C$9, $D$9, 100%, $F$9) + CHOOSE(CONTROL!$C$27, 0.0021, 0)</f>
        <v>27.304299999999998</v>
      </c>
      <c r="F107" s="17">
        <f>27.3022 * CHOOSE(CONTROL!$C$9, $D$9, 100%, $F$9) + CHOOSE(CONTROL!$C$27, 0.0021, 0)</f>
        <v>27.304299999999998</v>
      </c>
      <c r="G107" s="17">
        <f>27.5736 * CHOOSE(CONTROL!$C$9, $D$9, 100%, $F$9) + CHOOSE(CONTROL!$C$27, 0.0021, 0)</f>
        <v>27.575699999999998</v>
      </c>
      <c r="H107" s="17">
        <f>27.4388 * CHOOSE(CONTROL!$C$9, $D$9, 100%, $F$9) + CHOOSE(CONTROL!$C$27, 0.0021, 0)</f>
        <v>27.440899999999999</v>
      </c>
      <c r="I107" s="17">
        <f>27.4388 * CHOOSE(CONTROL!$C$9, $D$9, 100%, $F$9) + CHOOSE(CONTROL!$C$27, 0.0021, 0)</f>
        <v>27.440899999999999</v>
      </c>
      <c r="J107" s="17">
        <f>27.4388 * CHOOSE(CONTROL!$C$9, $D$9, 100%, $F$9) + CHOOSE(CONTROL!$C$27, 0.0021, 0)</f>
        <v>27.440899999999999</v>
      </c>
      <c r="K107" s="17">
        <f>27.4388 * CHOOSE(CONTROL!$C$9, $D$9, 100%, $F$9) + CHOOSE(CONTROL!$C$27, 0.0021, 0)</f>
        <v>27.440899999999999</v>
      </c>
      <c r="L107" s="17"/>
    </row>
    <row r="108" spans="1:12" ht="15" x14ac:dyDescent="0.2">
      <c r="A108" s="16">
        <v>44197</v>
      </c>
      <c r="B108" s="17">
        <f>27.885 * CHOOSE(CONTROL!$C$9, $D$9, 100%, $F$9) + CHOOSE(CONTROL!$C$27, 0.0021, 0)</f>
        <v>27.8871</v>
      </c>
      <c r="C108" s="17">
        <f>27.4528 * CHOOSE(CONTROL!$C$9, $D$9, 100%, $F$9) + CHOOSE(CONTROL!$C$27, 0.0021, 0)</f>
        <v>27.454899999999999</v>
      </c>
      <c r="D108" s="17">
        <f>27.4528 * CHOOSE(CONTROL!$C$9, $D$9, 100%, $F$9) + CHOOSE(CONTROL!$C$27, 0.0021, 0)</f>
        <v>27.454899999999999</v>
      </c>
      <c r="E108" s="17">
        <f>27.3161 * CHOOSE(CONTROL!$C$9, $D$9, 100%, $F$9) + CHOOSE(CONTROL!$C$27, 0.0021, 0)</f>
        <v>27.318199999999997</v>
      </c>
      <c r="F108" s="17">
        <f>27.3161 * CHOOSE(CONTROL!$C$9, $D$9, 100%, $F$9) + CHOOSE(CONTROL!$C$27, 0.0021, 0)</f>
        <v>27.318199999999997</v>
      </c>
      <c r="G108" s="17">
        <f>27.5875 * CHOOSE(CONTROL!$C$9, $D$9, 100%, $F$9) + CHOOSE(CONTROL!$C$27, 0.0021, 0)</f>
        <v>27.589599999999997</v>
      </c>
      <c r="H108" s="17">
        <f>27.4528 * CHOOSE(CONTROL!$C$9, $D$9, 100%, $F$9) + CHOOSE(CONTROL!$C$27, 0.0021, 0)</f>
        <v>27.454899999999999</v>
      </c>
      <c r="I108" s="17">
        <f>27.4528 * CHOOSE(CONTROL!$C$9, $D$9, 100%, $F$9) + CHOOSE(CONTROL!$C$27, 0.0021, 0)</f>
        <v>27.454899999999999</v>
      </c>
      <c r="J108" s="17">
        <f>27.4528 * CHOOSE(CONTROL!$C$9, $D$9, 100%, $F$9) + CHOOSE(CONTROL!$C$27, 0.0021, 0)</f>
        <v>27.454899999999999</v>
      </c>
      <c r="K108" s="17">
        <f>27.4528 * CHOOSE(CONTROL!$C$9, $D$9, 100%, $F$9) + CHOOSE(CONTROL!$C$27, 0.0021, 0)</f>
        <v>27.454899999999999</v>
      </c>
      <c r="L108" s="17"/>
    </row>
    <row r="109" spans="1:12" ht="15" x14ac:dyDescent="0.2">
      <c r="A109" s="16">
        <v>44228</v>
      </c>
      <c r="B109" s="17">
        <f>27.2123 * CHOOSE(CONTROL!$C$9, $D$9, 100%, $F$9) + CHOOSE(CONTROL!$C$27, 0.0021, 0)</f>
        <v>27.214399999999998</v>
      </c>
      <c r="C109" s="17">
        <f>26.7801 * CHOOSE(CONTROL!$C$9, $D$9, 100%, $F$9) + CHOOSE(CONTROL!$C$27, 0.0021, 0)</f>
        <v>26.7822</v>
      </c>
      <c r="D109" s="17">
        <f>26.7801 * CHOOSE(CONTROL!$C$9, $D$9, 100%, $F$9) + CHOOSE(CONTROL!$C$27, 0.0021, 0)</f>
        <v>26.7822</v>
      </c>
      <c r="E109" s="17">
        <f>26.6434 * CHOOSE(CONTROL!$C$9, $D$9, 100%, $F$9) + CHOOSE(CONTROL!$C$27, 0.0021, 0)</f>
        <v>26.645499999999998</v>
      </c>
      <c r="F109" s="17">
        <f>26.6434 * CHOOSE(CONTROL!$C$9, $D$9, 100%, $F$9) + CHOOSE(CONTROL!$C$27, 0.0021, 0)</f>
        <v>26.645499999999998</v>
      </c>
      <c r="G109" s="17">
        <f>26.9148 * CHOOSE(CONTROL!$C$9, $D$9, 100%, $F$9) + CHOOSE(CONTROL!$C$27, 0.0021, 0)</f>
        <v>26.916899999999998</v>
      </c>
      <c r="H109" s="17">
        <f>26.7801 * CHOOSE(CONTROL!$C$9, $D$9, 100%, $F$9) + CHOOSE(CONTROL!$C$27, 0.0021, 0)</f>
        <v>26.7822</v>
      </c>
      <c r="I109" s="17">
        <f>26.7801 * CHOOSE(CONTROL!$C$9, $D$9, 100%, $F$9) + CHOOSE(CONTROL!$C$27, 0.0021, 0)</f>
        <v>26.7822</v>
      </c>
      <c r="J109" s="17">
        <f>26.7801 * CHOOSE(CONTROL!$C$9, $D$9, 100%, $F$9) + CHOOSE(CONTROL!$C$27, 0.0021, 0)</f>
        <v>26.7822</v>
      </c>
      <c r="K109" s="17">
        <f>26.7801 * CHOOSE(CONTROL!$C$9, $D$9, 100%, $F$9) + CHOOSE(CONTROL!$C$27, 0.0021, 0)</f>
        <v>26.7822</v>
      </c>
      <c r="L109" s="17"/>
    </row>
    <row r="110" spans="1:12" ht="15" x14ac:dyDescent="0.2">
      <c r="A110" s="16">
        <v>44256</v>
      </c>
      <c r="B110" s="17">
        <f>26.9636 * CHOOSE(CONTROL!$C$9, $D$9, 100%, $F$9) + CHOOSE(CONTROL!$C$27, 0.0021, 0)</f>
        <v>26.965699999999998</v>
      </c>
      <c r="C110" s="17">
        <f>26.5314 * CHOOSE(CONTROL!$C$9, $D$9, 100%, $F$9) + CHOOSE(CONTROL!$C$27, 0.0021, 0)</f>
        <v>26.5335</v>
      </c>
      <c r="D110" s="17">
        <f>26.5314 * CHOOSE(CONTROL!$C$9, $D$9, 100%, $F$9) + CHOOSE(CONTROL!$C$27, 0.0021, 0)</f>
        <v>26.5335</v>
      </c>
      <c r="E110" s="17">
        <f>26.3947 * CHOOSE(CONTROL!$C$9, $D$9, 100%, $F$9) + CHOOSE(CONTROL!$C$27, 0.0021, 0)</f>
        <v>26.396799999999999</v>
      </c>
      <c r="F110" s="17">
        <f>26.3947 * CHOOSE(CONTROL!$C$9, $D$9, 100%, $F$9) + CHOOSE(CONTROL!$C$27, 0.0021, 0)</f>
        <v>26.396799999999999</v>
      </c>
      <c r="G110" s="17">
        <f>26.6661 * CHOOSE(CONTROL!$C$9, $D$9, 100%, $F$9) + CHOOSE(CONTROL!$C$27, 0.0021, 0)</f>
        <v>26.668199999999999</v>
      </c>
      <c r="H110" s="17">
        <f>26.5314 * CHOOSE(CONTROL!$C$9, $D$9, 100%, $F$9) + CHOOSE(CONTROL!$C$27, 0.0021, 0)</f>
        <v>26.5335</v>
      </c>
      <c r="I110" s="17">
        <f>26.5314 * CHOOSE(CONTROL!$C$9, $D$9, 100%, $F$9) + CHOOSE(CONTROL!$C$27, 0.0021, 0)</f>
        <v>26.5335</v>
      </c>
      <c r="J110" s="17">
        <f>26.5314 * CHOOSE(CONTROL!$C$9, $D$9, 100%, $F$9) + CHOOSE(CONTROL!$C$27, 0.0021, 0)</f>
        <v>26.5335</v>
      </c>
      <c r="K110" s="17">
        <f>26.5314 * CHOOSE(CONTROL!$C$9, $D$9, 100%, $F$9) + CHOOSE(CONTROL!$C$27, 0.0021, 0)</f>
        <v>26.5335</v>
      </c>
      <c r="L110" s="17"/>
    </row>
    <row r="111" spans="1:12" ht="15" x14ac:dyDescent="0.2">
      <c r="A111" s="16">
        <v>44287</v>
      </c>
      <c r="B111" s="17">
        <f>26.6554 * CHOOSE(CONTROL!$C$9, $D$9, 100%, $F$9) + CHOOSE(CONTROL!$C$27, 0.0021, 0)</f>
        <v>26.657499999999999</v>
      </c>
      <c r="C111" s="17">
        <f>26.2232 * CHOOSE(CONTROL!$C$9, $D$9, 100%, $F$9) + CHOOSE(CONTROL!$C$27, 0.0021, 0)</f>
        <v>26.225299999999997</v>
      </c>
      <c r="D111" s="17">
        <f>26.2232 * CHOOSE(CONTROL!$C$9, $D$9, 100%, $F$9) + CHOOSE(CONTROL!$C$27, 0.0021, 0)</f>
        <v>26.225299999999997</v>
      </c>
      <c r="E111" s="17">
        <f>26.0865 * CHOOSE(CONTROL!$C$9, $D$9, 100%, $F$9) + CHOOSE(CONTROL!$C$27, 0.0021, 0)</f>
        <v>26.0886</v>
      </c>
      <c r="F111" s="17">
        <f>26.0865 * CHOOSE(CONTROL!$C$9, $D$9, 100%, $F$9) + CHOOSE(CONTROL!$C$27, 0.0021, 0)</f>
        <v>26.0886</v>
      </c>
      <c r="G111" s="17">
        <f>26.3579 * CHOOSE(CONTROL!$C$9, $D$9, 100%, $F$9) + CHOOSE(CONTROL!$C$27, 0.0021, 0)</f>
        <v>26.36</v>
      </c>
      <c r="H111" s="17">
        <f>26.2232 * CHOOSE(CONTROL!$C$9, $D$9, 100%, $F$9) + CHOOSE(CONTROL!$C$27, 0.0021, 0)</f>
        <v>26.225299999999997</v>
      </c>
      <c r="I111" s="17">
        <f>26.2232 * CHOOSE(CONTROL!$C$9, $D$9, 100%, $F$9) + CHOOSE(CONTROL!$C$27, 0.0021, 0)</f>
        <v>26.225299999999997</v>
      </c>
      <c r="J111" s="17">
        <f>26.2232 * CHOOSE(CONTROL!$C$9, $D$9, 100%, $F$9) + CHOOSE(CONTROL!$C$27, 0.0021, 0)</f>
        <v>26.225299999999997</v>
      </c>
      <c r="K111" s="17">
        <f>26.2232 * CHOOSE(CONTROL!$C$9, $D$9, 100%, $F$9) + CHOOSE(CONTROL!$C$27, 0.0021, 0)</f>
        <v>26.225299999999997</v>
      </c>
      <c r="L111" s="17"/>
    </row>
    <row r="112" spans="1:12" ht="15" x14ac:dyDescent="0.2">
      <c r="A112" s="16">
        <v>44317</v>
      </c>
      <c r="B112" s="17">
        <f>27.2183 * CHOOSE(CONTROL!$C$9, $D$9, 100%, $F$9) + CHOOSE(CONTROL!$C$27, 0.0021, 0)</f>
        <v>27.220399999999998</v>
      </c>
      <c r="C112" s="17">
        <f>26.786 * CHOOSE(CONTROL!$C$9, $D$9, 100%, $F$9) + CHOOSE(CONTROL!$C$27, 0.0021, 0)</f>
        <v>26.7881</v>
      </c>
      <c r="D112" s="17">
        <f>26.786 * CHOOSE(CONTROL!$C$9, $D$9, 100%, $F$9) + CHOOSE(CONTROL!$C$27, 0.0021, 0)</f>
        <v>26.7881</v>
      </c>
      <c r="E112" s="17">
        <f>26.6494 * CHOOSE(CONTROL!$C$9, $D$9, 100%, $F$9) + CHOOSE(CONTROL!$C$27, 0.0021, 0)</f>
        <v>26.651499999999999</v>
      </c>
      <c r="F112" s="17">
        <f>26.6494 * CHOOSE(CONTROL!$C$9, $D$9, 100%, $F$9) + CHOOSE(CONTROL!$C$27, 0.0021, 0)</f>
        <v>26.651499999999999</v>
      </c>
      <c r="G112" s="17">
        <f>26.9208 * CHOOSE(CONTROL!$C$9, $D$9, 100%, $F$9) + CHOOSE(CONTROL!$C$27, 0.0021, 0)</f>
        <v>26.922899999999998</v>
      </c>
      <c r="H112" s="17">
        <f>26.786 * CHOOSE(CONTROL!$C$9, $D$9, 100%, $F$9) + CHOOSE(CONTROL!$C$27, 0.0021, 0)</f>
        <v>26.7881</v>
      </c>
      <c r="I112" s="17">
        <f>26.786 * CHOOSE(CONTROL!$C$9, $D$9, 100%, $F$9) + CHOOSE(CONTROL!$C$27, 0.0021, 0)</f>
        <v>26.7881</v>
      </c>
      <c r="J112" s="17">
        <f>26.786 * CHOOSE(CONTROL!$C$9, $D$9, 100%, $F$9) + CHOOSE(CONTROL!$C$27, 0.0021, 0)</f>
        <v>26.7881</v>
      </c>
      <c r="K112" s="17">
        <f>26.786 * CHOOSE(CONTROL!$C$9, $D$9, 100%, $F$9) + CHOOSE(CONTROL!$C$27, 0.0021, 0)</f>
        <v>26.7881</v>
      </c>
      <c r="L112" s="17"/>
    </row>
    <row r="113" spans="1:12" ht="15" x14ac:dyDescent="0.2">
      <c r="A113" s="16">
        <v>44348</v>
      </c>
      <c r="B113" s="17">
        <f>27.5773 * CHOOSE(CONTROL!$C$9, $D$9, 100%, $F$9) + CHOOSE(CONTROL!$C$27, 0.0021, 0)</f>
        <v>27.5794</v>
      </c>
      <c r="C113" s="17">
        <f>27.1451 * CHOOSE(CONTROL!$C$9, $D$9, 100%, $F$9) + CHOOSE(CONTROL!$C$27, 0.0021, 0)</f>
        <v>27.147199999999998</v>
      </c>
      <c r="D113" s="17">
        <f>27.1451 * CHOOSE(CONTROL!$C$9, $D$9, 100%, $F$9) + CHOOSE(CONTROL!$C$27, 0.0021, 0)</f>
        <v>27.147199999999998</v>
      </c>
      <c r="E113" s="17">
        <f>27.0084 * CHOOSE(CONTROL!$C$9, $D$9, 100%, $F$9) + CHOOSE(CONTROL!$C$27, 0.0021, 0)</f>
        <v>27.0105</v>
      </c>
      <c r="F113" s="17">
        <f>27.0084 * CHOOSE(CONTROL!$C$9, $D$9, 100%, $F$9) + CHOOSE(CONTROL!$C$27, 0.0021, 0)</f>
        <v>27.0105</v>
      </c>
      <c r="G113" s="17">
        <f>27.2798 * CHOOSE(CONTROL!$C$9, $D$9, 100%, $F$9) + CHOOSE(CONTROL!$C$27, 0.0021, 0)</f>
        <v>27.2819</v>
      </c>
      <c r="H113" s="17">
        <f>27.1451 * CHOOSE(CONTROL!$C$9, $D$9, 100%, $F$9) + CHOOSE(CONTROL!$C$27, 0.0021, 0)</f>
        <v>27.147199999999998</v>
      </c>
      <c r="I113" s="17">
        <f>27.1451 * CHOOSE(CONTROL!$C$9, $D$9, 100%, $F$9) + CHOOSE(CONTROL!$C$27, 0.0021, 0)</f>
        <v>27.147199999999998</v>
      </c>
      <c r="J113" s="17">
        <f>27.1451 * CHOOSE(CONTROL!$C$9, $D$9, 100%, $F$9) + CHOOSE(CONTROL!$C$27, 0.0021, 0)</f>
        <v>27.147199999999998</v>
      </c>
      <c r="K113" s="17">
        <f>27.1451 * CHOOSE(CONTROL!$C$9, $D$9, 100%, $F$9) + CHOOSE(CONTROL!$C$27, 0.0021, 0)</f>
        <v>27.147199999999998</v>
      </c>
      <c r="L113" s="17"/>
    </row>
    <row r="114" spans="1:12" ht="15" x14ac:dyDescent="0.2">
      <c r="A114" s="16">
        <v>44378</v>
      </c>
      <c r="B114" s="17">
        <f>28.1381 * CHOOSE(CONTROL!$C$9, $D$9, 100%, $F$9) + CHOOSE(CONTROL!$C$27, 0.0021, 0)</f>
        <v>28.1402</v>
      </c>
      <c r="C114" s="17">
        <f>27.7058 * CHOOSE(CONTROL!$C$9, $D$9, 100%, $F$9) + CHOOSE(CONTROL!$C$27, 0.0021, 0)</f>
        <v>27.707899999999999</v>
      </c>
      <c r="D114" s="17">
        <f>27.7058 * CHOOSE(CONTROL!$C$9, $D$9, 100%, $F$9) + CHOOSE(CONTROL!$C$27, 0.0021, 0)</f>
        <v>27.707899999999999</v>
      </c>
      <c r="E114" s="17">
        <f>27.5692 * CHOOSE(CONTROL!$C$9, $D$9, 100%, $F$9) + CHOOSE(CONTROL!$C$27, 0.0021, 0)</f>
        <v>27.571299999999997</v>
      </c>
      <c r="F114" s="17">
        <f>27.5692 * CHOOSE(CONTROL!$C$9, $D$9, 100%, $F$9) + CHOOSE(CONTROL!$C$27, 0.0021, 0)</f>
        <v>27.571299999999997</v>
      </c>
      <c r="G114" s="17">
        <f>27.8406 * CHOOSE(CONTROL!$C$9, $D$9, 100%, $F$9) + CHOOSE(CONTROL!$C$27, 0.0021, 0)</f>
        <v>27.842699999999997</v>
      </c>
      <c r="H114" s="17">
        <f>27.7058 * CHOOSE(CONTROL!$C$9, $D$9, 100%, $F$9) + CHOOSE(CONTROL!$C$27, 0.0021, 0)</f>
        <v>27.707899999999999</v>
      </c>
      <c r="I114" s="17">
        <f>27.7058 * CHOOSE(CONTROL!$C$9, $D$9, 100%, $F$9) + CHOOSE(CONTROL!$C$27, 0.0021, 0)</f>
        <v>27.707899999999999</v>
      </c>
      <c r="J114" s="17">
        <f>27.7058 * CHOOSE(CONTROL!$C$9, $D$9, 100%, $F$9) + CHOOSE(CONTROL!$C$27, 0.0021, 0)</f>
        <v>27.707899999999999</v>
      </c>
      <c r="K114" s="17">
        <f>27.7058 * CHOOSE(CONTROL!$C$9, $D$9, 100%, $F$9) + CHOOSE(CONTROL!$C$27, 0.0021, 0)</f>
        <v>27.707899999999999</v>
      </c>
      <c r="L114" s="17"/>
    </row>
    <row r="115" spans="1:12" ht="15" x14ac:dyDescent="0.2">
      <c r="A115" s="16">
        <v>44409</v>
      </c>
      <c r="B115" s="17">
        <f>28.3469 * CHOOSE(CONTROL!$C$9, $D$9, 100%, $F$9) + CHOOSE(CONTROL!$C$27, 0.0021, 0)</f>
        <v>28.349</v>
      </c>
      <c r="C115" s="17">
        <f>27.9146 * CHOOSE(CONTROL!$C$9, $D$9, 100%, $F$9) + CHOOSE(CONTROL!$C$27, 0.0021, 0)</f>
        <v>27.916699999999999</v>
      </c>
      <c r="D115" s="17">
        <f>27.9146 * CHOOSE(CONTROL!$C$9, $D$9, 100%, $F$9) + CHOOSE(CONTROL!$C$27, 0.0021, 0)</f>
        <v>27.916699999999999</v>
      </c>
      <c r="E115" s="17">
        <f>27.778 * CHOOSE(CONTROL!$C$9, $D$9, 100%, $F$9) + CHOOSE(CONTROL!$C$27, 0.0021, 0)</f>
        <v>27.780099999999997</v>
      </c>
      <c r="F115" s="17">
        <f>27.778 * CHOOSE(CONTROL!$C$9, $D$9, 100%, $F$9) + CHOOSE(CONTROL!$C$27, 0.0021, 0)</f>
        <v>27.780099999999997</v>
      </c>
      <c r="G115" s="17">
        <f>28.0494 * CHOOSE(CONTROL!$C$9, $D$9, 100%, $F$9) + CHOOSE(CONTROL!$C$27, 0.0021, 0)</f>
        <v>28.051499999999997</v>
      </c>
      <c r="H115" s="17">
        <f>27.9146 * CHOOSE(CONTROL!$C$9, $D$9, 100%, $F$9) + CHOOSE(CONTROL!$C$27, 0.0021, 0)</f>
        <v>27.916699999999999</v>
      </c>
      <c r="I115" s="17">
        <f>27.9146 * CHOOSE(CONTROL!$C$9, $D$9, 100%, $F$9) + CHOOSE(CONTROL!$C$27, 0.0021, 0)</f>
        <v>27.916699999999999</v>
      </c>
      <c r="J115" s="17">
        <f>27.9146 * CHOOSE(CONTROL!$C$9, $D$9, 100%, $F$9) + CHOOSE(CONTROL!$C$27, 0.0021, 0)</f>
        <v>27.916699999999999</v>
      </c>
      <c r="K115" s="17">
        <f>27.9146 * CHOOSE(CONTROL!$C$9, $D$9, 100%, $F$9) + CHOOSE(CONTROL!$C$27, 0.0021, 0)</f>
        <v>27.916699999999999</v>
      </c>
      <c r="L115" s="17"/>
    </row>
    <row r="116" spans="1:12" ht="15" x14ac:dyDescent="0.2">
      <c r="A116" s="16">
        <v>44440</v>
      </c>
      <c r="B116" s="17">
        <f>28.9315 * CHOOSE(CONTROL!$C$9, $D$9, 100%, $F$9) + CHOOSE(CONTROL!$C$27, 0.0021, 0)</f>
        <v>28.933599999999998</v>
      </c>
      <c r="C116" s="17">
        <f>28.4992 * CHOOSE(CONTROL!$C$9, $D$9, 100%, $F$9) + CHOOSE(CONTROL!$C$27, 0.0021, 0)</f>
        <v>28.501299999999997</v>
      </c>
      <c r="D116" s="17">
        <f>28.4992 * CHOOSE(CONTROL!$C$9, $D$9, 100%, $F$9) + CHOOSE(CONTROL!$C$27, 0.0021, 0)</f>
        <v>28.501299999999997</v>
      </c>
      <c r="E116" s="17">
        <f>28.3626 * CHOOSE(CONTROL!$C$9, $D$9, 100%, $F$9) + CHOOSE(CONTROL!$C$27, 0.0021, 0)</f>
        <v>28.364699999999999</v>
      </c>
      <c r="F116" s="17">
        <f>28.3626 * CHOOSE(CONTROL!$C$9, $D$9, 100%, $F$9) + CHOOSE(CONTROL!$C$27, 0.0021, 0)</f>
        <v>28.364699999999999</v>
      </c>
      <c r="G116" s="17">
        <f>28.6339 * CHOOSE(CONTROL!$C$9, $D$9, 100%, $F$9) + CHOOSE(CONTROL!$C$27, 0.0021, 0)</f>
        <v>28.635999999999999</v>
      </c>
      <c r="H116" s="17">
        <f>28.4992 * CHOOSE(CONTROL!$C$9, $D$9, 100%, $F$9) + CHOOSE(CONTROL!$C$27, 0.0021, 0)</f>
        <v>28.501299999999997</v>
      </c>
      <c r="I116" s="17">
        <f>28.4992 * CHOOSE(CONTROL!$C$9, $D$9, 100%, $F$9) + CHOOSE(CONTROL!$C$27, 0.0021, 0)</f>
        <v>28.501299999999997</v>
      </c>
      <c r="J116" s="17">
        <f>28.4992 * CHOOSE(CONTROL!$C$9, $D$9, 100%, $F$9) + CHOOSE(CONTROL!$C$27, 0.0021, 0)</f>
        <v>28.501299999999997</v>
      </c>
      <c r="K116" s="17">
        <f>28.4992 * CHOOSE(CONTROL!$C$9, $D$9, 100%, $F$9) + CHOOSE(CONTROL!$C$27, 0.0021, 0)</f>
        <v>28.501299999999997</v>
      </c>
      <c r="L116" s="17"/>
    </row>
    <row r="117" spans="1:12" ht="15" x14ac:dyDescent="0.2">
      <c r="A117" s="16">
        <v>44470</v>
      </c>
      <c r="B117" s="17">
        <f>29.6598 * CHOOSE(CONTROL!$C$9, $D$9, 100%, $F$9) + CHOOSE(CONTROL!$C$27, 0.0021, 0)</f>
        <v>29.661899999999999</v>
      </c>
      <c r="C117" s="17">
        <f>29.2275 * CHOOSE(CONTROL!$C$9, $D$9, 100%, $F$9) + CHOOSE(CONTROL!$C$27, 0.0021, 0)</f>
        <v>29.229599999999998</v>
      </c>
      <c r="D117" s="17">
        <f>29.2275 * CHOOSE(CONTROL!$C$9, $D$9, 100%, $F$9) + CHOOSE(CONTROL!$C$27, 0.0021, 0)</f>
        <v>29.229599999999998</v>
      </c>
      <c r="E117" s="17">
        <f>29.0909 * CHOOSE(CONTROL!$C$9, $D$9, 100%, $F$9) + CHOOSE(CONTROL!$C$27, 0.0021, 0)</f>
        <v>29.093</v>
      </c>
      <c r="F117" s="17">
        <f>29.0909 * CHOOSE(CONTROL!$C$9, $D$9, 100%, $F$9) + CHOOSE(CONTROL!$C$27, 0.0021, 0)</f>
        <v>29.093</v>
      </c>
      <c r="G117" s="17">
        <f>29.3622 * CHOOSE(CONTROL!$C$9, $D$9, 100%, $F$9) + CHOOSE(CONTROL!$C$27, 0.0021, 0)</f>
        <v>29.3643</v>
      </c>
      <c r="H117" s="17">
        <f>29.2275 * CHOOSE(CONTROL!$C$9, $D$9, 100%, $F$9) + CHOOSE(CONTROL!$C$27, 0.0021, 0)</f>
        <v>29.229599999999998</v>
      </c>
      <c r="I117" s="17">
        <f>29.2275 * CHOOSE(CONTROL!$C$9, $D$9, 100%, $F$9) + CHOOSE(CONTROL!$C$27, 0.0021, 0)</f>
        <v>29.229599999999998</v>
      </c>
      <c r="J117" s="17">
        <f>29.2275 * CHOOSE(CONTROL!$C$9, $D$9, 100%, $F$9) + CHOOSE(CONTROL!$C$27, 0.0021, 0)</f>
        <v>29.229599999999998</v>
      </c>
      <c r="K117" s="17">
        <f>29.2275 * CHOOSE(CONTROL!$C$9, $D$9, 100%, $F$9) + CHOOSE(CONTROL!$C$27, 0.0021, 0)</f>
        <v>29.229599999999998</v>
      </c>
      <c r="L117" s="17"/>
    </row>
    <row r="118" spans="1:12" ht="15" x14ac:dyDescent="0.2">
      <c r="A118" s="16">
        <v>44501</v>
      </c>
      <c r="B118" s="17">
        <f>29.7795 * CHOOSE(CONTROL!$C$9, $D$9, 100%, $F$9) + CHOOSE(CONTROL!$C$27, 0.0021, 0)</f>
        <v>29.781599999999997</v>
      </c>
      <c r="C118" s="17">
        <f>29.3472 * CHOOSE(CONTROL!$C$9, $D$9, 100%, $F$9) + CHOOSE(CONTROL!$C$27, 0.0021, 0)</f>
        <v>29.349299999999999</v>
      </c>
      <c r="D118" s="17">
        <f>29.3472 * CHOOSE(CONTROL!$C$9, $D$9, 100%, $F$9) + CHOOSE(CONTROL!$C$27, 0.0021, 0)</f>
        <v>29.349299999999999</v>
      </c>
      <c r="E118" s="17">
        <f>29.2106 * CHOOSE(CONTROL!$C$9, $D$9, 100%, $F$9) + CHOOSE(CONTROL!$C$27, 0.0021, 0)</f>
        <v>29.212699999999998</v>
      </c>
      <c r="F118" s="17">
        <f>29.2106 * CHOOSE(CONTROL!$C$9, $D$9, 100%, $F$9) + CHOOSE(CONTROL!$C$27, 0.0021, 0)</f>
        <v>29.212699999999998</v>
      </c>
      <c r="G118" s="17">
        <f>29.482 * CHOOSE(CONTROL!$C$9, $D$9, 100%, $F$9) + CHOOSE(CONTROL!$C$27, 0.0021, 0)</f>
        <v>29.484099999999998</v>
      </c>
      <c r="H118" s="17">
        <f>29.3472 * CHOOSE(CONTROL!$C$9, $D$9, 100%, $F$9) + CHOOSE(CONTROL!$C$27, 0.0021, 0)</f>
        <v>29.349299999999999</v>
      </c>
      <c r="I118" s="17">
        <f>29.3472 * CHOOSE(CONTROL!$C$9, $D$9, 100%, $F$9) + CHOOSE(CONTROL!$C$27, 0.0021, 0)</f>
        <v>29.349299999999999</v>
      </c>
      <c r="J118" s="17">
        <f>29.3472 * CHOOSE(CONTROL!$C$9, $D$9, 100%, $F$9) + CHOOSE(CONTROL!$C$27, 0.0021, 0)</f>
        <v>29.349299999999999</v>
      </c>
      <c r="K118" s="17">
        <f>29.3472 * CHOOSE(CONTROL!$C$9, $D$9, 100%, $F$9) + CHOOSE(CONTROL!$C$27, 0.0021, 0)</f>
        <v>29.349299999999999</v>
      </c>
      <c r="L118" s="17"/>
    </row>
    <row r="119" spans="1:12" ht="15" x14ac:dyDescent="0.2">
      <c r="A119" s="16">
        <v>44531</v>
      </c>
      <c r="B119" s="17">
        <f>29.296 * CHOOSE(CONTROL!$C$9, $D$9, 100%, $F$9) + CHOOSE(CONTROL!$C$27, 0.0021, 0)</f>
        <v>29.298099999999998</v>
      </c>
      <c r="C119" s="17">
        <f>28.8638 * CHOOSE(CONTROL!$C$9, $D$9, 100%, $F$9) + CHOOSE(CONTROL!$C$27, 0.0021, 0)</f>
        <v>28.8659</v>
      </c>
      <c r="D119" s="17">
        <f>28.8638 * CHOOSE(CONTROL!$C$9, $D$9, 100%, $F$9) + CHOOSE(CONTROL!$C$27, 0.0021, 0)</f>
        <v>28.8659</v>
      </c>
      <c r="E119" s="17">
        <f>28.7271 * CHOOSE(CONTROL!$C$9, $D$9, 100%, $F$9) + CHOOSE(CONTROL!$C$27, 0.0021, 0)</f>
        <v>28.729199999999999</v>
      </c>
      <c r="F119" s="17">
        <f>28.7271 * CHOOSE(CONTROL!$C$9, $D$9, 100%, $F$9) + CHOOSE(CONTROL!$C$27, 0.0021, 0)</f>
        <v>28.729199999999999</v>
      </c>
      <c r="G119" s="17">
        <f>28.9985 * CHOOSE(CONTROL!$C$9, $D$9, 100%, $F$9) + CHOOSE(CONTROL!$C$27, 0.0021, 0)</f>
        <v>29.000599999999999</v>
      </c>
      <c r="H119" s="17">
        <f>28.8638 * CHOOSE(CONTROL!$C$9, $D$9, 100%, $F$9) + CHOOSE(CONTROL!$C$27, 0.0021, 0)</f>
        <v>28.8659</v>
      </c>
      <c r="I119" s="17">
        <f>28.8638 * CHOOSE(CONTROL!$C$9, $D$9, 100%, $F$9) + CHOOSE(CONTROL!$C$27, 0.0021, 0)</f>
        <v>28.8659</v>
      </c>
      <c r="J119" s="17">
        <f>28.8638 * CHOOSE(CONTROL!$C$9, $D$9, 100%, $F$9) + CHOOSE(CONTROL!$C$27, 0.0021, 0)</f>
        <v>28.8659</v>
      </c>
      <c r="K119" s="17">
        <f>28.8638 * CHOOSE(CONTROL!$C$9, $D$9, 100%, $F$9) + CHOOSE(CONTROL!$C$27, 0.0021, 0)</f>
        <v>28.8659</v>
      </c>
      <c r="L119" s="17"/>
    </row>
    <row r="120" spans="1:12" ht="15" x14ac:dyDescent="0.2">
      <c r="A120" s="16">
        <v>44562</v>
      </c>
      <c r="B120" s="17">
        <f>29.3424 * CHOOSE(CONTROL!$C$9, $D$9, 100%, $F$9) + CHOOSE(CONTROL!$C$27, 0.0021, 0)</f>
        <v>29.3445</v>
      </c>
      <c r="C120" s="17">
        <f>28.9102 * CHOOSE(CONTROL!$C$9, $D$9, 100%, $F$9) + CHOOSE(CONTROL!$C$27, 0.0021, 0)</f>
        <v>28.912299999999998</v>
      </c>
      <c r="D120" s="17">
        <f>28.9102 * CHOOSE(CONTROL!$C$9, $D$9, 100%, $F$9) + CHOOSE(CONTROL!$C$27, 0.0021, 0)</f>
        <v>28.912299999999998</v>
      </c>
      <c r="E120" s="17">
        <f>28.7735 * CHOOSE(CONTROL!$C$9, $D$9, 100%, $F$9) + CHOOSE(CONTROL!$C$27, 0.0021, 0)</f>
        <v>28.775599999999997</v>
      </c>
      <c r="F120" s="17">
        <f>28.7735 * CHOOSE(CONTROL!$C$9, $D$9, 100%, $F$9) + CHOOSE(CONTROL!$C$27, 0.0021, 0)</f>
        <v>28.775599999999997</v>
      </c>
      <c r="G120" s="17">
        <f>29.0449 * CHOOSE(CONTROL!$C$9, $D$9, 100%, $F$9) + CHOOSE(CONTROL!$C$27, 0.0021, 0)</f>
        <v>29.046999999999997</v>
      </c>
      <c r="H120" s="17">
        <f>28.9102 * CHOOSE(CONTROL!$C$9, $D$9, 100%, $F$9) + CHOOSE(CONTROL!$C$27, 0.0021, 0)</f>
        <v>28.912299999999998</v>
      </c>
      <c r="I120" s="17">
        <f>28.9102 * CHOOSE(CONTROL!$C$9, $D$9, 100%, $F$9) + CHOOSE(CONTROL!$C$27, 0.0021, 0)</f>
        <v>28.912299999999998</v>
      </c>
      <c r="J120" s="17">
        <f>28.9102 * CHOOSE(CONTROL!$C$9, $D$9, 100%, $F$9) + CHOOSE(CONTROL!$C$27, 0.0021, 0)</f>
        <v>28.912299999999998</v>
      </c>
      <c r="K120" s="17">
        <f>28.9102 * CHOOSE(CONTROL!$C$9, $D$9, 100%, $F$9) + CHOOSE(CONTROL!$C$27, 0.0021, 0)</f>
        <v>28.912299999999998</v>
      </c>
      <c r="L120" s="17"/>
    </row>
    <row r="121" spans="1:12" ht="15" x14ac:dyDescent="0.2">
      <c r="A121" s="16">
        <v>44593</v>
      </c>
      <c r="B121" s="17">
        <f>28.6315 * CHOOSE(CONTROL!$C$9, $D$9, 100%, $F$9) + CHOOSE(CONTROL!$C$27, 0.0021, 0)</f>
        <v>28.633599999999998</v>
      </c>
      <c r="C121" s="17">
        <f>28.1992 * CHOOSE(CONTROL!$C$9, $D$9, 100%, $F$9) + CHOOSE(CONTROL!$C$27, 0.0021, 0)</f>
        <v>28.2013</v>
      </c>
      <c r="D121" s="17">
        <f>28.1992 * CHOOSE(CONTROL!$C$9, $D$9, 100%, $F$9) + CHOOSE(CONTROL!$C$27, 0.0021, 0)</f>
        <v>28.2013</v>
      </c>
      <c r="E121" s="17">
        <f>28.0626 * CHOOSE(CONTROL!$C$9, $D$9, 100%, $F$9) + CHOOSE(CONTROL!$C$27, 0.0021, 0)</f>
        <v>28.064699999999998</v>
      </c>
      <c r="F121" s="17">
        <f>28.0626 * CHOOSE(CONTROL!$C$9, $D$9, 100%, $F$9) + CHOOSE(CONTROL!$C$27, 0.0021, 0)</f>
        <v>28.064699999999998</v>
      </c>
      <c r="G121" s="17">
        <f>28.3339 * CHOOSE(CONTROL!$C$9, $D$9, 100%, $F$9) + CHOOSE(CONTROL!$C$27, 0.0021, 0)</f>
        <v>28.335999999999999</v>
      </c>
      <c r="H121" s="17">
        <f>28.1992 * CHOOSE(CONTROL!$C$9, $D$9, 100%, $F$9) + CHOOSE(CONTROL!$C$27, 0.0021, 0)</f>
        <v>28.2013</v>
      </c>
      <c r="I121" s="17">
        <f>28.1992 * CHOOSE(CONTROL!$C$9, $D$9, 100%, $F$9) + CHOOSE(CONTROL!$C$27, 0.0021, 0)</f>
        <v>28.2013</v>
      </c>
      <c r="J121" s="17">
        <f>28.1992 * CHOOSE(CONTROL!$C$9, $D$9, 100%, $F$9) + CHOOSE(CONTROL!$C$27, 0.0021, 0)</f>
        <v>28.2013</v>
      </c>
      <c r="K121" s="17">
        <f>28.1992 * CHOOSE(CONTROL!$C$9, $D$9, 100%, $F$9) + CHOOSE(CONTROL!$C$27, 0.0021, 0)</f>
        <v>28.2013</v>
      </c>
      <c r="L121" s="17"/>
    </row>
    <row r="122" spans="1:12" ht="15" x14ac:dyDescent="0.2">
      <c r="A122" s="16">
        <v>44621</v>
      </c>
      <c r="B122" s="17">
        <f>28.3686 * CHOOSE(CONTROL!$C$9, $D$9, 100%, $F$9) + CHOOSE(CONTROL!$C$27, 0.0021, 0)</f>
        <v>28.370699999999999</v>
      </c>
      <c r="C122" s="17">
        <f>27.9363 * CHOOSE(CONTROL!$C$9, $D$9, 100%, $F$9) + CHOOSE(CONTROL!$C$27, 0.0021, 0)</f>
        <v>27.938399999999998</v>
      </c>
      <c r="D122" s="17">
        <f>27.9363 * CHOOSE(CONTROL!$C$9, $D$9, 100%, $F$9) + CHOOSE(CONTROL!$C$27, 0.0021, 0)</f>
        <v>27.938399999999998</v>
      </c>
      <c r="E122" s="17">
        <f>27.7997 * CHOOSE(CONTROL!$C$9, $D$9, 100%, $F$9) + CHOOSE(CONTROL!$C$27, 0.0021, 0)</f>
        <v>27.8018</v>
      </c>
      <c r="F122" s="17">
        <f>27.7997 * CHOOSE(CONTROL!$C$9, $D$9, 100%, $F$9) + CHOOSE(CONTROL!$C$27, 0.0021, 0)</f>
        <v>27.8018</v>
      </c>
      <c r="G122" s="17">
        <f>28.071 * CHOOSE(CONTROL!$C$9, $D$9, 100%, $F$9) + CHOOSE(CONTROL!$C$27, 0.0021, 0)</f>
        <v>28.0731</v>
      </c>
      <c r="H122" s="17">
        <f>27.9363 * CHOOSE(CONTROL!$C$9, $D$9, 100%, $F$9) + CHOOSE(CONTROL!$C$27, 0.0021, 0)</f>
        <v>27.938399999999998</v>
      </c>
      <c r="I122" s="17">
        <f>27.9363 * CHOOSE(CONTROL!$C$9, $D$9, 100%, $F$9) + CHOOSE(CONTROL!$C$27, 0.0021, 0)</f>
        <v>27.938399999999998</v>
      </c>
      <c r="J122" s="17">
        <f>27.9363 * CHOOSE(CONTROL!$C$9, $D$9, 100%, $F$9) + CHOOSE(CONTROL!$C$27, 0.0021, 0)</f>
        <v>27.938399999999998</v>
      </c>
      <c r="K122" s="17">
        <f>27.9363 * CHOOSE(CONTROL!$C$9, $D$9, 100%, $F$9) + CHOOSE(CONTROL!$C$27, 0.0021, 0)</f>
        <v>27.938399999999998</v>
      </c>
      <c r="L122" s="17"/>
    </row>
    <row r="123" spans="1:12" ht="15" x14ac:dyDescent="0.2">
      <c r="A123" s="16">
        <v>44652</v>
      </c>
      <c r="B123" s="17">
        <f>28.0428 * CHOOSE(CONTROL!$C$9, $D$9, 100%, $F$9) + CHOOSE(CONTROL!$C$27, 0.0021, 0)</f>
        <v>28.044899999999998</v>
      </c>
      <c r="C123" s="17">
        <f>27.6106 * CHOOSE(CONTROL!$C$9, $D$9, 100%, $F$9) + CHOOSE(CONTROL!$C$27, 0.0021, 0)</f>
        <v>27.6127</v>
      </c>
      <c r="D123" s="17">
        <f>27.6106 * CHOOSE(CONTROL!$C$9, $D$9, 100%, $F$9) + CHOOSE(CONTROL!$C$27, 0.0021, 0)</f>
        <v>27.6127</v>
      </c>
      <c r="E123" s="17">
        <f>27.4739 * CHOOSE(CONTROL!$C$9, $D$9, 100%, $F$9) + CHOOSE(CONTROL!$C$27, 0.0021, 0)</f>
        <v>27.475999999999999</v>
      </c>
      <c r="F123" s="17">
        <f>27.4739 * CHOOSE(CONTROL!$C$9, $D$9, 100%, $F$9) + CHOOSE(CONTROL!$C$27, 0.0021, 0)</f>
        <v>27.475999999999999</v>
      </c>
      <c r="G123" s="17">
        <f>27.7453 * CHOOSE(CONTROL!$C$9, $D$9, 100%, $F$9) + CHOOSE(CONTROL!$C$27, 0.0021, 0)</f>
        <v>27.747399999999999</v>
      </c>
      <c r="H123" s="17">
        <f>27.6106 * CHOOSE(CONTROL!$C$9, $D$9, 100%, $F$9) + CHOOSE(CONTROL!$C$27, 0.0021, 0)</f>
        <v>27.6127</v>
      </c>
      <c r="I123" s="17">
        <f>27.6106 * CHOOSE(CONTROL!$C$9, $D$9, 100%, $F$9) + CHOOSE(CONTROL!$C$27, 0.0021, 0)</f>
        <v>27.6127</v>
      </c>
      <c r="J123" s="17">
        <f>27.6106 * CHOOSE(CONTROL!$C$9, $D$9, 100%, $F$9) + CHOOSE(CONTROL!$C$27, 0.0021, 0)</f>
        <v>27.6127</v>
      </c>
      <c r="K123" s="17">
        <f>27.6106 * CHOOSE(CONTROL!$C$9, $D$9, 100%, $F$9) + CHOOSE(CONTROL!$C$27, 0.0021, 0)</f>
        <v>27.6127</v>
      </c>
      <c r="L123" s="17"/>
    </row>
    <row r="124" spans="1:12" ht="15" x14ac:dyDescent="0.2">
      <c r="A124" s="16">
        <v>44682</v>
      </c>
      <c r="B124" s="17">
        <f>28.6377 * CHOOSE(CONTROL!$C$9, $D$9, 100%, $F$9) + CHOOSE(CONTROL!$C$27, 0.0021, 0)</f>
        <v>28.639799999999997</v>
      </c>
      <c r="C124" s="17">
        <f>28.2055 * CHOOSE(CONTROL!$C$9, $D$9, 100%, $F$9) + CHOOSE(CONTROL!$C$27, 0.0021, 0)</f>
        <v>28.207599999999999</v>
      </c>
      <c r="D124" s="17">
        <f>28.2055 * CHOOSE(CONTROL!$C$9, $D$9, 100%, $F$9) + CHOOSE(CONTROL!$C$27, 0.0021, 0)</f>
        <v>28.207599999999999</v>
      </c>
      <c r="E124" s="17">
        <f>28.0688 * CHOOSE(CONTROL!$C$9, $D$9, 100%, $F$9) + CHOOSE(CONTROL!$C$27, 0.0021, 0)</f>
        <v>28.070899999999998</v>
      </c>
      <c r="F124" s="17">
        <f>28.0688 * CHOOSE(CONTROL!$C$9, $D$9, 100%, $F$9) + CHOOSE(CONTROL!$C$27, 0.0021, 0)</f>
        <v>28.070899999999998</v>
      </c>
      <c r="G124" s="17">
        <f>28.3402 * CHOOSE(CONTROL!$C$9, $D$9, 100%, $F$9) + CHOOSE(CONTROL!$C$27, 0.0021, 0)</f>
        <v>28.342299999999998</v>
      </c>
      <c r="H124" s="17">
        <f>28.2055 * CHOOSE(CONTROL!$C$9, $D$9, 100%, $F$9) + CHOOSE(CONTROL!$C$27, 0.0021, 0)</f>
        <v>28.207599999999999</v>
      </c>
      <c r="I124" s="17">
        <f>28.2055 * CHOOSE(CONTROL!$C$9, $D$9, 100%, $F$9) + CHOOSE(CONTROL!$C$27, 0.0021, 0)</f>
        <v>28.207599999999999</v>
      </c>
      <c r="J124" s="17">
        <f>28.2055 * CHOOSE(CONTROL!$C$9, $D$9, 100%, $F$9) + CHOOSE(CONTROL!$C$27, 0.0021, 0)</f>
        <v>28.207599999999999</v>
      </c>
      <c r="K124" s="17">
        <f>28.2055 * CHOOSE(CONTROL!$C$9, $D$9, 100%, $F$9) + CHOOSE(CONTROL!$C$27, 0.0021, 0)</f>
        <v>28.207599999999999</v>
      </c>
      <c r="L124" s="17"/>
    </row>
    <row r="125" spans="1:12" ht="15" x14ac:dyDescent="0.2">
      <c r="A125" s="16">
        <v>44713</v>
      </c>
      <c r="B125" s="17">
        <f>29.0173 * CHOOSE(CONTROL!$C$9, $D$9, 100%, $F$9) + CHOOSE(CONTROL!$C$27, 0.0021, 0)</f>
        <v>29.019399999999997</v>
      </c>
      <c r="C125" s="17">
        <f>28.585 * CHOOSE(CONTROL!$C$9, $D$9, 100%, $F$9) + CHOOSE(CONTROL!$C$27, 0.0021, 0)</f>
        <v>28.5871</v>
      </c>
      <c r="D125" s="17">
        <f>28.585 * CHOOSE(CONTROL!$C$9, $D$9, 100%, $F$9) + CHOOSE(CONTROL!$C$27, 0.0021, 0)</f>
        <v>28.5871</v>
      </c>
      <c r="E125" s="17">
        <f>28.4483 * CHOOSE(CONTROL!$C$9, $D$9, 100%, $F$9) + CHOOSE(CONTROL!$C$27, 0.0021, 0)</f>
        <v>28.450399999999998</v>
      </c>
      <c r="F125" s="17">
        <f>28.4483 * CHOOSE(CONTROL!$C$9, $D$9, 100%, $F$9) + CHOOSE(CONTROL!$C$27, 0.0021, 0)</f>
        <v>28.450399999999998</v>
      </c>
      <c r="G125" s="17">
        <f>28.7197 * CHOOSE(CONTROL!$C$9, $D$9, 100%, $F$9) + CHOOSE(CONTROL!$C$27, 0.0021, 0)</f>
        <v>28.721799999999998</v>
      </c>
      <c r="H125" s="17">
        <f>28.585 * CHOOSE(CONTROL!$C$9, $D$9, 100%, $F$9) + CHOOSE(CONTROL!$C$27, 0.0021, 0)</f>
        <v>28.5871</v>
      </c>
      <c r="I125" s="17">
        <f>28.585 * CHOOSE(CONTROL!$C$9, $D$9, 100%, $F$9) + CHOOSE(CONTROL!$C$27, 0.0021, 0)</f>
        <v>28.5871</v>
      </c>
      <c r="J125" s="17">
        <f>28.585 * CHOOSE(CONTROL!$C$9, $D$9, 100%, $F$9) + CHOOSE(CONTROL!$C$27, 0.0021, 0)</f>
        <v>28.5871</v>
      </c>
      <c r="K125" s="17">
        <f>28.585 * CHOOSE(CONTROL!$C$9, $D$9, 100%, $F$9) + CHOOSE(CONTROL!$C$27, 0.0021, 0)</f>
        <v>28.5871</v>
      </c>
      <c r="L125" s="17"/>
    </row>
    <row r="126" spans="1:12" ht="15" x14ac:dyDescent="0.2">
      <c r="A126" s="16">
        <v>44743</v>
      </c>
      <c r="B126" s="17">
        <f>29.6099 * CHOOSE(CONTROL!$C$9, $D$9, 100%, $F$9) + CHOOSE(CONTROL!$C$27, 0.0021, 0)</f>
        <v>29.611999999999998</v>
      </c>
      <c r="C126" s="17">
        <f>29.1777 * CHOOSE(CONTROL!$C$9, $D$9, 100%, $F$9) + CHOOSE(CONTROL!$C$27, 0.0021, 0)</f>
        <v>29.1798</v>
      </c>
      <c r="D126" s="17">
        <f>29.1777 * CHOOSE(CONTROL!$C$9, $D$9, 100%, $F$9) + CHOOSE(CONTROL!$C$27, 0.0021, 0)</f>
        <v>29.1798</v>
      </c>
      <c r="E126" s="17">
        <f>29.041 * CHOOSE(CONTROL!$C$9, $D$9, 100%, $F$9) + CHOOSE(CONTROL!$C$27, 0.0021, 0)</f>
        <v>29.043099999999999</v>
      </c>
      <c r="F126" s="17">
        <f>29.041 * CHOOSE(CONTROL!$C$9, $D$9, 100%, $F$9) + CHOOSE(CONTROL!$C$27, 0.0021, 0)</f>
        <v>29.043099999999999</v>
      </c>
      <c r="G126" s="17">
        <f>29.3124 * CHOOSE(CONTROL!$C$9, $D$9, 100%, $F$9) + CHOOSE(CONTROL!$C$27, 0.0021, 0)</f>
        <v>29.314499999999999</v>
      </c>
      <c r="H126" s="17">
        <f>29.1777 * CHOOSE(CONTROL!$C$9, $D$9, 100%, $F$9) + CHOOSE(CONTROL!$C$27, 0.0021, 0)</f>
        <v>29.1798</v>
      </c>
      <c r="I126" s="17">
        <f>29.1777 * CHOOSE(CONTROL!$C$9, $D$9, 100%, $F$9) + CHOOSE(CONTROL!$C$27, 0.0021, 0)</f>
        <v>29.1798</v>
      </c>
      <c r="J126" s="17">
        <f>29.1777 * CHOOSE(CONTROL!$C$9, $D$9, 100%, $F$9) + CHOOSE(CONTROL!$C$27, 0.0021, 0)</f>
        <v>29.1798</v>
      </c>
      <c r="K126" s="17">
        <f>29.1777 * CHOOSE(CONTROL!$C$9, $D$9, 100%, $F$9) + CHOOSE(CONTROL!$C$27, 0.0021, 0)</f>
        <v>29.1798</v>
      </c>
      <c r="L126" s="17"/>
    </row>
    <row r="127" spans="1:12" ht="15" x14ac:dyDescent="0.2">
      <c r="A127" s="16">
        <v>44774</v>
      </c>
      <c r="B127" s="17">
        <f>29.8306 * CHOOSE(CONTROL!$C$9, $D$9, 100%, $F$9) + CHOOSE(CONTROL!$C$27, 0.0021, 0)</f>
        <v>29.832699999999999</v>
      </c>
      <c r="C127" s="17">
        <f>29.3984 * CHOOSE(CONTROL!$C$9, $D$9, 100%, $F$9) + CHOOSE(CONTROL!$C$27, 0.0021, 0)</f>
        <v>29.400499999999997</v>
      </c>
      <c r="D127" s="17">
        <f>29.3984 * CHOOSE(CONTROL!$C$9, $D$9, 100%, $F$9) + CHOOSE(CONTROL!$C$27, 0.0021, 0)</f>
        <v>29.400499999999997</v>
      </c>
      <c r="E127" s="17">
        <f>29.2617 * CHOOSE(CONTROL!$C$9, $D$9, 100%, $F$9) + CHOOSE(CONTROL!$C$27, 0.0021, 0)</f>
        <v>29.2638</v>
      </c>
      <c r="F127" s="17">
        <f>29.2617 * CHOOSE(CONTROL!$C$9, $D$9, 100%, $F$9) + CHOOSE(CONTROL!$C$27, 0.0021, 0)</f>
        <v>29.2638</v>
      </c>
      <c r="G127" s="17">
        <f>29.5331 * CHOOSE(CONTROL!$C$9, $D$9, 100%, $F$9) + CHOOSE(CONTROL!$C$27, 0.0021, 0)</f>
        <v>29.5352</v>
      </c>
      <c r="H127" s="17">
        <f>29.3984 * CHOOSE(CONTROL!$C$9, $D$9, 100%, $F$9) + CHOOSE(CONTROL!$C$27, 0.0021, 0)</f>
        <v>29.400499999999997</v>
      </c>
      <c r="I127" s="17">
        <f>29.3984 * CHOOSE(CONTROL!$C$9, $D$9, 100%, $F$9) + CHOOSE(CONTROL!$C$27, 0.0021, 0)</f>
        <v>29.400499999999997</v>
      </c>
      <c r="J127" s="17">
        <f>29.3984 * CHOOSE(CONTROL!$C$9, $D$9, 100%, $F$9) + CHOOSE(CONTROL!$C$27, 0.0021, 0)</f>
        <v>29.400499999999997</v>
      </c>
      <c r="K127" s="17">
        <f>29.3984 * CHOOSE(CONTROL!$C$9, $D$9, 100%, $F$9) + CHOOSE(CONTROL!$C$27, 0.0021, 0)</f>
        <v>29.400499999999997</v>
      </c>
      <c r="L127" s="17"/>
    </row>
    <row r="128" spans="1:12" ht="15" x14ac:dyDescent="0.2">
      <c r="A128" s="16">
        <v>44805</v>
      </c>
      <c r="B128" s="17">
        <f>30.4485 * CHOOSE(CONTROL!$C$9, $D$9, 100%, $F$9) + CHOOSE(CONTROL!$C$27, 0.0021, 0)</f>
        <v>30.450599999999998</v>
      </c>
      <c r="C128" s="17">
        <f>30.0163 * CHOOSE(CONTROL!$C$9, $D$9, 100%, $F$9) + CHOOSE(CONTROL!$C$27, 0.0021, 0)</f>
        <v>30.0184</v>
      </c>
      <c r="D128" s="17">
        <f>30.0163 * CHOOSE(CONTROL!$C$9, $D$9, 100%, $F$9) + CHOOSE(CONTROL!$C$27, 0.0021, 0)</f>
        <v>30.0184</v>
      </c>
      <c r="E128" s="17">
        <f>29.8796 * CHOOSE(CONTROL!$C$9, $D$9, 100%, $F$9) + CHOOSE(CONTROL!$C$27, 0.0021, 0)</f>
        <v>29.881699999999999</v>
      </c>
      <c r="F128" s="17">
        <f>29.8796 * CHOOSE(CONTROL!$C$9, $D$9, 100%, $F$9) + CHOOSE(CONTROL!$C$27, 0.0021, 0)</f>
        <v>29.881699999999999</v>
      </c>
      <c r="G128" s="17">
        <f>30.151 * CHOOSE(CONTROL!$C$9, $D$9, 100%, $F$9) + CHOOSE(CONTROL!$C$27, 0.0021, 0)</f>
        <v>30.153099999999998</v>
      </c>
      <c r="H128" s="17">
        <f>30.0163 * CHOOSE(CONTROL!$C$9, $D$9, 100%, $F$9) + CHOOSE(CONTROL!$C$27, 0.0021, 0)</f>
        <v>30.0184</v>
      </c>
      <c r="I128" s="17">
        <f>30.0163 * CHOOSE(CONTROL!$C$9, $D$9, 100%, $F$9) + CHOOSE(CONTROL!$C$27, 0.0021, 0)</f>
        <v>30.0184</v>
      </c>
      <c r="J128" s="17">
        <f>30.0163 * CHOOSE(CONTROL!$C$9, $D$9, 100%, $F$9) + CHOOSE(CONTROL!$C$27, 0.0021, 0)</f>
        <v>30.0184</v>
      </c>
      <c r="K128" s="17">
        <f>30.0163 * CHOOSE(CONTROL!$C$9, $D$9, 100%, $F$9) + CHOOSE(CONTROL!$C$27, 0.0021, 0)</f>
        <v>30.0184</v>
      </c>
      <c r="L128" s="17"/>
    </row>
    <row r="129" spans="1:12" ht="15" x14ac:dyDescent="0.2">
      <c r="A129" s="16">
        <v>44835</v>
      </c>
      <c r="B129" s="17">
        <f>31.2183 * CHOOSE(CONTROL!$C$9, $D$9, 100%, $F$9) + CHOOSE(CONTROL!$C$27, 0.0021, 0)</f>
        <v>31.220399999999998</v>
      </c>
      <c r="C129" s="17">
        <f>30.786 * CHOOSE(CONTROL!$C$9, $D$9, 100%, $F$9) + CHOOSE(CONTROL!$C$27, 0.0021, 0)</f>
        <v>30.7881</v>
      </c>
      <c r="D129" s="17">
        <f>30.786 * CHOOSE(CONTROL!$C$9, $D$9, 100%, $F$9) + CHOOSE(CONTROL!$C$27, 0.0021, 0)</f>
        <v>30.7881</v>
      </c>
      <c r="E129" s="17">
        <f>30.6494 * CHOOSE(CONTROL!$C$9, $D$9, 100%, $F$9) + CHOOSE(CONTROL!$C$27, 0.0021, 0)</f>
        <v>30.651499999999999</v>
      </c>
      <c r="F129" s="17">
        <f>30.6494 * CHOOSE(CONTROL!$C$9, $D$9, 100%, $F$9) + CHOOSE(CONTROL!$C$27, 0.0021, 0)</f>
        <v>30.651499999999999</v>
      </c>
      <c r="G129" s="17">
        <f>30.9207 * CHOOSE(CONTROL!$C$9, $D$9, 100%, $F$9) + CHOOSE(CONTROL!$C$27, 0.0021, 0)</f>
        <v>30.922799999999999</v>
      </c>
      <c r="H129" s="17">
        <f>30.786 * CHOOSE(CONTROL!$C$9, $D$9, 100%, $F$9) + CHOOSE(CONTROL!$C$27, 0.0021, 0)</f>
        <v>30.7881</v>
      </c>
      <c r="I129" s="17">
        <f>30.786 * CHOOSE(CONTROL!$C$9, $D$9, 100%, $F$9) + CHOOSE(CONTROL!$C$27, 0.0021, 0)</f>
        <v>30.7881</v>
      </c>
      <c r="J129" s="17">
        <f>30.786 * CHOOSE(CONTROL!$C$9, $D$9, 100%, $F$9) + CHOOSE(CONTROL!$C$27, 0.0021, 0)</f>
        <v>30.7881</v>
      </c>
      <c r="K129" s="17">
        <f>30.786 * CHOOSE(CONTROL!$C$9, $D$9, 100%, $F$9) + CHOOSE(CONTROL!$C$27, 0.0021, 0)</f>
        <v>30.7881</v>
      </c>
      <c r="L129" s="17"/>
    </row>
    <row r="130" spans="1:12" ht="15" x14ac:dyDescent="0.2">
      <c r="A130" s="16">
        <v>44866</v>
      </c>
      <c r="B130" s="17">
        <f>31.3448 * CHOOSE(CONTROL!$C$9, $D$9, 100%, $F$9) + CHOOSE(CONTROL!$C$27, 0.0021, 0)</f>
        <v>31.346899999999998</v>
      </c>
      <c r="C130" s="17">
        <f>30.9126 * CHOOSE(CONTROL!$C$9, $D$9, 100%, $F$9) + CHOOSE(CONTROL!$C$27, 0.0021, 0)</f>
        <v>30.9147</v>
      </c>
      <c r="D130" s="17">
        <f>30.9126 * CHOOSE(CONTROL!$C$9, $D$9, 100%, $F$9) + CHOOSE(CONTROL!$C$27, 0.0021, 0)</f>
        <v>30.9147</v>
      </c>
      <c r="E130" s="17">
        <f>30.7759 * CHOOSE(CONTROL!$C$9, $D$9, 100%, $F$9) + CHOOSE(CONTROL!$C$27, 0.0021, 0)</f>
        <v>30.777999999999999</v>
      </c>
      <c r="F130" s="17">
        <f>30.7759 * CHOOSE(CONTROL!$C$9, $D$9, 100%, $F$9) + CHOOSE(CONTROL!$C$27, 0.0021, 0)</f>
        <v>30.777999999999999</v>
      </c>
      <c r="G130" s="17">
        <f>31.0473 * CHOOSE(CONTROL!$C$9, $D$9, 100%, $F$9) + CHOOSE(CONTROL!$C$27, 0.0021, 0)</f>
        <v>31.049399999999999</v>
      </c>
      <c r="H130" s="17">
        <f>30.9126 * CHOOSE(CONTROL!$C$9, $D$9, 100%, $F$9) + CHOOSE(CONTROL!$C$27, 0.0021, 0)</f>
        <v>30.9147</v>
      </c>
      <c r="I130" s="17">
        <f>30.9126 * CHOOSE(CONTROL!$C$9, $D$9, 100%, $F$9) + CHOOSE(CONTROL!$C$27, 0.0021, 0)</f>
        <v>30.9147</v>
      </c>
      <c r="J130" s="17">
        <f>30.9126 * CHOOSE(CONTROL!$C$9, $D$9, 100%, $F$9) + CHOOSE(CONTROL!$C$27, 0.0021, 0)</f>
        <v>30.9147</v>
      </c>
      <c r="K130" s="17">
        <f>30.9126 * CHOOSE(CONTROL!$C$9, $D$9, 100%, $F$9) + CHOOSE(CONTROL!$C$27, 0.0021, 0)</f>
        <v>30.9147</v>
      </c>
      <c r="L130" s="17"/>
    </row>
    <row r="131" spans="1:12" ht="15" x14ac:dyDescent="0.2">
      <c r="A131" s="16">
        <v>44896</v>
      </c>
      <c r="B131" s="17">
        <f>30.8338 * CHOOSE(CONTROL!$C$9, $D$9, 100%, $F$9) + CHOOSE(CONTROL!$C$27, 0.0021, 0)</f>
        <v>30.835899999999999</v>
      </c>
      <c r="C131" s="17">
        <f>30.4016 * CHOOSE(CONTROL!$C$9, $D$9, 100%, $F$9) + CHOOSE(CONTROL!$C$27, 0.0021, 0)</f>
        <v>30.403699999999997</v>
      </c>
      <c r="D131" s="17">
        <f>30.4016 * CHOOSE(CONTROL!$C$9, $D$9, 100%, $F$9) + CHOOSE(CONTROL!$C$27, 0.0021, 0)</f>
        <v>30.403699999999997</v>
      </c>
      <c r="E131" s="17">
        <f>30.2649 * CHOOSE(CONTROL!$C$9, $D$9, 100%, $F$9) + CHOOSE(CONTROL!$C$27, 0.0021, 0)</f>
        <v>30.266999999999999</v>
      </c>
      <c r="F131" s="17">
        <f>30.2649 * CHOOSE(CONTROL!$C$9, $D$9, 100%, $F$9) + CHOOSE(CONTROL!$C$27, 0.0021, 0)</f>
        <v>30.266999999999999</v>
      </c>
      <c r="G131" s="17">
        <f>30.5363 * CHOOSE(CONTROL!$C$9, $D$9, 100%, $F$9) + CHOOSE(CONTROL!$C$27, 0.0021, 0)</f>
        <v>30.538399999999999</v>
      </c>
      <c r="H131" s="17">
        <f>30.4016 * CHOOSE(CONTROL!$C$9, $D$9, 100%, $F$9) + CHOOSE(CONTROL!$C$27, 0.0021, 0)</f>
        <v>30.403699999999997</v>
      </c>
      <c r="I131" s="17">
        <f>30.4016 * CHOOSE(CONTROL!$C$9, $D$9, 100%, $F$9) + CHOOSE(CONTROL!$C$27, 0.0021, 0)</f>
        <v>30.403699999999997</v>
      </c>
      <c r="J131" s="17">
        <f>30.4016 * CHOOSE(CONTROL!$C$9, $D$9, 100%, $F$9) + CHOOSE(CONTROL!$C$27, 0.0021, 0)</f>
        <v>30.403699999999997</v>
      </c>
      <c r="K131" s="17">
        <f>30.4016 * CHOOSE(CONTROL!$C$9, $D$9, 100%, $F$9) + CHOOSE(CONTROL!$C$27, 0.0021, 0)</f>
        <v>30.403699999999997</v>
      </c>
      <c r="L131" s="17"/>
    </row>
    <row r="132" spans="1:12" ht="15" x14ac:dyDescent="0.2">
      <c r="A132" s="16">
        <v>44927</v>
      </c>
      <c r="B132" s="17">
        <f>30.7577 * CHOOSE(CONTROL!$C$9, $D$9, 100%, $F$9) + CHOOSE(CONTROL!$C$27, 0.0021, 0)</f>
        <v>30.759799999999998</v>
      </c>
      <c r="C132" s="17">
        <f>30.3255 * CHOOSE(CONTROL!$C$9, $D$9, 100%, $F$9) + CHOOSE(CONTROL!$C$27, 0.0021, 0)</f>
        <v>30.3276</v>
      </c>
      <c r="D132" s="17">
        <f>30.3255 * CHOOSE(CONTROL!$C$9, $D$9, 100%, $F$9) + CHOOSE(CONTROL!$C$27, 0.0021, 0)</f>
        <v>30.3276</v>
      </c>
      <c r="E132" s="17">
        <f>30.1888 * CHOOSE(CONTROL!$C$9, $D$9, 100%, $F$9) + CHOOSE(CONTROL!$C$27, 0.0021, 0)</f>
        <v>30.190899999999999</v>
      </c>
      <c r="F132" s="17">
        <f>30.1888 * CHOOSE(CONTROL!$C$9, $D$9, 100%, $F$9) + CHOOSE(CONTROL!$C$27, 0.0021, 0)</f>
        <v>30.190899999999999</v>
      </c>
      <c r="G132" s="17">
        <f>30.4602 * CHOOSE(CONTROL!$C$9, $D$9, 100%, $F$9) + CHOOSE(CONTROL!$C$27, 0.0021, 0)</f>
        <v>30.462299999999999</v>
      </c>
      <c r="H132" s="17">
        <f>30.3255 * CHOOSE(CONTROL!$C$9, $D$9, 100%, $F$9) + CHOOSE(CONTROL!$C$27, 0.0021, 0)</f>
        <v>30.3276</v>
      </c>
      <c r="I132" s="17">
        <f>30.3255 * CHOOSE(CONTROL!$C$9, $D$9, 100%, $F$9) + CHOOSE(CONTROL!$C$27, 0.0021, 0)</f>
        <v>30.3276</v>
      </c>
      <c r="J132" s="17">
        <f>30.3255 * CHOOSE(CONTROL!$C$9, $D$9, 100%, $F$9) + CHOOSE(CONTROL!$C$27, 0.0021, 0)</f>
        <v>30.3276</v>
      </c>
      <c r="K132" s="17">
        <f>30.3255 * CHOOSE(CONTROL!$C$9, $D$9, 100%, $F$9) + CHOOSE(CONTROL!$C$27, 0.0021, 0)</f>
        <v>30.3276</v>
      </c>
      <c r="L132" s="17"/>
    </row>
    <row r="133" spans="1:12" ht="15" x14ac:dyDescent="0.2">
      <c r="A133" s="16">
        <v>44958</v>
      </c>
      <c r="B133" s="17">
        <f>30.0096 * CHOOSE(CONTROL!$C$9, $D$9, 100%, $F$9) + CHOOSE(CONTROL!$C$27, 0.0021, 0)</f>
        <v>30.011699999999998</v>
      </c>
      <c r="C133" s="17">
        <f>29.5773 * CHOOSE(CONTROL!$C$9, $D$9, 100%, $F$9) + CHOOSE(CONTROL!$C$27, 0.0021, 0)</f>
        <v>29.5794</v>
      </c>
      <c r="D133" s="17">
        <f>29.5773 * CHOOSE(CONTROL!$C$9, $D$9, 100%, $F$9) + CHOOSE(CONTROL!$C$27, 0.0021, 0)</f>
        <v>29.5794</v>
      </c>
      <c r="E133" s="17">
        <f>29.4406 * CHOOSE(CONTROL!$C$9, $D$9, 100%, $F$9) + CHOOSE(CONTROL!$C$27, 0.0021, 0)</f>
        <v>29.442699999999999</v>
      </c>
      <c r="F133" s="17">
        <f>29.4406 * CHOOSE(CONTROL!$C$9, $D$9, 100%, $F$9) + CHOOSE(CONTROL!$C$27, 0.0021, 0)</f>
        <v>29.442699999999999</v>
      </c>
      <c r="G133" s="17">
        <f>29.712 * CHOOSE(CONTROL!$C$9, $D$9, 100%, $F$9) + CHOOSE(CONTROL!$C$27, 0.0021, 0)</f>
        <v>29.714099999999998</v>
      </c>
      <c r="H133" s="17">
        <f>29.5773 * CHOOSE(CONTROL!$C$9, $D$9, 100%, $F$9) + CHOOSE(CONTROL!$C$27, 0.0021, 0)</f>
        <v>29.5794</v>
      </c>
      <c r="I133" s="17">
        <f>29.5773 * CHOOSE(CONTROL!$C$9, $D$9, 100%, $F$9) + CHOOSE(CONTROL!$C$27, 0.0021, 0)</f>
        <v>29.5794</v>
      </c>
      <c r="J133" s="17">
        <f>29.5773 * CHOOSE(CONTROL!$C$9, $D$9, 100%, $F$9) + CHOOSE(CONTROL!$C$27, 0.0021, 0)</f>
        <v>29.5794</v>
      </c>
      <c r="K133" s="17">
        <f>29.5773 * CHOOSE(CONTROL!$C$9, $D$9, 100%, $F$9) + CHOOSE(CONTROL!$C$27, 0.0021, 0)</f>
        <v>29.5794</v>
      </c>
      <c r="L133" s="17"/>
    </row>
    <row r="134" spans="1:12" ht="15" x14ac:dyDescent="0.2">
      <c r="A134" s="16">
        <v>44986</v>
      </c>
      <c r="B134" s="17">
        <f>29.7329 * CHOOSE(CONTROL!$C$9, $D$9, 100%, $F$9) + CHOOSE(CONTROL!$C$27, 0.0021, 0)</f>
        <v>29.734999999999999</v>
      </c>
      <c r="C134" s="17">
        <f>29.3007 * CHOOSE(CONTROL!$C$9, $D$9, 100%, $F$9) + CHOOSE(CONTROL!$C$27, 0.0021, 0)</f>
        <v>29.302799999999998</v>
      </c>
      <c r="D134" s="17">
        <f>29.3007 * CHOOSE(CONTROL!$C$9, $D$9, 100%, $F$9) + CHOOSE(CONTROL!$C$27, 0.0021, 0)</f>
        <v>29.302799999999998</v>
      </c>
      <c r="E134" s="17">
        <f>29.164 * CHOOSE(CONTROL!$C$9, $D$9, 100%, $F$9) + CHOOSE(CONTROL!$C$27, 0.0021, 0)</f>
        <v>29.1661</v>
      </c>
      <c r="F134" s="17">
        <f>29.164 * CHOOSE(CONTROL!$C$9, $D$9, 100%, $F$9) + CHOOSE(CONTROL!$C$27, 0.0021, 0)</f>
        <v>29.1661</v>
      </c>
      <c r="G134" s="17">
        <f>29.4354 * CHOOSE(CONTROL!$C$9, $D$9, 100%, $F$9) + CHOOSE(CONTROL!$C$27, 0.0021, 0)</f>
        <v>29.4375</v>
      </c>
      <c r="H134" s="17">
        <f>29.3007 * CHOOSE(CONTROL!$C$9, $D$9, 100%, $F$9) + CHOOSE(CONTROL!$C$27, 0.0021, 0)</f>
        <v>29.302799999999998</v>
      </c>
      <c r="I134" s="17">
        <f>29.3007 * CHOOSE(CONTROL!$C$9, $D$9, 100%, $F$9) + CHOOSE(CONTROL!$C$27, 0.0021, 0)</f>
        <v>29.302799999999998</v>
      </c>
      <c r="J134" s="17">
        <f>29.3007 * CHOOSE(CONTROL!$C$9, $D$9, 100%, $F$9) + CHOOSE(CONTROL!$C$27, 0.0021, 0)</f>
        <v>29.302799999999998</v>
      </c>
      <c r="K134" s="17">
        <f>29.3007 * CHOOSE(CONTROL!$C$9, $D$9, 100%, $F$9) + CHOOSE(CONTROL!$C$27, 0.0021, 0)</f>
        <v>29.302799999999998</v>
      </c>
      <c r="L134" s="17"/>
    </row>
    <row r="135" spans="1:12" ht="15" x14ac:dyDescent="0.2">
      <c r="A135" s="16">
        <v>45017</v>
      </c>
      <c r="B135" s="17">
        <f>29.3901 * CHOOSE(CONTROL!$C$9, $D$9, 100%, $F$9) + CHOOSE(CONTROL!$C$27, 0.0021, 0)</f>
        <v>29.392199999999999</v>
      </c>
      <c r="C135" s="17">
        <f>28.9579 * CHOOSE(CONTROL!$C$9, $D$9, 100%, $F$9) + CHOOSE(CONTROL!$C$27, 0.0021, 0)</f>
        <v>28.959999999999997</v>
      </c>
      <c r="D135" s="17">
        <f>28.9579 * CHOOSE(CONTROL!$C$9, $D$9, 100%, $F$9) + CHOOSE(CONTROL!$C$27, 0.0021, 0)</f>
        <v>28.959999999999997</v>
      </c>
      <c r="E135" s="17">
        <f>28.8212 * CHOOSE(CONTROL!$C$9, $D$9, 100%, $F$9) + CHOOSE(CONTROL!$C$27, 0.0021, 0)</f>
        <v>28.8233</v>
      </c>
      <c r="F135" s="17">
        <f>28.8212 * CHOOSE(CONTROL!$C$9, $D$9, 100%, $F$9) + CHOOSE(CONTROL!$C$27, 0.0021, 0)</f>
        <v>28.8233</v>
      </c>
      <c r="G135" s="17">
        <f>29.0926 * CHOOSE(CONTROL!$C$9, $D$9, 100%, $F$9) + CHOOSE(CONTROL!$C$27, 0.0021, 0)</f>
        <v>29.0947</v>
      </c>
      <c r="H135" s="17">
        <f>28.9579 * CHOOSE(CONTROL!$C$9, $D$9, 100%, $F$9) + CHOOSE(CONTROL!$C$27, 0.0021, 0)</f>
        <v>28.959999999999997</v>
      </c>
      <c r="I135" s="17">
        <f>28.9579 * CHOOSE(CONTROL!$C$9, $D$9, 100%, $F$9) + CHOOSE(CONTROL!$C$27, 0.0021, 0)</f>
        <v>28.959999999999997</v>
      </c>
      <c r="J135" s="17">
        <f>28.9579 * CHOOSE(CONTROL!$C$9, $D$9, 100%, $F$9) + CHOOSE(CONTROL!$C$27, 0.0021, 0)</f>
        <v>28.959999999999997</v>
      </c>
      <c r="K135" s="17">
        <f>28.9579 * CHOOSE(CONTROL!$C$9, $D$9, 100%, $F$9) + CHOOSE(CONTROL!$C$27, 0.0021, 0)</f>
        <v>28.959999999999997</v>
      </c>
      <c r="L135" s="17"/>
    </row>
    <row r="136" spans="1:12" ht="15" x14ac:dyDescent="0.2">
      <c r="A136" s="16">
        <v>45047</v>
      </c>
      <c r="B136" s="17">
        <f>30.0162 * CHOOSE(CONTROL!$C$9, $D$9, 100%, $F$9) + CHOOSE(CONTROL!$C$27, 0.0021, 0)</f>
        <v>30.0183</v>
      </c>
      <c r="C136" s="17">
        <f>29.5839 * CHOOSE(CONTROL!$C$9, $D$9, 100%, $F$9) + CHOOSE(CONTROL!$C$27, 0.0021, 0)</f>
        <v>29.585999999999999</v>
      </c>
      <c r="D136" s="17">
        <f>29.5839 * CHOOSE(CONTROL!$C$9, $D$9, 100%, $F$9) + CHOOSE(CONTROL!$C$27, 0.0021, 0)</f>
        <v>29.585999999999999</v>
      </c>
      <c r="E136" s="17">
        <f>29.4473 * CHOOSE(CONTROL!$C$9, $D$9, 100%, $F$9) + CHOOSE(CONTROL!$C$27, 0.0021, 0)</f>
        <v>29.449399999999997</v>
      </c>
      <c r="F136" s="17">
        <f>29.4473 * CHOOSE(CONTROL!$C$9, $D$9, 100%, $F$9) + CHOOSE(CONTROL!$C$27, 0.0021, 0)</f>
        <v>29.449399999999997</v>
      </c>
      <c r="G136" s="17">
        <f>29.7186 * CHOOSE(CONTROL!$C$9, $D$9, 100%, $F$9) + CHOOSE(CONTROL!$C$27, 0.0021, 0)</f>
        <v>29.720699999999997</v>
      </c>
      <c r="H136" s="17">
        <f>29.5839 * CHOOSE(CONTROL!$C$9, $D$9, 100%, $F$9) + CHOOSE(CONTROL!$C$27, 0.0021, 0)</f>
        <v>29.585999999999999</v>
      </c>
      <c r="I136" s="17">
        <f>29.5839 * CHOOSE(CONTROL!$C$9, $D$9, 100%, $F$9) + CHOOSE(CONTROL!$C$27, 0.0021, 0)</f>
        <v>29.585999999999999</v>
      </c>
      <c r="J136" s="17">
        <f>29.5839 * CHOOSE(CONTROL!$C$9, $D$9, 100%, $F$9) + CHOOSE(CONTROL!$C$27, 0.0021, 0)</f>
        <v>29.585999999999999</v>
      </c>
      <c r="K136" s="17">
        <f>29.5839 * CHOOSE(CONTROL!$C$9, $D$9, 100%, $F$9) + CHOOSE(CONTROL!$C$27, 0.0021, 0)</f>
        <v>29.585999999999999</v>
      </c>
      <c r="L136" s="17"/>
    </row>
    <row r="137" spans="1:12" ht="15" x14ac:dyDescent="0.2">
      <c r="A137" s="16">
        <v>45078</v>
      </c>
      <c r="B137" s="17">
        <f>30.4155 * CHOOSE(CONTROL!$C$9, $D$9, 100%, $F$9) + CHOOSE(CONTROL!$C$27, 0.0021, 0)</f>
        <v>30.4176</v>
      </c>
      <c r="C137" s="17">
        <f>29.9833 * CHOOSE(CONTROL!$C$9, $D$9, 100%, $F$9) + CHOOSE(CONTROL!$C$27, 0.0021, 0)</f>
        <v>29.985399999999998</v>
      </c>
      <c r="D137" s="17">
        <f>29.9833 * CHOOSE(CONTROL!$C$9, $D$9, 100%, $F$9) + CHOOSE(CONTROL!$C$27, 0.0021, 0)</f>
        <v>29.985399999999998</v>
      </c>
      <c r="E137" s="17">
        <f>29.8466 * CHOOSE(CONTROL!$C$9, $D$9, 100%, $F$9) + CHOOSE(CONTROL!$C$27, 0.0021, 0)</f>
        <v>29.848699999999997</v>
      </c>
      <c r="F137" s="17">
        <f>29.8466 * CHOOSE(CONTROL!$C$9, $D$9, 100%, $F$9) + CHOOSE(CONTROL!$C$27, 0.0021, 0)</f>
        <v>29.848699999999997</v>
      </c>
      <c r="G137" s="17">
        <f>30.118 * CHOOSE(CONTROL!$C$9, $D$9, 100%, $F$9) + CHOOSE(CONTROL!$C$27, 0.0021, 0)</f>
        <v>30.120099999999997</v>
      </c>
      <c r="H137" s="17">
        <f>29.9833 * CHOOSE(CONTROL!$C$9, $D$9, 100%, $F$9) + CHOOSE(CONTROL!$C$27, 0.0021, 0)</f>
        <v>29.985399999999998</v>
      </c>
      <c r="I137" s="17">
        <f>29.9833 * CHOOSE(CONTROL!$C$9, $D$9, 100%, $F$9) + CHOOSE(CONTROL!$C$27, 0.0021, 0)</f>
        <v>29.985399999999998</v>
      </c>
      <c r="J137" s="17">
        <f>29.9833 * CHOOSE(CONTROL!$C$9, $D$9, 100%, $F$9) + CHOOSE(CONTROL!$C$27, 0.0021, 0)</f>
        <v>29.985399999999998</v>
      </c>
      <c r="K137" s="17">
        <f>29.9833 * CHOOSE(CONTROL!$C$9, $D$9, 100%, $F$9) + CHOOSE(CONTROL!$C$27, 0.0021, 0)</f>
        <v>29.985399999999998</v>
      </c>
      <c r="L137" s="17"/>
    </row>
    <row r="138" spans="1:12" ht="15" x14ac:dyDescent="0.2">
      <c r="A138" s="16">
        <v>45108</v>
      </c>
      <c r="B138" s="17">
        <f>31.0392 * CHOOSE(CONTROL!$C$9, $D$9, 100%, $F$9) + CHOOSE(CONTROL!$C$27, 0.0021, 0)</f>
        <v>31.0413</v>
      </c>
      <c r="C138" s="17">
        <f>30.607 * CHOOSE(CONTROL!$C$9, $D$9, 100%, $F$9) + CHOOSE(CONTROL!$C$27, 0.0021, 0)</f>
        <v>30.609099999999998</v>
      </c>
      <c r="D138" s="17">
        <f>30.607 * CHOOSE(CONTROL!$C$9, $D$9, 100%, $F$9) + CHOOSE(CONTROL!$C$27, 0.0021, 0)</f>
        <v>30.609099999999998</v>
      </c>
      <c r="E138" s="17">
        <f>30.4703 * CHOOSE(CONTROL!$C$9, $D$9, 100%, $F$9) + CHOOSE(CONTROL!$C$27, 0.0021, 0)</f>
        <v>30.4724</v>
      </c>
      <c r="F138" s="17">
        <f>30.4703 * CHOOSE(CONTROL!$C$9, $D$9, 100%, $F$9) + CHOOSE(CONTROL!$C$27, 0.0021, 0)</f>
        <v>30.4724</v>
      </c>
      <c r="G138" s="17">
        <f>30.7417 * CHOOSE(CONTROL!$C$9, $D$9, 100%, $F$9) + CHOOSE(CONTROL!$C$27, 0.0021, 0)</f>
        <v>30.7438</v>
      </c>
      <c r="H138" s="17">
        <f>30.607 * CHOOSE(CONTROL!$C$9, $D$9, 100%, $F$9) + CHOOSE(CONTROL!$C$27, 0.0021, 0)</f>
        <v>30.609099999999998</v>
      </c>
      <c r="I138" s="17">
        <f>30.607 * CHOOSE(CONTROL!$C$9, $D$9, 100%, $F$9) + CHOOSE(CONTROL!$C$27, 0.0021, 0)</f>
        <v>30.609099999999998</v>
      </c>
      <c r="J138" s="17">
        <f>30.607 * CHOOSE(CONTROL!$C$9, $D$9, 100%, $F$9) + CHOOSE(CONTROL!$C$27, 0.0021, 0)</f>
        <v>30.609099999999998</v>
      </c>
      <c r="K138" s="17">
        <f>30.607 * CHOOSE(CONTROL!$C$9, $D$9, 100%, $F$9) + CHOOSE(CONTROL!$C$27, 0.0021, 0)</f>
        <v>30.609099999999998</v>
      </c>
      <c r="L138" s="17"/>
    </row>
    <row r="139" spans="1:12" ht="15" x14ac:dyDescent="0.2">
      <c r="A139" s="16">
        <v>45139</v>
      </c>
      <c r="B139" s="17">
        <f>31.2715 * CHOOSE(CONTROL!$C$9, $D$9, 100%, $F$9) + CHOOSE(CONTROL!$C$27, 0.0021, 0)</f>
        <v>31.273599999999998</v>
      </c>
      <c r="C139" s="17">
        <f>30.8392 * CHOOSE(CONTROL!$C$9, $D$9, 100%, $F$9) + CHOOSE(CONTROL!$C$27, 0.0021, 0)</f>
        <v>30.8413</v>
      </c>
      <c r="D139" s="17">
        <f>30.8392 * CHOOSE(CONTROL!$C$9, $D$9, 100%, $F$9) + CHOOSE(CONTROL!$C$27, 0.0021, 0)</f>
        <v>30.8413</v>
      </c>
      <c r="E139" s="17">
        <f>30.7026 * CHOOSE(CONTROL!$C$9, $D$9, 100%, $F$9) + CHOOSE(CONTROL!$C$27, 0.0021, 0)</f>
        <v>30.704699999999999</v>
      </c>
      <c r="F139" s="17">
        <f>30.7026 * CHOOSE(CONTROL!$C$9, $D$9, 100%, $F$9) + CHOOSE(CONTROL!$C$27, 0.0021, 0)</f>
        <v>30.704699999999999</v>
      </c>
      <c r="G139" s="17">
        <f>30.9739 * CHOOSE(CONTROL!$C$9, $D$9, 100%, $F$9) + CHOOSE(CONTROL!$C$27, 0.0021, 0)</f>
        <v>30.975999999999999</v>
      </c>
      <c r="H139" s="17">
        <f>30.8392 * CHOOSE(CONTROL!$C$9, $D$9, 100%, $F$9) + CHOOSE(CONTROL!$C$27, 0.0021, 0)</f>
        <v>30.8413</v>
      </c>
      <c r="I139" s="17">
        <f>30.8392 * CHOOSE(CONTROL!$C$9, $D$9, 100%, $F$9) + CHOOSE(CONTROL!$C$27, 0.0021, 0)</f>
        <v>30.8413</v>
      </c>
      <c r="J139" s="17">
        <f>30.8392 * CHOOSE(CONTROL!$C$9, $D$9, 100%, $F$9) + CHOOSE(CONTROL!$C$27, 0.0021, 0)</f>
        <v>30.8413</v>
      </c>
      <c r="K139" s="17">
        <f>30.8392 * CHOOSE(CONTROL!$C$9, $D$9, 100%, $F$9) + CHOOSE(CONTROL!$C$27, 0.0021, 0)</f>
        <v>30.8413</v>
      </c>
      <c r="L139" s="17"/>
    </row>
    <row r="140" spans="1:12" ht="15" x14ac:dyDescent="0.2">
      <c r="A140" s="16">
        <v>45170</v>
      </c>
      <c r="B140" s="17">
        <f>31.9217 * CHOOSE(CONTROL!$C$9, $D$9, 100%, $F$9) + CHOOSE(CONTROL!$C$27, 0.0021, 0)</f>
        <v>31.9238</v>
      </c>
      <c r="C140" s="17">
        <f>31.4894 * CHOOSE(CONTROL!$C$9, $D$9, 100%, $F$9) + CHOOSE(CONTROL!$C$27, 0.0021, 0)</f>
        <v>31.491499999999998</v>
      </c>
      <c r="D140" s="17">
        <f>31.4894 * CHOOSE(CONTROL!$C$9, $D$9, 100%, $F$9) + CHOOSE(CONTROL!$C$27, 0.0021, 0)</f>
        <v>31.491499999999998</v>
      </c>
      <c r="E140" s="17">
        <f>31.3528 * CHOOSE(CONTROL!$C$9, $D$9, 100%, $F$9) + CHOOSE(CONTROL!$C$27, 0.0021, 0)</f>
        <v>31.354899999999997</v>
      </c>
      <c r="F140" s="17">
        <f>31.3528 * CHOOSE(CONTROL!$C$9, $D$9, 100%, $F$9) + CHOOSE(CONTROL!$C$27, 0.0021, 0)</f>
        <v>31.354899999999997</v>
      </c>
      <c r="G140" s="17">
        <f>31.6241 * CHOOSE(CONTROL!$C$9, $D$9, 100%, $F$9) + CHOOSE(CONTROL!$C$27, 0.0021, 0)</f>
        <v>31.626199999999997</v>
      </c>
      <c r="H140" s="17">
        <f>31.4894 * CHOOSE(CONTROL!$C$9, $D$9, 100%, $F$9) + CHOOSE(CONTROL!$C$27, 0.0021, 0)</f>
        <v>31.491499999999998</v>
      </c>
      <c r="I140" s="17">
        <f>31.4894 * CHOOSE(CONTROL!$C$9, $D$9, 100%, $F$9) + CHOOSE(CONTROL!$C$27, 0.0021, 0)</f>
        <v>31.491499999999998</v>
      </c>
      <c r="J140" s="17">
        <f>31.4894 * CHOOSE(CONTROL!$C$9, $D$9, 100%, $F$9) + CHOOSE(CONTROL!$C$27, 0.0021, 0)</f>
        <v>31.491499999999998</v>
      </c>
      <c r="K140" s="17">
        <f>31.4894 * CHOOSE(CONTROL!$C$9, $D$9, 100%, $F$9) + CHOOSE(CONTROL!$C$27, 0.0021, 0)</f>
        <v>31.491499999999998</v>
      </c>
      <c r="L140" s="17"/>
    </row>
    <row r="141" spans="1:12" ht="15" x14ac:dyDescent="0.2">
      <c r="A141" s="16">
        <v>45200</v>
      </c>
      <c r="B141" s="17">
        <f>32.7317 * CHOOSE(CONTROL!$C$9, $D$9, 100%, $F$9) + CHOOSE(CONTROL!$C$27, 0.0021, 0)</f>
        <v>32.733799999999995</v>
      </c>
      <c r="C141" s="17">
        <f>32.2995 * CHOOSE(CONTROL!$C$9, $D$9, 100%, $F$9) + CHOOSE(CONTROL!$C$27, 0.0021, 0)</f>
        <v>32.301600000000001</v>
      </c>
      <c r="D141" s="17">
        <f>32.2995 * CHOOSE(CONTROL!$C$9, $D$9, 100%, $F$9) + CHOOSE(CONTROL!$C$27, 0.0021, 0)</f>
        <v>32.301600000000001</v>
      </c>
      <c r="E141" s="17">
        <f>32.1628 * CHOOSE(CONTROL!$C$9, $D$9, 100%, $F$9) + CHOOSE(CONTROL!$C$27, 0.0021, 0)</f>
        <v>32.164899999999996</v>
      </c>
      <c r="F141" s="17">
        <f>32.1628 * CHOOSE(CONTROL!$C$9, $D$9, 100%, $F$9) + CHOOSE(CONTROL!$C$27, 0.0021, 0)</f>
        <v>32.164899999999996</v>
      </c>
      <c r="G141" s="17">
        <f>32.4342 * CHOOSE(CONTROL!$C$9, $D$9, 100%, $F$9) + CHOOSE(CONTROL!$C$27, 0.0021, 0)</f>
        <v>32.436299999999996</v>
      </c>
      <c r="H141" s="17">
        <f>32.2995 * CHOOSE(CONTROL!$C$9, $D$9, 100%, $F$9) + CHOOSE(CONTROL!$C$27, 0.0021, 0)</f>
        <v>32.301600000000001</v>
      </c>
      <c r="I141" s="17">
        <f>32.2995 * CHOOSE(CONTROL!$C$9, $D$9, 100%, $F$9) + CHOOSE(CONTROL!$C$27, 0.0021, 0)</f>
        <v>32.301600000000001</v>
      </c>
      <c r="J141" s="17">
        <f>32.2995 * CHOOSE(CONTROL!$C$9, $D$9, 100%, $F$9) + CHOOSE(CONTROL!$C$27, 0.0021, 0)</f>
        <v>32.301600000000001</v>
      </c>
      <c r="K141" s="17">
        <f>32.2995 * CHOOSE(CONTROL!$C$9, $D$9, 100%, $F$9) + CHOOSE(CONTROL!$C$27, 0.0021, 0)</f>
        <v>32.301600000000001</v>
      </c>
      <c r="L141" s="17"/>
    </row>
    <row r="142" spans="1:12" ht="15" x14ac:dyDescent="0.2">
      <c r="A142" s="16">
        <v>45231</v>
      </c>
      <c r="B142" s="17">
        <f>32.8649 * CHOOSE(CONTROL!$C$9, $D$9, 100%, $F$9) + CHOOSE(CONTROL!$C$27, 0.0021, 0)</f>
        <v>32.866999999999997</v>
      </c>
      <c r="C142" s="17">
        <f>32.4326 * CHOOSE(CONTROL!$C$9, $D$9, 100%, $F$9) + CHOOSE(CONTROL!$C$27, 0.0021, 0)</f>
        <v>32.434699999999999</v>
      </c>
      <c r="D142" s="17">
        <f>32.4326 * CHOOSE(CONTROL!$C$9, $D$9, 100%, $F$9) + CHOOSE(CONTROL!$C$27, 0.0021, 0)</f>
        <v>32.434699999999999</v>
      </c>
      <c r="E142" s="17">
        <f>32.296 * CHOOSE(CONTROL!$C$9, $D$9, 100%, $F$9) + CHOOSE(CONTROL!$C$27, 0.0021, 0)</f>
        <v>32.298099999999998</v>
      </c>
      <c r="F142" s="17">
        <f>32.296 * CHOOSE(CONTROL!$C$9, $D$9, 100%, $F$9) + CHOOSE(CONTROL!$C$27, 0.0021, 0)</f>
        <v>32.298099999999998</v>
      </c>
      <c r="G142" s="17">
        <f>32.5673 * CHOOSE(CONTROL!$C$9, $D$9, 100%, $F$9) + CHOOSE(CONTROL!$C$27, 0.0021, 0)</f>
        <v>32.569400000000002</v>
      </c>
      <c r="H142" s="17">
        <f>32.4326 * CHOOSE(CONTROL!$C$9, $D$9, 100%, $F$9) + CHOOSE(CONTROL!$C$27, 0.0021, 0)</f>
        <v>32.434699999999999</v>
      </c>
      <c r="I142" s="17">
        <f>32.4326 * CHOOSE(CONTROL!$C$9, $D$9, 100%, $F$9) + CHOOSE(CONTROL!$C$27, 0.0021, 0)</f>
        <v>32.434699999999999</v>
      </c>
      <c r="J142" s="17">
        <f>32.4326 * CHOOSE(CONTROL!$C$9, $D$9, 100%, $F$9) + CHOOSE(CONTROL!$C$27, 0.0021, 0)</f>
        <v>32.434699999999999</v>
      </c>
      <c r="K142" s="17">
        <f>32.4326 * CHOOSE(CONTROL!$C$9, $D$9, 100%, $F$9) + CHOOSE(CONTROL!$C$27, 0.0021, 0)</f>
        <v>32.434699999999999</v>
      </c>
      <c r="L142" s="17"/>
    </row>
    <row r="143" spans="1:12" ht="15" x14ac:dyDescent="0.2">
      <c r="A143" s="16">
        <v>45261</v>
      </c>
      <c r="B143" s="17">
        <f>32.3272 * CHOOSE(CONTROL!$C$9, $D$9, 100%, $F$9) + CHOOSE(CONTROL!$C$27, 0.0021, 0)</f>
        <v>32.329299999999996</v>
      </c>
      <c r="C143" s="17">
        <f>31.8949 * CHOOSE(CONTROL!$C$9, $D$9, 100%, $F$9) + CHOOSE(CONTROL!$C$27, 0.0021, 0)</f>
        <v>31.896999999999998</v>
      </c>
      <c r="D143" s="17">
        <f>31.8949 * CHOOSE(CONTROL!$C$9, $D$9, 100%, $F$9) + CHOOSE(CONTROL!$C$27, 0.0021, 0)</f>
        <v>31.896999999999998</v>
      </c>
      <c r="E143" s="17">
        <f>31.7583 * CHOOSE(CONTROL!$C$9, $D$9, 100%, $F$9) + CHOOSE(CONTROL!$C$27, 0.0021, 0)</f>
        <v>31.760399999999997</v>
      </c>
      <c r="F143" s="17">
        <f>31.7583 * CHOOSE(CONTROL!$C$9, $D$9, 100%, $F$9) + CHOOSE(CONTROL!$C$27, 0.0021, 0)</f>
        <v>31.760399999999997</v>
      </c>
      <c r="G143" s="17">
        <f>32.0296 * CHOOSE(CONTROL!$C$9, $D$9, 100%, $F$9) + CHOOSE(CONTROL!$C$27, 0.0021, 0)</f>
        <v>32.031700000000001</v>
      </c>
      <c r="H143" s="17">
        <f>31.8949 * CHOOSE(CONTROL!$C$9, $D$9, 100%, $F$9) + CHOOSE(CONTROL!$C$27, 0.0021, 0)</f>
        <v>31.896999999999998</v>
      </c>
      <c r="I143" s="17">
        <f>31.8949 * CHOOSE(CONTROL!$C$9, $D$9, 100%, $F$9) + CHOOSE(CONTROL!$C$27, 0.0021, 0)</f>
        <v>31.896999999999998</v>
      </c>
      <c r="J143" s="17">
        <f>31.8949 * CHOOSE(CONTROL!$C$9, $D$9, 100%, $F$9) + CHOOSE(CONTROL!$C$27, 0.0021, 0)</f>
        <v>31.896999999999998</v>
      </c>
      <c r="K143" s="17">
        <f>31.8949 * CHOOSE(CONTROL!$C$9, $D$9, 100%, $F$9) + CHOOSE(CONTROL!$C$27, 0.0021, 0)</f>
        <v>31.896999999999998</v>
      </c>
      <c r="L143" s="17"/>
    </row>
    <row r="144" spans="1:12" ht="15" x14ac:dyDescent="0.2">
      <c r="A144" s="16">
        <v>45292</v>
      </c>
      <c r="B144" s="17">
        <f>32.1534 * CHOOSE(CONTROL!$C$9, $D$9, 100%, $F$9) + CHOOSE(CONTROL!$C$27, 0.0021, 0)</f>
        <v>32.155499999999996</v>
      </c>
      <c r="C144" s="17">
        <f>31.7212 * CHOOSE(CONTROL!$C$9, $D$9, 100%, $F$9) + CHOOSE(CONTROL!$C$27, 0.0021, 0)</f>
        <v>31.723299999999998</v>
      </c>
      <c r="D144" s="17">
        <f>31.7212 * CHOOSE(CONTROL!$C$9, $D$9, 100%, $F$9) + CHOOSE(CONTROL!$C$27, 0.0021, 0)</f>
        <v>31.723299999999998</v>
      </c>
      <c r="E144" s="17">
        <f>31.5845 * CHOOSE(CONTROL!$C$9, $D$9, 100%, $F$9) + CHOOSE(CONTROL!$C$27, 0.0021, 0)</f>
        <v>31.586599999999997</v>
      </c>
      <c r="F144" s="17">
        <f>31.5845 * CHOOSE(CONTROL!$C$9, $D$9, 100%, $F$9) + CHOOSE(CONTROL!$C$27, 0.0021, 0)</f>
        <v>31.586599999999997</v>
      </c>
      <c r="G144" s="17">
        <f>31.8559 * CHOOSE(CONTROL!$C$9, $D$9, 100%, $F$9) + CHOOSE(CONTROL!$C$27, 0.0021, 0)</f>
        <v>31.857999999999997</v>
      </c>
      <c r="H144" s="17">
        <f>31.7212 * CHOOSE(CONTROL!$C$9, $D$9, 100%, $F$9) + CHOOSE(CONTROL!$C$27, 0.0021, 0)</f>
        <v>31.723299999999998</v>
      </c>
      <c r="I144" s="17">
        <f>31.7212 * CHOOSE(CONTROL!$C$9, $D$9, 100%, $F$9) + CHOOSE(CONTROL!$C$27, 0.0021, 0)</f>
        <v>31.723299999999998</v>
      </c>
      <c r="J144" s="17">
        <f>31.7212 * CHOOSE(CONTROL!$C$9, $D$9, 100%, $F$9) + CHOOSE(CONTROL!$C$27, 0.0021, 0)</f>
        <v>31.723299999999998</v>
      </c>
      <c r="K144" s="17">
        <f>31.7212 * CHOOSE(CONTROL!$C$9, $D$9, 100%, $F$9) + CHOOSE(CONTROL!$C$27, 0.0021, 0)</f>
        <v>31.723299999999998</v>
      </c>
      <c r="L144" s="17"/>
    </row>
    <row r="145" spans="1:12" ht="15" x14ac:dyDescent="0.2">
      <c r="A145" s="16">
        <v>45323</v>
      </c>
      <c r="B145" s="17">
        <f>31.3686 * CHOOSE(CONTROL!$C$9, $D$9, 100%, $F$9) + CHOOSE(CONTROL!$C$27, 0.0021, 0)</f>
        <v>31.370699999999999</v>
      </c>
      <c r="C145" s="17">
        <f>30.9363 * CHOOSE(CONTROL!$C$9, $D$9, 100%, $F$9) + CHOOSE(CONTROL!$C$27, 0.0021, 0)</f>
        <v>30.938399999999998</v>
      </c>
      <c r="D145" s="17">
        <f>30.9363 * CHOOSE(CONTROL!$C$9, $D$9, 100%, $F$9) + CHOOSE(CONTROL!$C$27, 0.0021, 0)</f>
        <v>30.938399999999998</v>
      </c>
      <c r="E145" s="17">
        <f>30.7997 * CHOOSE(CONTROL!$C$9, $D$9, 100%, $F$9) + CHOOSE(CONTROL!$C$27, 0.0021, 0)</f>
        <v>30.8018</v>
      </c>
      <c r="F145" s="17">
        <f>30.7997 * CHOOSE(CONTROL!$C$9, $D$9, 100%, $F$9) + CHOOSE(CONTROL!$C$27, 0.0021, 0)</f>
        <v>30.8018</v>
      </c>
      <c r="G145" s="17">
        <f>31.071 * CHOOSE(CONTROL!$C$9, $D$9, 100%, $F$9) + CHOOSE(CONTROL!$C$27, 0.0021, 0)</f>
        <v>31.0731</v>
      </c>
      <c r="H145" s="17">
        <f>30.9363 * CHOOSE(CONTROL!$C$9, $D$9, 100%, $F$9) + CHOOSE(CONTROL!$C$27, 0.0021, 0)</f>
        <v>30.938399999999998</v>
      </c>
      <c r="I145" s="17">
        <f>30.9363 * CHOOSE(CONTROL!$C$9, $D$9, 100%, $F$9) + CHOOSE(CONTROL!$C$27, 0.0021, 0)</f>
        <v>30.938399999999998</v>
      </c>
      <c r="J145" s="17">
        <f>30.9363 * CHOOSE(CONTROL!$C$9, $D$9, 100%, $F$9) + CHOOSE(CONTROL!$C$27, 0.0021, 0)</f>
        <v>30.938399999999998</v>
      </c>
      <c r="K145" s="17">
        <f>30.9363 * CHOOSE(CONTROL!$C$9, $D$9, 100%, $F$9) + CHOOSE(CONTROL!$C$27, 0.0021, 0)</f>
        <v>30.938399999999998</v>
      </c>
      <c r="L145" s="17"/>
    </row>
    <row r="146" spans="1:12" ht="15" x14ac:dyDescent="0.2">
      <c r="A146" s="16">
        <v>45352</v>
      </c>
      <c r="B146" s="17">
        <f>31.0784 * CHOOSE(CONTROL!$C$9, $D$9, 100%, $F$9) + CHOOSE(CONTROL!$C$27, 0.0021, 0)</f>
        <v>31.080499999999997</v>
      </c>
      <c r="C146" s="17">
        <f>30.6461 * CHOOSE(CONTROL!$C$9, $D$9, 100%, $F$9) + CHOOSE(CONTROL!$C$27, 0.0021, 0)</f>
        <v>30.648199999999999</v>
      </c>
      <c r="D146" s="17">
        <f>30.6461 * CHOOSE(CONTROL!$C$9, $D$9, 100%, $F$9) + CHOOSE(CONTROL!$C$27, 0.0021, 0)</f>
        <v>30.648199999999999</v>
      </c>
      <c r="E146" s="17">
        <f>30.5095 * CHOOSE(CONTROL!$C$9, $D$9, 100%, $F$9) + CHOOSE(CONTROL!$C$27, 0.0021, 0)</f>
        <v>30.511599999999998</v>
      </c>
      <c r="F146" s="17">
        <f>30.5095 * CHOOSE(CONTROL!$C$9, $D$9, 100%, $F$9) + CHOOSE(CONTROL!$C$27, 0.0021, 0)</f>
        <v>30.511599999999998</v>
      </c>
      <c r="G146" s="17">
        <f>30.7808 * CHOOSE(CONTROL!$C$9, $D$9, 100%, $F$9) + CHOOSE(CONTROL!$C$27, 0.0021, 0)</f>
        <v>30.782899999999998</v>
      </c>
      <c r="H146" s="17">
        <f>30.6461 * CHOOSE(CONTROL!$C$9, $D$9, 100%, $F$9) + CHOOSE(CONTROL!$C$27, 0.0021, 0)</f>
        <v>30.648199999999999</v>
      </c>
      <c r="I146" s="17">
        <f>30.6461 * CHOOSE(CONTROL!$C$9, $D$9, 100%, $F$9) + CHOOSE(CONTROL!$C$27, 0.0021, 0)</f>
        <v>30.648199999999999</v>
      </c>
      <c r="J146" s="17">
        <f>30.6461 * CHOOSE(CONTROL!$C$9, $D$9, 100%, $F$9) + CHOOSE(CONTROL!$C$27, 0.0021, 0)</f>
        <v>30.648199999999999</v>
      </c>
      <c r="K146" s="17">
        <f>30.6461 * CHOOSE(CONTROL!$C$9, $D$9, 100%, $F$9) + CHOOSE(CONTROL!$C$27, 0.0021, 0)</f>
        <v>30.648199999999999</v>
      </c>
      <c r="L146" s="17"/>
    </row>
    <row r="147" spans="1:12" ht="15" x14ac:dyDescent="0.2">
      <c r="A147" s="16">
        <v>45383</v>
      </c>
      <c r="B147" s="17">
        <f>30.7188 * CHOOSE(CONTROL!$C$9, $D$9, 100%, $F$9) + CHOOSE(CONTROL!$C$27, 0.0021, 0)</f>
        <v>30.7209</v>
      </c>
      <c r="C147" s="17">
        <f>30.2865 * CHOOSE(CONTROL!$C$9, $D$9, 100%, $F$9) + CHOOSE(CONTROL!$C$27, 0.0021, 0)</f>
        <v>30.288599999999999</v>
      </c>
      <c r="D147" s="17">
        <f>30.2865 * CHOOSE(CONTROL!$C$9, $D$9, 100%, $F$9) + CHOOSE(CONTROL!$C$27, 0.0021, 0)</f>
        <v>30.288599999999999</v>
      </c>
      <c r="E147" s="17">
        <f>30.1499 * CHOOSE(CONTROL!$C$9, $D$9, 100%, $F$9) + CHOOSE(CONTROL!$C$27, 0.0021, 0)</f>
        <v>30.151999999999997</v>
      </c>
      <c r="F147" s="17">
        <f>30.1499 * CHOOSE(CONTROL!$C$9, $D$9, 100%, $F$9) + CHOOSE(CONTROL!$C$27, 0.0021, 0)</f>
        <v>30.151999999999997</v>
      </c>
      <c r="G147" s="17">
        <f>30.4212 * CHOOSE(CONTROL!$C$9, $D$9, 100%, $F$9) + CHOOSE(CONTROL!$C$27, 0.0021, 0)</f>
        <v>30.423299999999998</v>
      </c>
      <c r="H147" s="17">
        <f>30.2865 * CHOOSE(CONTROL!$C$9, $D$9, 100%, $F$9) + CHOOSE(CONTROL!$C$27, 0.0021, 0)</f>
        <v>30.288599999999999</v>
      </c>
      <c r="I147" s="17">
        <f>30.2865 * CHOOSE(CONTROL!$C$9, $D$9, 100%, $F$9) + CHOOSE(CONTROL!$C$27, 0.0021, 0)</f>
        <v>30.288599999999999</v>
      </c>
      <c r="J147" s="17">
        <f>30.2865 * CHOOSE(CONTROL!$C$9, $D$9, 100%, $F$9) + CHOOSE(CONTROL!$C$27, 0.0021, 0)</f>
        <v>30.288599999999999</v>
      </c>
      <c r="K147" s="17">
        <f>30.2865 * CHOOSE(CONTROL!$C$9, $D$9, 100%, $F$9) + CHOOSE(CONTROL!$C$27, 0.0021, 0)</f>
        <v>30.288599999999999</v>
      </c>
      <c r="L147" s="17"/>
    </row>
    <row r="148" spans="1:12" ht="15" x14ac:dyDescent="0.2">
      <c r="A148" s="16">
        <v>45413</v>
      </c>
      <c r="B148" s="17">
        <f>31.3755 * CHOOSE(CONTROL!$C$9, $D$9, 100%, $F$9) + CHOOSE(CONTROL!$C$27, 0.0021, 0)</f>
        <v>31.377599999999997</v>
      </c>
      <c r="C148" s="17">
        <f>30.9433 * CHOOSE(CONTROL!$C$9, $D$9, 100%, $F$9) + CHOOSE(CONTROL!$C$27, 0.0021, 0)</f>
        <v>30.945399999999999</v>
      </c>
      <c r="D148" s="17">
        <f>30.9433 * CHOOSE(CONTROL!$C$9, $D$9, 100%, $F$9) + CHOOSE(CONTROL!$C$27, 0.0021, 0)</f>
        <v>30.945399999999999</v>
      </c>
      <c r="E148" s="17">
        <f>30.8066 * CHOOSE(CONTROL!$C$9, $D$9, 100%, $F$9) + CHOOSE(CONTROL!$C$27, 0.0021, 0)</f>
        <v>30.808699999999998</v>
      </c>
      <c r="F148" s="17">
        <f>30.8066 * CHOOSE(CONTROL!$C$9, $D$9, 100%, $F$9) + CHOOSE(CONTROL!$C$27, 0.0021, 0)</f>
        <v>30.808699999999998</v>
      </c>
      <c r="G148" s="17">
        <f>31.078 * CHOOSE(CONTROL!$C$9, $D$9, 100%, $F$9) + CHOOSE(CONTROL!$C$27, 0.0021, 0)</f>
        <v>31.080099999999998</v>
      </c>
      <c r="H148" s="17">
        <f>30.9433 * CHOOSE(CONTROL!$C$9, $D$9, 100%, $F$9) + CHOOSE(CONTROL!$C$27, 0.0021, 0)</f>
        <v>30.945399999999999</v>
      </c>
      <c r="I148" s="17">
        <f>30.9433 * CHOOSE(CONTROL!$C$9, $D$9, 100%, $F$9) + CHOOSE(CONTROL!$C$27, 0.0021, 0)</f>
        <v>30.945399999999999</v>
      </c>
      <c r="J148" s="17">
        <f>30.9433 * CHOOSE(CONTROL!$C$9, $D$9, 100%, $F$9) + CHOOSE(CONTROL!$C$27, 0.0021, 0)</f>
        <v>30.945399999999999</v>
      </c>
      <c r="K148" s="17">
        <f>30.9433 * CHOOSE(CONTROL!$C$9, $D$9, 100%, $F$9) + CHOOSE(CONTROL!$C$27, 0.0021, 0)</f>
        <v>30.945399999999999</v>
      </c>
      <c r="L148" s="17"/>
    </row>
    <row r="149" spans="1:12" ht="15" x14ac:dyDescent="0.2">
      <c r="A149" s="16">
        <v>45444</v>
      </c>
      <c r="B149" s="17">
        <f>31.7945 * CHOOSE(CONTROL!$C$9, $D$9, 100%, $F$9) + CHOOSE(CONTROL!$C$27, 0.0021, 0)</f>
        <v>31.796599999999998</v>
      </c>
      <c r="C149" s="17">
        <f>31.3622 * CHOOSE(CONTROL!$C$9, $D$9, 100%, $F$9) + CHOOSE(CONTROL!$C$27, 0.0021, 0)</f>
        <v>31.3643</v>
      </c>
      <c r="D149" s="17">
        <f>31.3622 * CHOOSE(CONTROL!$C$9, $D$9, 100%, $F$9) + CHOOSE(CONTROL!$C$27, 0.0021, 0)</f>
        <v>31.3643</v>
      </c>
      <c r="E149" s="17">
        <f>31.2256 * CHOOSE(CONTROL!$C$9, $D$9, 100%, $F$9) + CHOOSE(CONTROL!$C$27, 0.0021, 0)</f>
        <v>31.227699999999999</v>
      </c>
      <c r="F149" s="17">
        <f>31.2256 * CHOOSE(CONTROL!$C$9, $D$9, 100%, $F$9) + CHOOSE(CONTROL!$C$27, 0.0021, 0)</f>
        <v>31.227699999999999</v>
      </c>
      <c r="G149" s="17">
        <f>31.4969 * CHOOSE(CONTROL!$C$9, $D$9, 100%, $F$9) + CHOOSE(CONTROL!$C$27, 0.0021, 0)</f>
        <v>31.498999999999999</v>
      </c>
      <c r="H149" s="17">
        <f>31.3622 * CHOOSE(CONTROL!$C$9, $D$9, 100%, $F$9) + CHOOSE(CONTROL!$C$27, 0.0021, 0)</f>
        <v>31.3643</v>
      </c>
      <c r="I149" s="17">
        <f>31.3622 * CHOOSE(CONTROL!$C$9, $D$9, 100%, $F$9) + CHOOSE(CONTROL!$C$27, 0.0021, 0)</f>
        <v>31.3643</v>
      </c>
      <c r="J149" s="17">
        <f>31.3622 * CHOOSE(CONTROL!$C$9, $D$9, 100%, $F$9) + CHOOSE(CONTROL!$C$27, 0.0021, 0)</f>
        <v>31.3643</v>
      </c>
      <c r="K149" s="17">
        <f>31.3622 * CHOOSE(CONTROL!$C$9, $D$9, 100%, $F$9) + CHOOSE(CONTROL!$C$27, 0.0021, 0)</f>
        <v>31.3643</v>
      </c>
      <c r="L149" s="17"/>
    </row>
    <row r="150" spans="1:12" ht="15" x14ac:dyDescent="0.2">
      <c r="A150" s="16">
        <v>45474</v>
      </c>
      <c r="B150" s="17">
        <f>32.4487 * CHOOSE(CONTROL!$C$9, $D$9, 100%, $F$9) + CHOOSE(CONTROL!$C$27, 0.0021, 0)</f>
        <v>32.450800000000001</v>
      </c>
      <c r="C150" s="17">
        <f>32.0165 * CHOOSE(CONTROL!$C$9, $D$9, 100%, $F$9) + CHOOSE(CONTROL!$C$27, 0.0021, 0)</f>
        <v>32.018599999999999</v>
      </c>
      <c r="D150" s="17">
        <f>32.0165 * CHOOSE(CONTROL!$C$9, $D$9, 100%, $F$9) + CHOOSE(CONTROL!$C$27, 0.0021, 0)</f>
        <v>32.018599999999999</v>
      </c>
      <c r="E150" s="17">
        <f>31.8798 * CHOOSE(CONTROL!$C$9, $D$9, 100%, $F$9) + CHOOSE(CONTROL!$C$27, 0.0021, 0)</f>
        <v>31.881899999999998</v>
      </c>
      <c r="F150" s="17">
        <f>31.8798 * CHOOSE(CONTROL!$C$9, $D$9, 100%, $F$9) + CHOOSE(CONTROL!$C$27, 0.0021, 0)</f>
        <v>31.881899999999998</v>
      </c>
      <c r="G150" s="17">
        <f>32.1512 * CHOOSE(CONTROL!$C$9, $D$9, 100%, $F$9) + CHOOSE(CONTROL!$C$27, 0.0021, 0)</f>
        <v>32.153300000000002</v>
      </c>
      <c r="H150" s="17">
        <f>32.0165 * CHOOSE(CONTROL!$C$9, $D$9, 100%, $F$9) + CHOOSE(CONTROL!$C$27, 0.0021, 0)</f>
        <v>32.018599999999999</v>
      </c>
      <c r="I150" s="17">
        <f>32.0165 * CHOOSE(CONTROL!$C$9, $D$9, 100%, $F$9) + CHOOSE(CONTROL!$C$27, 0.0021, 0)</f>
        <v>32.018599999999999</v>
      </c>
      <c r="J150" s="17">
        <f>32.0165 * CHOOSE(CONTROL!$C$9, $D$9, 100%, $F$9) + CHOOSE(CONTROL!$C$27, 0.0021, 0)</f>
        <v>32.018599999999999</v>
      </c>
      <c r="K150" s="17">
        <f>32.0165 * CHOOSE(CONTROL!$C$9, $D$9, 100%, $F$9) + CHOOSE(CONTROL!$C$27, 0.0021, 0)</f>
        <v>32.018599999999999</v>
      </c>
      <c r="L150" s="17"/>
    </row>
    <row r="151" spans="1:12" ht="15" x14ac:dyDescent="0.2">
      <c r="A151" s="16">
        <v>45505</v>
      </c>
      <c r="B151" s="17">
        <f>32.6924 * CHOOSE(CONTROL!$C$9, $D$9, 100%, $F$9) + CHOOSE(CONTROL!$C$27, 0.0021, 0)</f>
        <v>32.694499999999998</v>
      </c>
      <c r="C151" s="17">
        <f>32.2601 * CHOOSE(CONTROL!$C$9, $D$9, 100%, $F$9) + CHOOSE(CONTROL!$C$27, 0.0021, 0)</f>
        <v>32.2622</v>
      </c>
      <c r="D151" s="17">
        <f>32.2601 * CHOOSE(CONTROL!$C$9, $D$9, 100%, $F$9) + CHOOSE(CONTROL!$C$27, 0.0021, 0)</f>
        <v>32.2622</v>
      </c>
      <c r="E151" s="17">
        <f>32.1235 * CHOOSE(CONTROL!$C$9, $D$9, 100%, $F$9) + CHOOSE(CONTROL!$C$27, 0.0021, 0)</f>
        <v>32.125599999999999</v>
      </c>
      <c r="F151" s="17">
        <f>32.1235 * CHOOSE(CONTROL!$C$9, $D$9, 100%, $F$9) + CHOOSE(CONTROL!$C$27, 0.0021, 0)</f>
        <v>32.125599999999999</v>
      </c>
      <c r="G151" s="17">
        <f>32.3948 * CHOOSE(CONTROL!$C$9, $D$9, 100%, $F$9) + CHOOSE(CONTROL!$C$27, 0.0021, 0)</f>
        <v>32.396899999999995</v>
      </c>
      <c r="H151" s="17">
        <f>32.2601 * CHOOSE(CONTROL!$C$9, $D$9, 100%, $F$9) + CHOOSE(CONTROL!$C$27, 0.0021, 0)</f>
        <v>32.2622</v>
      </c>
      <c r="I151" s="17">
        <f>32.2601 * CHOOSE(CONTROL!$C$9, $D$9, 100%, $F$9) + CHOOSE(CONTROL!$C$27, 0.0021, 0)</f>
        <v>32.2622</v>
      </c>
      <c r="J151" s="17">
        <f>32.2601 * CHOOSE(CONTROL!$C$9, $D$9, 100%, $F$9) + CHOOSE(CONTROL!$C$27, 0.0021, 0)</f>
        <v>32.2622</v>
      </c>
      <c r="K151" s="17">
        <f>32.2601 * CHOOSE(CONTROL!$C$9, $D$9, 100%, $F$9) + CHOOSE(CONTROL!$C$27, 0.0021, 0)</f>
        <v>32.2622</v>
      </c>
      <c r="L151" s="17"/>
    </row>
    <row r="152" spans="1:12" ht="15" x14ac:dyDescent="0.2">
      <c r="A152" s="16">
        <v>45536</v>
      </c>
      <c r="B152" s="17">
        <f>33.3744 * CHOOSE(CONTROL!$C$9, $D$9, 100%, $F$9) + CHOOSE(CONTROL!$C$27, 0.0021, 0)</f>
        <v>33.3765</v>
      </c>
      <c r="C152" s="17">
        <f>32.9422 * CHOOSE(CONTROL!$C$9, $D$9, 100%, $F$9) + CHOOSE(CONTROL!$C$27, 0.0021, 0)</f>
        <v>32.944299999999998</v>
      </c>
      <c r="D152" s="17">
        <f>32.9422 * CHOOSE(CONTROL!$C$9, $D$9, 100%, $F$9) + CHOOSE(CONTROL!$C$27, 0.0021, 0)</f>
        <v>32.944299999999998</v>
      </c>
      <c r="E152" s="17">
        <f>32.8055 * CHOOSE(CONTROL!$C$9, $D$9, 100%, $F$9) + CHOOSE(CONTROL!$C$27, 0.0021, 0)</f>
        <v>32.807600000000001</v>
      </c>
      <c r="F152" s="17">
        <f>32.8055 * CHOOSE(CONTROL!$C$9, $D$9, 100%, $F$9) + CHOOSE(CONTROL!$C$27, 0.0021, 0)</f>
        <v>32.807600000000001</v>
      </c>
      <c r="G152" s="17">
        <f>33.0769 * CHOOSE(CONTROL!$C$9, $D$9, 100%, $F$9) + CHOOSE(CONTROL!$C$27, 0.0021, 0)</f>
        <v>33.079000000000001</v>
      </c>
      <c r="H152" s="17">
        <f>32.9422 * CHOOSE(CONTROL!$C$9, $D$9, 100%, $F$9) + CHOOSE(CONTROL!$C$27, 0.0021, 0)</f>
        <v>32.944299999999998</v>
      </c>
      <c r="I152" s="17">
        <f>32.9422 * CHOOSE(CONTROL!$C$9, $D$9, 100%, $F$9) + CHOOSE(CONTROL!$C$27, 0.0021, 0)</f>
        <v>32.944299999999998</v>
      </c>
      <c r="J152" s="17">
        <f>32.9422 * CHOOSE(CONTROL!$C$9, $D$9, 100%, $F$9) + CHOOSE(CONTROL!$C$27, 0.0021, 0)</f>
        <v>32.944299999999998</v>
      </c>
      <c r="K152" s="17">
        <f>32.9422 * CHOOSE(CONTROL!$C$9, $D$9, 100%, $F$9) + CHOOSE(CONTROL!$C$27, 0.0021, 0)</f>
        <v>32.944299999999998</v>
      </c>
      <c r="L152" s="17"/>
    </row>
    <row r="153" spans="1:12" ht="15" x14ac:dyDescent="0.2">
      <c r="A153" s="16">
        <v>45566</v>
      </c>
      <c r="B153" s="17">
        <f>34.2242 * CHOOSE(CONTROL!$C$9, $D$9, 100%, $F$9) + CHOOSE(CONTROL!$C$27, 0.0021, 0)</f>
        <v>34.226300000000002</v>
      </c>
      <c r="C153" s="17">
        <f>33.792 * CHOOSE(CONTROL!$C$9, $D$9, 100%, $F$9) + CHOOSE(CONTROL!$C$27, 0.0021, 0)</f>
        <v>33.7941</v>
      </c>
      <c r="D153" s="17">
        <f>33.792 * CHOOSE(CONTROL!$C$9, $D$9, 100%, $F$9) + CHOOSE(CONTROL!$C$27, 0.0021, 0)</f>
        <v>33.7941</v>
      </c>
      <c r="E153" s="17">
        <f>33.6553 * CHOOSE(CONTROL!$C$9, $D$9, 100%, $F$9) + CHOOSE(CONTROL!$C$27, 0.0021, 0)</f>
        <v>33.657399999999996</v>
      </c>
      <c r="F153" s="17">
        <f>33.6553 * CHOOSE(CONTROL!$C$9, $D$9, 100%, $F$9) + CHOOSE(CONTROL!$C$27, 0.0021, 0)</f>
        <v>33.657399999999996</v>
      </c>
      <c r="G153" s="17">
        <f>33.9267 * CHOOSE(CONTROL!$C$9, $D$9, 100%, $F$9) + CHOOSE(CONTROL!$C$27, 0.0021, 0)</f>
        <v>33.928799999999995</v>
      </c>
      <c r="H153" s="17">
        <f>33.792 * CHOOSE(CONTROL!$C$9, $D$9, 100%, $F$9) + CHOOSE(CONTROL!$C$27, 0.0021, 0)</f>
        <v>33.7941</v>
      </c>
      <c r="I153" s="17">
        <f>33.792 * CHOOSE(CONTROL!$C$9, $D$9, 100%, $F$9) + CHOOSE(CONTROL!$C$27, 0.0021, 0)</f>
        <v>33.7941</v>
      </c>
      <c r="J153" s="17">
        <f>33.792 * CHOOSE(CONTROL!$C$9, $D$9, 100%, $F$9) + CHOOSE(CONTROL!$C$27, 0.0021, 0)</f>
        <v>33.7941</v>
      </c>
      <c r="K153" s="17">
        <f>33.792 * CHOOSE(CONTROL!$C$9, $D$9, 100%, $F$9) + CHOOSE(CONTROL!$C$27, 0.0021, 0)</f>
        <v>33.7941</v>
      </c>
      <c r="L153" s="17"/>
    </row>
    <row r="154" spans="1:12" ht="15" x14ac:dyDescent="0.2">
      <c r="A154" s="16">
        <v>45597</v>
      </c>
      <c r="B154" s="17">
        <f>34.3639 * CHOOSE(CONTROL!$C$9, $D$9, 100%, $F$9) + CHOOSE(CONTROL!$C$27, 0.0021, 0)</f>
        <v>34.366</v>
      </c>
      <c r="C154" s="17">
        <f>33.9316 * CHOOSE(CONTROL!$C$9, $D$9, 100%, $F$9) + CHOOSE(CONTROL!$C$27, 0.0021, 0)</f>
        <v>33.933700000000002</v>
      </c>
      <c r="D154" s="17">
        <f>33.9316 * CHOOSE(CONTROL!$C$9, $D$9, 100%, $F$9) + CHOOSE(CONTROL!$C$27, 0.0021, 0)</f>
        <v>33.933700000000002</v>
      </c>
      <c r="E154" s="17">
        <f>33.795 * CHOOSE(CONTROL!$C$9, $D$9, 100%, $F$9) + CHOOSE(CONTROL!$C$27, 0.0021, 0)</f>
        <v>33.7971</v>
      </c>
      <c r="F154" s="17">
        <f>33.795 * CHOOSE(CONTROL!$C$9, $D$9, 100%, $F$9) + CHOOSE(CONTROL!$C$27, 0.0021, 0)</f>
        <v>33.7971</v>
      </c>
      <c r="G154" s="17">
        <f>34.0664 * CHOOSE(CONTROL!$C$9, $D$9, 100%, $F$9) + CHOOSE(CONTROL!$C$27, 0.0021, 0)</f>
        <v>34.0685</v>
      </c>
      <c r="H154" s="17">
        <f>33.9316 * CHOOSE(CONTROL!$C$9, $D$9, 100%, $F$9) + CHOOSE(CONTROL!$C$27, 0.0021, 0)</f>
        <v>33.933700000000002</v>
      </c>
      <c r="I154" s="17">
        <f>33.9316 * CHOOSE(CONTROL!$C$9, $D$9, 100%, $F$9) + CHOOSE(CONTROL!$C$27, 0.0021, 0)</f>
        <v>33.933700000000002</v>
      </c>
      <c r="J154" s="17">
        <f>33.9316 * CHOOSE(CONTROL!$C$9, $D$9, 100%, $F$9) + CHOOSE(CONTROL!$C$27, 0.0021, 0)</f>
        <v>33.933700000000002</v>
      </c>
      <c r="K154" s="17">
        <f>33.9316 * CHOOSE(CONTROL!$C$9, $D$9, 100%, $F$9) + CHOOSE(CONTROL!$C$27, 0.0021, 0)</f>
        <v>33.933700000000002</v>
      </c>
      <c r="L154" s="17"/>
    </row>
    <row r="155" spans="1:12" ht="15" x14ac:dyDescent="0.2">
      <c r="A155" s="16">
        <v>45627</v>
      </c>
      <c r="B155" s="17">
        <f>33.7998 * CHOOSE(CONTROL!$C$9, $D$9, 100%, $F$9) + CHOOSE(CONTROL!$C$27, 0.0021, 0)</f>
        <v>33.801899999999996</v>
      </c>
      <c r="C155" s="17">
        <f>33.3676 * CHOOSE(CONTROL!$C$9, $D$9, 100%, $F$9) + CHOOSE(CONTROL!$C$27, 0.0021, 0)</f>
        <v>33.369700000000002</v>
      </c>
      <c r="D155" s="17">
        <f>33.3676 * CHOOSE(CONTROL!$C$9, $D$9, 100%, $F$9) + CHOOSE(CONTROL!$C$27, 0.0021, 0)</f>
        <v>33.369700000000002</v>
      </c>
      <c r="E155" s="17">
        <f>33.2309 * CHOOSE(CONTROL!$C$9, $D$9, 100%, $F$9) + CHOOSE(CONTROL!$C$27, 0.0021, 0)</f>
        <v>33.232999999999997</v>
      </c>
      <c r="F155" s="17">
        <f>33.2309 * CHOOSE(CONTROL!$C$9, $D$9, 100%, $F$9) + CHOOSE(CONTROL!$C$27, 0.0021, 0)</f>
        <v>33.232999999999997</v>
      </c>
      <c r="G155" s="17">
        <f>33.5023 * CHOOSE(CONTROL!$C$9, $D$9, 100%, $F$9) + CHOOSE(CONTROL!$C$27, 0.0021, 0)</f>
        <v>33.504399999999997</v>
      </c>
      <c r="H155" s="17">
        <f>33.3676 * CHOOSE(CONTROL!$C$9, $D$9, 100%, $F$9) + CHOOSE(CONTROL!$C$27, 0.0021, 0)</f>
        <v>33.369700000000002</v>
      </c>
      <c r="I155" s="17">
        <f>33.3676 * CHOOSE(CONTROL!$C$9, $D$9, 100%, $F$9) + CHOOSE(CONTROL!$C$27, 0.0021, 0)</f>
        <v>33.369700000000002</v>
      </c>
      <c r="J155" s="17">
        <f>33.3676 * CHOOSE(CONTROL!$C$9, $D$9, 100%, $F$9) + CHOOSE(CONTROL!$C$27, 0.0021, 0)</f>
        <v>33.369700000000002</v>
      </c>
      <c r="K155" s="17">
        <f>33.3676 * CHOOSE(CONTROL!$C$9, $D$9, 100%, $F$9) + CHOOSE(CONTROL!$C$27, 0.0021, 0)</f>
        <v>33.369700000000002</v>
      </c>
      <c r="L155" s="17"/>
    </row>
    <row r="156" spans="1:12" ht="15" x14ac:dyDescent="0.2">
      <c r="A156" s="16">
        <v>45658</v>
      </c>
      <c r="B156" s="17">
        <f>33.5133 * CHOOSE(CONTROL!$C$9, $D$9, 100%, $F$9) + CHOOSE(CONTROL!$C$27, 0.0021, 0)</f>
        <v>33.5154</v>
      </c>
      <c r="C156" s="17">
        <f>33.081 * CHOOSE(CONTROL!$C$9, $D$9, 100%, $F$9) + CHOOSE(CONTROL!$C$27, 0.0021, 0)</f>
        <v>33.083100000000002</v>
      </c>
      <c r="D156" s="17">
        <f>33.081 * CHOOSE(CONTROL!$C$9, $D$9, 100%, $F$9) + CHOOSE(CONTROL!$C$27, 0.0021, 0)</f>
        <v>33.083100000000002</v>
      </c>
      <c r="E156" s="17">
        <f>32.9444 * CHOOSE(CONTROL!$C$9, $D$9, 100%, $F$9) + CHOOSE(CONTROL!$C$27, 0.0021, 0)</f>
        <v>32.9465</v>
      </c>
      <c r="F156" s="17">
        <f>32.9444 * CHOOSE(CONTROL!$C$9, $D$9, 100%, $F$9) + CHOOSE(CONTROL!$C$27, 0.0021, 0)</f>
        <v>32.9465</v>
      </c>
      <c r="G156" s="17">
        <f>33.2158 * CHOOSE(CONTROL!$C$9, $D$9, 100%, $F$9) + CHOOSE(CONTROL!$C$27, 0.0021, 0)</f>
        <v>33.2179</v>
      </c>
      <c r="H156" s="17">
        <f>33.081 * CHOOSE(CONTROL!$C$9, $D$9, 100%, $F$9) + CHOOSE(CONTROL!$C$27, 0.0021, 0)</f>
        <v>33.083100000000002</v>
      </c>
      <c r="I156" s="17">
        <f>33.081 * CHOOSE(CONTROL!$C$9, $D$9, 100%, $F$9) + CHOOSE(CONTROL!$C$27, 0.0021, 0)</f>
        <v>33.083100000000002</v>
      </c>
      <c r="J156" s="17">
        <f>33.081 * CHOOSE(CONTROL!$C$9, $D$9, 100%, $F$9) + CHOOSE(CONTROL!$C$27, 0.0021, 0)</f>
        <v>33.083100000000002</v>
      </c>
      <c r="K156" s="17">
        <f>33.081 * CHOOSE(CONTROL!$C$9, $D$9, 100%, $F$9) + CHOOSE(CONTROL!$C$27, 0.0021, 0)</f>
        <v>33.083100000000002</v>
      </c>
      <c r="L156" s="17"/>
    </row>
    <row r="157" spans="1:12" ht="15" x14ac:dyDescent="0.2">
      <c r="A157" s="16">
        <v>45689</v>
      </c>
      <c r="B157" s="17">
        <f>32.6927 * CHOOSE(CONTROL!$C$9, $D$9, 100%, $F$9) + CHOOSE(CONTROL!$C$27, 0.0021, 0)</f>
        <v>32.694800000000001</v>
      </c>
      <c r="C157" s="17">
        <f>32.2604 * CHOOSE(CONTROL!$C$9, $D$9, 100%, $F$9) + CHOOSE(CONTROL!$C$27, 0.0021, 0)</f>
        <v>32.262499999999996</v>
      </c>
      <c r="D157" s="17">
        <f>32.2604 * CHOOSE(CONTROL!$C$9, $D$9, 100%, $F$9) + CHOOSE(CONTROL!$C$27, 0.0021, 0)</f>
        <v>32.262499999999996</v>
      </c>
      <c r="E157" s="17">
        <f>32.1238 * CHOOSE(CONTROL!$C$9, $D$9, 100%, $F$9) + CHOOSE(CONTROL!$C$27, 0.0021, 0)</f>
        <v>32.125900000000001</v>
      </c>
      <c r="F157" s="17">
        <f>32.1238 * CHOOSE(CONTROL!$C$9, $D$9, 100%, $F$9) + CHOOSE(CONTROL!$C$27, 0.0021, 0)</f>
        <v>32.125900000000001</v>
      </c>
      <c r="G157" s="17">
        <f>32.3952 * CHOOSE(CONTROL!$C$9, $D$9, 100%, $F$9) + CHOOSE(CONTROL!$C$27, 0.0021, 0)</f>
        <v>32.397300000000001</v>
      </c>
      <c r="H157" s="17">
        <f>32.2604 * CHOOSE(CONTROL!$C$9, $D$9, 100%, $F$9) + CHOOSE(CONTROL!$C$27, 0.0021, 0)</f>
        <v>32.262499999999996</v>
      </c>
      <c r="I157" s="17">
        <f>32.2604 * CHOOSE(CONTROL!$C$9, $D$9, 100%, $F$9) + CHOOSE(CONTROL!$C$27, 0.0021, 0)</f>
        <v>32.262499999999996</v>
      </c>
      <c r="J157" s="17">
        <f>32.2604 * CHOOSE(CONTROL!$C$9, $D$9, 100%, $F$9) + CHOOSE(CONTROL!$C$27, 0.0021, 0)</f>
        <v>32.262499999999996</v>
      </c>
      <c r="K157" s="17">
        <f>32.2604 * CHOOSE(CONTROL!$C$9, $D$9, 100%, $F$9) + CHOOSE(CONTROL!$C$27, 0.0021, 0)</f>
        <v>32.262499999999996</v>
      </c>
      <c r="L157" s="17"/>
    </row>
    <row r="158" spans="1:12" ht="15" x14ac:dyDescent="0.2">
      <c r="A158" s="16">
        <v>45717</v>
      </c>
      <c r="B158" s="17">
        <f>32.3893 * CHOOSE(CONTROL!$C$9, $D$9, 100%, $F$9) + CHOOSE(CONTROL!$C$27, 0.0021, 0)</f>
        <v>32.391399999999997</v>
      </c>
      <c r="C158" s="17">
        <f>31.957 * CHOOSE(CONTROL!$C$9, $D$9, 100%, $F$9) + CHOOSE(CONTROL!$C$27, 0.0021, 0)</f>
        <v>31.959099999999999</v>
      </c>
      <c r="D158" s="17">
        <f>31.957 * CHOOSE(CONTROL!$C$9, $D$9, 100%, $F$9) + CHOOSE(CONTROL!$C$27, 0.0021, 0)</f>
        <v>31.959099999999999</v>
      </c>
      <c r="E158" s="17">
        <f>31.8204 * CHOOSE(CONTROL!$C$9, $D$9, 100%, $F$9) + CHOOSE(CONTROL!$C$27, 0.0021, 0)</f>
        <v>31.822499999999998</v>
      </c>
      <c r="F158" s="17">
        <f>31.8204 * CHOOSE(CONTROL!$C$9, $D$9, 100%, $F$9) + CHOOSE(CONTROL!$C$27, 0.0021, 0)</f>
        <v>31.822499999999998</v>
      </c>
      <c r="G158" s="17">
        <f>32.0917 * CHOOSE(CONTROL!$C$9, $D$9, 100%, $F$9) + CHOOSE(CONTROL!$C$27, 0.0021, 0)</f>
        <v>32.093800000000002</v>
      </c>
      <c r="H158" s="17">
        <f>31.957 * CHOOSE(CONTROL!$C$9, $D$9, 100%, $F$9) + CHOOSE(CONTROL!$C$27, 0.0021, 0)</f>
        <v>31.959099999999999</v>
      </c>
      <c r="I158" s="17">
        <f>31.957 * CHOOSE(CONTROL!$C$9, $D$9, 100%, $F$9) + CHOOSE(CONTROL!$C$27, 0.0021, 0)</f>
        <v>31.959099999999999</v>
      </c>
      <c r="J158" s="17">
        <f>31.957 * CHOOSE(CONTROL!$C$9, $D$9, 100%, $F$9) + CHOOSE(CONTROL!$C$27, 0.0021, 0)</f>
        <v>31.959099999999999</v>
      </c>
      <c r="K158" s="17">
        <f>31.957 * CHOOSE(CONTROL!$C$9, $D$9, 100%, $F$9) + CHOOSE(CONTROL!$C$27, 0.0021, 0)</f>
        <v>31.959099999999999</v>
      </c>
      <c r="L158" s="17"/>
    </row>
    <row r="159" spans="1:12" ht="15" x14ac:dyDescent="0.2">
      <c r="A159" s="16">
        <v>45748</v>
      </c>
      <c r="B159" s="17">
        <f>32.0133 * CHOOSE(CONTROL!$C$9, $D$9, 100%, $F$9) + CHOOSE(CONTROL!$C$27, 0.0021, 0)</f>
        <v>32.0154</v>
      </c>
      <c r="C159" s="17">
        <f>31.581 * CHOOSE(CONTROL!$C$9, $D$9, 100%, $F$9) + CHOOSE(CONTROL!$C$27, 0.0021, 0)</f>
        <v>31.583099999999998</v>
      </c>
      <c r="D159" s="17">
        <f>31.581 * CHOOSE(CONTROL!$C$9, $D$9, 100%, $F$9) + CHOOSE(CONTROL!$C$27, 0.0021, 0)</f>
        <v>31.583099999999998</v>
      </c>
      <c r="E159" s="17">
        <f>31.4444 * CHOOSE(CONTROL!$C$9, $D$9, 100%, $F$9) + CHOOSE(CONTROL!$C$27, 0.0021, 0)</f>
        <v>31.4465</v>
      </c>
      <c r="F159" s="17">
        <f>31.4444 * CHOOSE(CONTROL!$C$9, $D$9, 100%, $F$9) + CHOOSE(CONTROL!$C$27, 0.0021, 0)</f>
        <v>31.4465</v>
      </c>
      <c r="G159" s="17">
        <f>31.7158 * CHOOSE(CONTROL!$C$9, $D$9, 100%, $F$9) + CHOOSE(CONTROL!$C$27, 0.0021, 0)</f>
        <v>31.7179</v>
      </c>
      <c r="H159" s="17">
        <f>31.581 * CHOOSE(CONTROL!$C$9, $D$9, 100%, $F$9) + CHOOSE(CONTROL!$C$27, 0.0021, 0)</f>
        <v>31.583099999999998</v>
      </c>
      <c r="I159" s="17">
        <f>31.581 * CHOOSE(CONTROL!$C$9, $D$9, 100%, $F$9) + CHOOSE(CONTROL!$C$27, 0.0021, 0)</f>
        <v>31.583099999999998</v>
      </c>
      <c r="J159" s="17">
        <f>31.581 * CHOOSE(CONTROL!$C$9, $D$9, 100%, $F$9) + CHOOSE(CONTROL!$C$27, 0.0021, 0)</f>
        <v>31.583099999999998</v>
      </c>
      <c r="K159" s="17">
        <f>31.581 * CHOOSE(CONTROL!$C$9, $D$9, 100%, $F$9) + CHOOSE(CONTROL!$C$27, 0.0021, 0)</f>
        <v>31.583099999999998</v>
      </c>
      <c r="L159" s="17"/>
    </row>
    <row r="160" spans="1:12" ht="15" x14ac:dyDescent="0.2">
      <c r="A160" s="16">
        <v>45778</v>
      </c>
      <c r="B160" s="17">
        <f>32.6999 * CHOOSE(CONTROL!$C$9, $D$9, 100%, $F$9) + CHOOSE(CONTROL!$C$27, 0.0021, 0)</f>
        <v>32.701999999999998</v>
      </c>
      <c r="C160" s="17">
        <f>32.2677 * CHOOSE(CONTROL!$C$9, $D$9, 100%, $F$9) + CHOOSE(CONTROL!$C$27, 0.0021, 0)</f>
        <v>32.269799999999996</v>
      </c>
      <c r="D160" s="17">
        <f>32.2677 * CHOOSE(CONTROL!$C$9, $D$9, 100%, $F$9) + CHOOSE(CONTROL!$C$27, 0.0021, 0)</f>
        <v>32.269799999999996</v>
      </c>
      <c r="E160" s="17">
        <f>32.131 * CHOOSE(CONTROL!$C$9, $D$9, 100%, $F$9) + CHOOSE(CONTROL!$C$27, 0.0021, 0)</f>
        <v>32.133099999999999</v>
      </c>
      <c r="F160" s="17">
        <f>32.131 * CHOOSE(CONTROL!$C$9, $D$9, 100%, $F$9) + CHOOSE(CONTROL!$C$27, 0.0021, 0)</f>
        <v>32.133099999999999</v>
      </c>
      <c r="G160" s="17">
        <f>32.4024 * CHOOSE(CONTROL!$C$9, $D$9, 100%, $F$9) + CHOOSE(CONTROL!$C$27, 0.0021, 0)</f>
        <v>32.404499999999999</v>
      </c>
      <c r="H160" s="17">
        <f>32.2677 * CHOOSE(CONTROL!$C$9, $D$9, 100%, $F$9) + CHOOSE(CONTROL!$C$27, 0.0021, 0)</f>
        <v>32.269799999999996</v>
      </c>
      <c r="I160" s="17">
        <f>32.2677 * CHOOSE(CONTROL!$C$9, $D$9, 100%, $F$9) + CHOOSE(CONTROL!$C$27, 0.0021, 0)</f>
        <v>32.269799999999996</v>
      </c>
      <c r="J160" s="17">
        <f>32.2677 * CHOOSE(CONTROL!$C$9, $D$9, 100%, $F$9) + CHOOSE(CONTROL!$C$27, 0.0021, 0)</f>
        <v>32.269799999999996</v>
      </c>
      <c r="K160" s="17">
        <f>32.2677 * CHOOSE(CONTROL!$C$9, $D$9, 100%, $F$9) + CHOOSE(CONTROL!$C$27, 0.0021, 0)</f>
        <v>32.269799999999996</v>
      </c>
      <c r="L160" s="17"/>
    </row>
    <row r="161" spans="1:12" ht="15" x14ac:dyDescent="0.2">
      <c r="A161" s="16">
        <v>45809</v>
      </c>
      <c r="B161" s="17">
        <f>33.138 * CHOOSE(CONTROL!$C$9, $D$9, 100%, $F$9) + CHOOSE(CONTROL!$C$27, 0.0021, 0)</f>
        <v>33.140099999999997</v>
      </c>
      <c r="C161" s="17">
        <f>32.7057 * CHOOSE(CONTROL!$C$9, $D$9, 100%, $F$9) + CHOOSE(CONTROL!$C$27, 0.0021, 0)</f>
        <v>32.707799999999999</v>
      </c>
      <c r="D161" s="17">
        <f>32.7057 * CHOOSE(CONTROL!$C$9, $D$9, 100%, $F$9) + CHOOSE(CONTROL!$C$27, 0.0021, 0)</f>
        <v>32.707799999999999</v>
      </c>
      <c r="E161" s="17">
        <f>32.5691 * CHOOSE(CONTROL!$C$9, $D$9, 100%, $F$9) + CHOOSE(CONTROL!$C$27, 0.0021, 0)</f>
        <v>32.571199999999997</v>
      </c>
      <c r="F161" s="17">
        <f>32.5691 * CHOOSE(CONTROL!$C$9, $D$9, 100%, $F$9) + CHOOSE(CONTROL!$C$27, 0.0021, 0)</f>
        <v>32.571199999999997</v>
      </c>
      <c r="G161" s="17">
        <f>32.8404 * CHOOSE(CONTROL!$C$9, $D$9, 100%, $F$9) + CHOOSE(CONTROL!$C$27, 0.0021, 0)</f>
        <v>32.842500000000001</v>
      </c>
      <c r="H161" s="17">
        <f>32.7057 * CHOOSE(CONTROL!$C$9, $D$9, 100%, $F$9) + CHOOSE(CONTROL!$C$27, 0.0021, 0)</f>
        <v>32.707799999999999</v>
      </c>
      <c r="I161" s="17">
        <f>32.7057 * CHOOSE(CONTROL!$C$9, $D$9, 100%, $F$9) + CHOOSE(CONTROL!$C$27, 0.0021, 0)</f>
        <v>32.707799999999999</v>
      </c>
      <c r="J161" s="17">
        <f>32.7057 * CHOOSE(CONTROL!$C$9, $D$9, 100%, $F$9) + CHOOSE(CONTROL!$C$27, 0.0021, 0)</f>
        <v>32.707799999999999</v>
      </c>
      <c r="K161" s="17">
        <f>32.7057 * CHOOSE(CONTROL!$C$9, $D$9, 100%, $F$9) + CHOOSE(CONTROL!$C$27, 0.0021, 0)</f>
        <v>32.707799999999999</v>
      </c>
      <c r="L161" s="17"/>
    </row>
    <row r="162" spans="1:12" ht="15" x14ac:dyDescent="0.2">
      <c r="A162" s="16">
        <v>45839</v>
      </c>
      <c r="B162" s="17">
        <f>33.822 * CHOOSE(CONTROL!$C$9, $D$9, 100%, $F$9) + CHOOSE(CONTROL!$C$27, 0.0021, 0)</f>
        <v>33.824100000000001</v>
      </c>
      <c r="C162" s="17">
        <f>33.3898 * CHOOSE(CONTROL!$C$9, $D$9, 100%, $F$9) + CHOOSE(CONTROL!$C$27, 0.0021, 0)</f>
        <v>33.3919</v>
      </c>
      <c r="D162" s="17">
        <f>33.3898 * CHOOSE(CONTROL!$C$9, $D$9, 100%, $F$9) + CHOOSE(CONTROL!$C$27, 0.0021, 0)</f>
        <v>33.3919</v>
      </c>
      <c r="E162" s="17">
        <f>33.2531 * CHOOSE(CONTROL!$C$9, $D$9, 100%, $F$9) + CHOOSE(CONTROL!$C$27, 0.0021, 0)</f>
        <v>33.255200000000002</v>
      </c>
      <c r="F162" s="17">
        <f>33.2531 * CHOOSE(CONTROL!$C$9, $D$9, 100%, $F$9) + CHOOSE(CONTROL!$C$27, 0.0021, 0)</f>
        <v>33.255200000000002</v>
      </c>
      <c r="G162" s="17">
        <f>33.5245 * CHOOSE(CONTROL!$C$9, $D$9, 100%, $F$9) + CHOOSE(CONTROL!$C$27, 0.0021, 0)</f>
        <v>33.526600000000002</v>
      </c>
      <c r="H162" s="17">
        <f>33.3898 * CHOOSE(CONTROL!$C$9, $D$9, 100%, $F$9) + CHOOSE(CONTROL!$C$27, 0.0021, 0)</f>
        <v>33.3919</v>
      </c>
      <c r="I162" s="17">
        <f>33.3898 * CHOOSE(CONTROL!$C$9, $D$9, 100%, $F$9) + CHOOSE(CONTROL!$C$27, 0.0021, 0)</f>
        <v>33.3919</v>
      </c>
      <c r="J162" s="17">
        <f>33.3898 * CHOOSE(CONTROL!$C$9, $D$9, 100%, $F$9) + CHOOSE(CONTROL!$C$27, 0.0021, 0)</f>
        <v>33.3919</v>
      </c>
      <c r="K162" s="17">
        <f>33.3898 * CHOOSE(CONTROL!$C$9, $D$9, 100%, $F$9) + CHOOSE(CONTROL!$C$27, 0.0021, 0)</f>
        <v>33.3919</v>
      </c>
      <c r="L162" s="17"/>
    </row>
    <row r="163" spans="1:12" ht="15" x14ac:dyDescent="0.2">
      <c r="A163" s="16">
        <v>45870</v>
      </c>
      <c r="B163" s="17">
        <f>34.0768 * CHOOSE(CONTROL!$C$9, $D$9, 100%, $F$9) + CHOOSE(CONTROL!$C$27, 0.0021, 0)</f>
        <v>34.078899999999997</v>
      </c>
      <c r="C163" s="17">
        <f>33.6445 * CHOOSE(CONTROL!$C$9, $D$9, 100%, $F$9) + CHOOSE(CONTROL!$C$27, 0.0021, 0)</f>
        <v>33.646599999999999</v>
      </c>
      <c r="D163" s="17">
        <f>33.6445 * CHOOSE(CONTROL!$C$9, $D$9, 100%, $F$9) + CHOOSE(CONTROL!$C$27, 0.0021, 0)</f>
        <v>33.646599999999999</v>
      </c>
      <c r="E163" s="17">
        <f>33.5079 * CHOOSE(CONTROL!$C$9, $D$9, 100%, $F$9) + CHOOSE(CONTROL!$C$27, 0.0021, 0)</f>
        <v>33.51</v>
      </c>
      <c r="F163" s="17">
        <f>33.5079 * CHOOSE(CONTROL!$C$9, $D$9, 100%, $F$9) + CHOOSE(CONTROL!$C$27, 0.0021, 0)</f>
        <v>33.51</v>
      </c>
      <c r="G163" s="17">
        <f>33.7792 * CHOOSE(CONTROL!$C$9, $D$9, 100%, $F$9) + CHOOSE(CONTROL!$C$27, 0.0021, 0)</f>
        <v>33.781300000000002</v>
      </c>
      <c r="H163" s="17">
        <f>33.6445 * CHOOSE(CONTROL!$C$9, $D$9, 100%, $F$9) + CHOOSE(CONTROL!$C$27, 0.0021, 0)</f>
        <v>33.646599999999999</v>
      </c>
      <c r="I163" s="17">
        <f>33.6445 * CHOOSE(CONTROL!$C$9, $D$9, 100%, $F$9) + CHOOSE(CONTROL!$C$27, 0.0021, 0)</f>
        <v>33.646599999999999</v>
      </c>
      <c r="J163" s="17">
        <f>33.6445 * CHOOSE(CONTROL!$C$9, $D$9, 100%, $F$9) + CHOOSE(CONTROL!$C$27, 0.0021, 0)</f>
        <v>33.646599999999999</v>
      </c>
      <c r="K163" s="17">
        <f>33.6445 * CHOOSE(CONTROL!$C$9, $D$9, 100%, $F$9) + CHOOSE(CONTROL!$C$27, 0.0021, 0)</f>
        <v>33.646599999999999</v>
      </c>
      <c r="L163" s="17"/>
    </row>
    <row r="164" spans="1:12" ht="15" x14ac:dyDescent="0.2">
      <c r="A164" s="16">
        <v>45901</v>
      </c>
      <c r="B164" s="17">
        <f>34.7899 * CHOOSE(CONTROL!$C$9, $D$9, 100%, $F$9) + CHOOSE(CONTROL!$C$27, 0.0021, 0)</f>
        <v>34.792000000000002</v>
      </c>
      <c r="C164" s="17">
        <f>34.3577 * CHOOSE(CONTROL!$C$9, $D$9, 100%, $F$9) + CHOOSE(CONTROL!$C$27, 0.0021, 0)</f>
        <v>34.3598</v>
      </c>
      <c r="D164" s="17">
        <f>34.3577 * CHOOSE(CONTROL!$C$9, $D$9, 100%, $F$9) + CHOOSE(CONTROL!$C$27, 0.0021, 0)</f>
        <v>34.3598</v>
      </c>
      <c r="E164" s="17">
        <f>34.221 * CHOOSE(CONTROL!$C$9, $D$9, 100%, $F$9) + CHOOSE(CONTROL!$C$27, 0.0021, 0)</f>
        <v>34.223099999999995</v>
      </c>
      <c r="F164" s="17">
        <f>34.221 * CHOOSE(CONTROL!$C$9, $D$9, 100%, $F$9) + CHOOSE(CONTROL!$C$27, 0.0021, 0)</f>
        <v>34.223099999999995</v>
      </c>
      <c r="G164" s="17">
        <f>34.4924 * CHOOSE(CONTROL!$C$9, $D$9, 100%, $F$9) + CHOOSE(CONTROL!$C$27, 0.0021, 0)</f>
        <v>34.494500000000002</v>
      </c>
      <c r="H164" s="17">
        <f>34.3577 * CHOOSE(CONTROL!$C$9, $D$9, 100%, $F$9) + CHOOSE(CONTROL!$C$27, 0.0021, 0)</f>
        <v>34.3598</v>
      </c>
      <c r="I164" s="17">
        <f>34.3577 * CHOOSE(CONTROL!$C$9, $D$9, 100%, $F$9) + CHOOSE(CONTROL!$C$27, 0.0021, 0)</f>
        <v>34.3598</v>
      </c>
      <c r="J164" s="17">
        <f>34.3577 * CHOOSE(CONTROL!$C$9, $D$9, 100%, $F$9) + CHOOSE(CONTROL!$C$27, 0.0021, 0)</f>
        <v>34.3598</v>
      </c>
      <c r="K164" s="17">
        <f>34.3577 * CHOOSE(CONTROL!$C$9, $D$9, 100%, $F$9) + CHOOSE(CONTROL!$C$27, 0.0021, 0)</f>
        <v>34.3598</v>
      </c>
      <c r="L164" s="17"/>
    </row>
    <row r="165" spans="1:12" ht="15" x14ac:dyDescent="0.2">
      <c r="A165" s="16">
        <v>45931</v>
      </c>
      <c r="B165" s="17">
        <f>35.6784 * CHOOSE(CONTROL!$C$9, $D$9, 100%, $F$9) + CHOOSE(CONTROL!$C$27, 0.0021, 0)</f>
        <v>35.680500000000002</v>
      </c>
      <c r="C165" s="17">
        <f>35.2461 * CHOOSE(CONTROL!$C$9, $D$9, 100%, $F$9) + CHOOSE(CONTROL!$C$27, 0.0021, 0)</f>
        <v>35.248199999999997</v>
      </c>
      <c r="D165" s="17">
        <f>35.2461 * CHOOSE(CONTROL!$C$9, $D$9, 100%, $F$9) + CHOOSE(CONTROL!$C$27, 0.0021, 0)</f>
        <v>35.248199999999997</v>
      </c>
      <c r="E165" s="17">
        <f>35.1095 * CHOOSE(CONTROL!$C$9, $D$9, 100%, $F$9) + CHOOSE(CONTROL!$C$27, 0.0021, 0)</f>
        <v>35.111599999999996</v>
      </c>
      <c r="F165" s="17">
        <f>35.1095 * CHOOSE(CONTROL!$C$9, $D$9, 100%, $F$9) + CHOOSE(CONTROL!$C$27, 0.0021, 0)</f>
        <v>35.111599999999996</v>
      </c>
      <c r="G165" s="17">
        <f>35.3808 * CHOOSE(CONTROL!$C$9, $D$9, 100%, $F$9) + CHOOSE(CONTROL!$C$27, 0.0021, 0)</f>
        <v>35.382899999999999</v>
      </c>
      <c r="H165" s="17">
        <f>35.2461 * CHOOSE(CONTROL!$C$9, $D$9, 100%, $F$9) + CHOOSE(CONTROL!$C$27, 0.0021, 0)</f>
        <v>35.248199999999997</v>
      </c>
      <c r="I165" s="17">
        <f>35.2461 * CHOOSE(CONTROL!$C$9, $D$9, 100%, $F$9) + CHOOSE(CONTROL!$C$27, 0.0021, 0)</f>
        <v>35.248199999999997</v>
      </c>
      <c r="J165" s="17">
        <f>35.2461 * CHOOSE(CONTROL!$C$9, $D$9, 100%, $F$9) + CHOOSE(CONTROL!$C$27, 0.0021, 0)</f>
        <v>35.248199999999997</v>
      </c>
      <c r="K165" s="17">
        <f>35.2461 * CHOOSE(CONTROL!$C$9, $D$9, 100%, $F$9) + CHOOSE(CONTROL!$C$27, 0.0021, 0)</f>
        <v>35.248199999999997</v>
      </c>
      <c r="L165" s="17"/>
    </row>
    <row r="166" spans="1:12" ht="15" x14ac:dyDescent="0.2">
      <c r="A166" s="16">
        <v>45962</v>
      </c>
      <c r="B166" s="17">
        <f>35.8244 * CHOOSE(CONTROL!$C$9, $D$9, 100%, $F$9) + CHOOSE(CONTROL!$C$27, 0.0021, 0)</f>
        <v>35.826499999999996</v>
      </c>
      <c r="C166" s="17">
        <f>35.3922 * CHOOSE(CONTROL!$C$9, $D$9, 100%, $F$9) + CHOOSE(CONTROL!$C$27, 0.0021, 0)</f>
        <v>35.394300000000001</v>
      </c>
      <c r="D166" s="17">
        <f>35.3922 * CHOOSE(CONTROL!$C$9, $D$9, 100%, $F$9) + CHOOSE(CONTROL!$C$27, 0.0021, 0)</f>
        <v>35.394300000000001</v>
      </c>
      <c r="E166" s="17">
        <f>35.2555 * CHOOSE(CONTROL!$C$9, $D$9, 100%, $F$9) + CHOOSE(CONTROL!$C$27, 0.0021, 0)</f>
        <v>35.257599999999996</v>
      </c>
      <c r="F166" s="17">
        <f>35.2555 * CHOOSE(CONTROL!$C$9, $D$9, 100%, $F$9) + CHOOSE(CONTROL!$C$27, 0.0021, 0)</f>
        <v>35.257599999999996</v>
      </c>
      <c r="G166" s="17">
        <f>35.5269 * CHOOSE(CONTROL!$C$9, $D$9, 100%, $F$9) + CHOOSE(CONTROL!$C$27, 0.0021, 0)</f>
        <v>35.528999999999996</v>
      </c>
      <c r="H166" s="17">
        <f>35.3922 * CHOOSE(CONTROL!$C$9, $D$9, 100%, $F$9) + CHOOSE(CONTROL!$C$27, 0.0021, 0)</f>
        <v>35.394300000000001</v>
      </c>
      <c r="I166" s="17">
        <f>35.3922 * CHOOSE(CONTROL!$C$9, $D$9, 100%, $F$9) + CHOOSE(CONTROL!$C$27, 0.0021, 0)</f>
        <v>35.394300000000001</v>
      </c>
      <c r="J166" s="17">
        <f>35.3922 * CHOOSE(CONTROL!$C$9, $D$9, 100%, $F$9) + CHOOSE(CONTROL!$C$27, 0.0021, 0)</f>
        <v>35.394300000000001</v>
      </c>
      <c r="K166" s="17">
        <f>35.3922 * CHOOSE(CONTROL!$C$9, $D$9, 100%, $F$9) + CHOOSE(CONTROL!$C$27, 0.0021, 0)</f>
        <v>35.394300000000001</v>
      </c>
      <c r="L166" s="17"/>
    </row>
    <row r="167" spans="1:12" ht="15" x14ac:dyDescent="0.2">
      <c r="A167" s="16">
        <v>45992</v>
      </c>
      <c r="B167" s="17">
        <f>35.2346 * CHOOSE(CONTROL!$C$9, $D$9, 100%, $F$9) + CHOOSE(CONTROL!$C$27, 0.0021, 0)</f>
        <v>35.236699999999999</v>
      </c>
      <c r="C167" s="17">
        <f>34.8024 * CHOOSE(CONTROL!$C$9, $D$9, 100%, $F$9) + CHOOSE(CONTROL!$C$27, 0.0021, 0)</f>
        <v>34.804499999999997</v>
      </c>
      <c r="D167" s="17">
        <f>34.8024 * CHOOSE(CONTROL!$C$9, $D$9, 100%, $F$9) + CHOOSE(CONTROL!$C$27, 0.0021, 0)</f>
        <v>34.804499999999997</v>
      </c>
      <c r="E167" s="17">
        <f>34.6657 * CHOOSE(CONTROL!$C$9, $D$9, 100%, $F$9) + CHOOSE(CONTROL!$C$27, 0.0021, 0)</f>
        <v>34.6678</v>
      </c>
      <c r="F167" s="17">
        <f>34.6657 * CHOOSE(CONTROL!$C$9, $D$9, 100%, $F$9) + CHOOSE(CONTROL!$C$27, 0.0021, 0)</f>
        <v>34.6678</v>
      </c>
      <c r="G167" s="17">
        <f>34.9371 * CHOOSE(CONTROL!$C$9, $D$9, 100%, $F$9) + CHOOSE(CONTROL!$C$27, 0.0021, 0)</f>
        <v>34.9392</v>
      </c>
      <c r="H167" s="17">
        <f>34.8024 * CHOOSE(CONTROL!$C$9, $D$9, 100%, $F$9) + CHOOSE(CONTROL!$C$27, 0.0021, 0)</f>
        <v>34.804499999999997</v>
      </c>
      <c r="I167" s="17">
        <f>34.8024 * CHOOSE(CONTROL!$C$9, $D$9, 100%, $F$9) + CHOOSE(CONTROL!$C$27, 0.0021, 0)</f>
        <v>34.804499999999997</v>
      </c>
      <c r="J167" s="17">
        <f>34.8024 * CHOOSE(CONTROL!$C$9, $D$9, 100%, $F$9) + CHOOSE(CONTROL!$C$27, 0.0021, 0)</f>
        <v>34.804499999999997</v>
      </c>
      <c r="K167" s="17">
        <f>34.8024 * CHOOSE(CONTROL!$C$9, $D$9, 100%, $F$9) + CHOOSE(CONTROL!$C$27, 0.0021, 0)</f>
        <v>34.804499999999997</v>
      </c>
      <c r="L167" s="17"/>
    </row>
    <row r="168" spans="1:12" ht="15" x14ac:dyDescent="0.2">
      <c r="A168" s="16">
        <v>46023</v>
      </c>
      <c r="B168" s="17">
        <f>34.3347 * CHOOSE(CONTROL!$C$9, $D$9, 100%, $F$9) + CHOOSE(CONTROL!$C$27, 0.0021, 0)</f>
        <v>34.336799999999997</v>
      </c>
      <c r="C168" s="17">
        <f>33.9024 * CHOOSE(CONTROL!$C$9, $D$9, 100%, $F$9) + CHOOSE(CONTROL!$C$27, 0.0021, 0)</f>
        <v>33.904499999999999</v>
      </c>
      <c r="D168" s="17">
        <f>33.9024 * CHOOSE(CONTROL!$C$9, $D$9, 100%, $F$9) + CHOOSE(CONTROL!$C$27, 0.0021, 0)</f>
        <v>33.904499999999999</v>
      </c>
      <c r="E168" s="17">
        <f>33.7658 * CHOOSE(CONTROL!$C$9, $D$9, 100%, $F$9) + CHOOSE(CONTROL!$C$27, 0.0021, 0)</f>
        <v>33.767899999999997</v>
      </c>
      <c r="F168" s="17">
        <f>33.7658 * CHOOSE(CONTROL!$C$9, $D$9, 100%, $F$9) + CHOOSE(CONTROL!$C$27, 0.0021, 0)</f>
        <v>33.767899999999997</v>
      </c>
      <c r="G168" s="17">
        <f>34.0371 * CHOOSE(CONTROL!$C$9, $D$9, 100%, $F$9) + CHOOSE(CONTROL!$C$27, 0.0021, 0)</f>
        <v>34.039200000000001</v>
      </c>
      <c r="H168" s="17">
        <f>33.9024 * CHOOSE(CONTROL!$C$9, $D$9, 100%, $F$9) + CHOOSE(CONTROL!$C$27, 0.0021, 0)</f>
        <v>33.904499999999999</v>
      </c>
      <c r="I168" s="17">
        <f>33.9024 * CHOOSE(CONTROL!$C$9, $D$9, 100%, $F$9) + CHOOSE(CONTROL!$C$27, 0.0021, 0)</f>
        <v>33.904499999999999</v>
      </c>
      <c r="J168" s="17">
        <f>33.9024 * CHOOSE(CONTROL!$C$9, $D$9, 100%, $F$9) + CHOOSE(CONTROL!$C$27, 0.0021, 0)</f>
        <v>33.904499999999999</v>
      </c>
      <c r="K168" s="17">
        <f>33.9024 * CHOOSE(CONTROL!$C$9, $D$9, 100%, $F$9) + CHOOSE(CONTROL!$C$27, 0.0021, 0)</f>
        <v>33.904499999999999</v>
      </c>
      <c r="L168" s="17"/>
    </row>
    <row r="169" spans="1:12" ht="15" x14ac:dyDescent="0.2">
      <c r="A169" s="16">
        <v>46054</v>
      </c>
      <c r="B169" s="17">
        <f>33.4925 * CHOOSE(CONTROL!$C$9, $D$9, 100%, $F$9) + CHOOSE(CONTROL!$C$27, 0.0021, 0)</f>
        <v>33.494599999999998</v>
      </c>
      <c r="C169" s="17">
        <f>33.0602 * CHOOSE(CONTROL!$C$9, $D$9, 100%, $F$9) + CHOOSE(CONTROL!$C$27, 0.0021, 0)</f>
        <v>33.0623</v>
      </c>
      <c r="D169" s="17">
        <f>33.0602 * CHOOSE(CONTROL!$C$9, $D$9, 100%, $F$9) + CHOOSE(CONTROL!$C$27, 0.0021, 0)</f>
        <v>33.0623</v>
      </c>
      <c r="E169" s="17">
        <f>32.9236 * CHOOSE(CONTROL!$C$9, $D$9, 100%, $F$9) + CHOOSE(CONTROL!$C$27, 0.0021, 0)</f>
        <v>32.925699999999999</v>
      </c>
      <c r="F169" s="17">
        <f>32.9236 * CHOOSE(CONTROL!$C$9, $D$9, 100%, $F$9) + CHOOSE(CONTROL!$C$27, 0.0021, 0)</f>
        <v>32.925699999999999</v>
      </c>
      <c r="G169" s="17">
        <f>33.1949 * CHOOSE(CONTROL!$C$9, $D$9, 100%, $F$9) + CHOOSE(CONTROL!$C$27, 0.0021, 0)</f>
        <v>33.196999999999996</v>
      </c>
      <c r="H169" s="17">
        <f>33.0602 * CHOOSE(CONTROL!$C$9, $D$9, 100%, $F$9) + CHOOSE(CONTROL!$C$27, 0.0021, 0)</f>
        <v>33.0623</v>
      </c>
      <c r="I169" s="17">
        <f>33.0602 * CHOOSE(CONTROL!$C$9, $D$9, 100%, $F$9) + CHOOSE(CONTROL!$C$27, 0.0021, 0)</f>
        <v>33.0623</v>
      </c>
      <c r="J169" s="17">
        <f>33.0602 * CHOOSE(CONTROL!$C$9, $D$9, 100%, $F$9) + CHOOSE(CONTROL!$C$27, 0.0021, 0)</f>
        <v>33.0623</v>
      </c>
      <c r="K169" s="17">
        <f>33.0602 * CHOOSE(CONTROL!$C$9, $D$9, 100%, $F$9) + CHOOSE(CONTROL!$C$27, 0.0021, 0)</f>
        <v>33.0623</v>
      </c>
      <c r="L169" s="17"/>
    </row>
    <row r="170" spans="1:12" ht="15" x14ac:dyDescent="0.2">
      <c r="A170" s="16">
        <v>46082</v>
      </c>
      <c r="B170" s="17">
        <f>33.1811 * CHOOSE(CONTROL!$C$9, $D$9, 100%, $F$9) + CHOOSE(CONTROL!$C$27, 0.0021, 0)</f>
        <v>33.183199999999999</v>
      </c>
      <c r="C170" s="17">
        <f>32.7488 * CHOOSE(CONTROL!$C$9, $D$9, 100%, $F$9) + CHOOSE(CONTROL!$C$27, 0.0021, 0)</f>
        <v>32.750900000000001</v>
      </c>
      <c r="D170" s="17">
        <f>32.7488 * CHOOSE(CONTROL!$C$9, $D$9, 100%, $F$9) + CHOOSE(CONTROL!$C$27, 0.0021, 0)</f>
        <v>32.750900000000001</v>
      </c>
      <c r="E170" s="17">
        <f>32.6122 * CHOOSE(CONTROL!$C$9, $D$9, 100%, $F$9) + CHOOSE(CONTROL!$C$27, 0.0021, 0)</f>
        <v>32.6143</v>
      </c>
      <c r="F170" s="17">
        <f>32.6122 * CHOOSE(CONTROL!$C$9, $D$9, 100%, $F$9) + CHOOSE(CONTROL!$C$27, 0.0021, 0)</f>
        <v>32.6143</v>
      </c>
      <c r="G170" s="17">
        <f>32.8835 * CHOOSE(CONTROL!$C$9, $D$9, 100%, $F$9) + CHOOSE(CONTROL!$C$27, 0.0021, 0)</f>
        <v>32.885599999999997</v>
      </c>
      <c r="H170" s="17">
        <f>32.7488 * CHOOSE(CONTROL!$C$9, $D$9, 100%, $F$9) + CHOOSE(CONTROL!$C$27, 0.0021, 0)</f>
        <v>32.750900000000001</v>
      </c>
      <c r="I170" s="17">
        <f>32.7488 * CHOOSE(CONTROL!$C$9, $D$9, 100%, $F$9) + CHOOSE(CONTROL!$C$27, 0.0021, 0)</f>
        <v>32.750900000000001</v>
      </c>
      <c r="J170" s="17">
        <f>32.7488 * CHOOSE(CONTROL!$C$9, $D$9, 100%, $F$9) + CHOOSE(CONTROL!$C$27, 0.0021, 0)</f>
        <v>32.750900000000001</v>
      </c>
      <c r="K170" s="17">
        <f>32.7488 * CHOOSE(CONTROL!$C$9, $D$9, 100%, $F$9) + CHOOSE(CONTROL!$C$27, 0.0021, 0)</f>
        <v>32.750900000000001</v>
      </c>
      <c r="L170" s="17"/>
    </row>
    <row r="171" spans="1:12" ht="15" x14ac:dyDescent="0.2">
      <c r="A171" s="16">
        <v>46113</v>
      </c>
      <c r="B171" s="17">
        <f>32.7952 * CHOOSE(CONTROL!$C$9, $D$9, 100%, $F$9) + CHOOSE(CONTROL!$C$27, 0.0021, 0)</f>
        <v>32.7973</v>
      </c>
      <c r="C171" s="17">
        <f>32.363 * CHOOSE(CONTROL!$C$9, $D$9, 100%, $F$9) + CHOOSE(CONTROL!$C$27, 0.0021, 0)</f>
        <v>32.365099999999998</v>
      </c>
      <c r="D171" s="17">
        <f>32.363 * CHOOSE(CONTROL!$C$9, $D$9, 100%, $F$9) + CHOOSE(CONTROL!$C$27, 0.0021, 0)</f>
        <v>32.365099999999998</v>
      </c>
      <c r="E171" s="17">
        <f>32.2263 * CHOOSE(CONTROL!$C$9, $D$9, 100%, $F$9) + CHOOSE(CONTROL!$C$27, 0.0021, 0)</f>
        <v>32.228400000000001</v>
      </c>
      <c r="F171" s="17">
        <f>32.2263 * CHOOSE(CONTROL!$C$9, $D$9, 100%, $F$9) + CHOOSE(CONTROL!$C$27, 0.0021, 0)</f>
        <v>32.228400000000001</v>
      </c>
      <c r="G171" s="17">
        <f>32.4977 * CHOOSE(CONTROL!$C$9, $D$9, 100%, $F$9) + CHOOSE(CONTROL!$C$27, 0.0021, 0)</f>
        <v>32.4998</v>
      </c>
      <c r="H171" s="17">
        <f>32.363 * CHOOSE(CONTROL!$C$9, $D$9, 100%, $F$9) + CHOOSE(CONTROL!$C$27, 0.0021, 0)</f>
        <v>32.365099999999998</v>
      </c>
      <c r="I171" s="17">
        <f>32.363 * CHOOSE(CONTROL!$C$9, $D$9, 100%, $F$9) + CHOOSE(CONTROL!$C$27, 0.0021, 0)</f>
        <v>32.365099999999998</v>
      </c>
      <c r="J171" s="17">
        <f>32.363 * CHOOSE(CONTROL!$C$9, $D$9, 100%, $F$9) + CHOOSE(CONTROL!$C$27, 0.0021, 0)</f>
        <v>32.365099999999998</v>
      </c>
      <c r="K171" s="17">
        <f>32.363 * CHOOSE(CONTROL!$C$9, $D$9, 100%, $F$9) + CHOOSE(CONTROL!$C$27, 0.0021, 0)</f>
        <v>32.365099999999998</v>
      </c>
      <c r="L171" s="17"/>
    </row>
    <row r="172" spans="1:12" ht="15" x14ac:dyDescent="0.2">
      <c r="A172" s="16">
        <v>46143</v>
      </c>
      <c r="B172" s="17">
        <f>33.4999 * CHOOSE(CONTROL!$C$9, $D$9, 100%, $F$9) + CHOOSE(CONTROL!$C$27, 0.0021, 0)</f>
        <v>33.501999999999995</v>
      </c>
      <c r="C172" s="17">
        <f>33.0677 * CHOOSE(CONTROL!$C$9, $D$9, 100%, $F$9) + CHOOSE(CONTROL!$C$27, 0.0021, 0)</f>
        <v>33.069800000000001</v>
      </c>
      <c r="D172" s="17">
        <f>33.0677 * CHOOSE(CONTROL!$C$9, $D$9, 100%, $F$9) + CHOOSE(CONTROL!$C$27, 0.0021, 0)</f>
        <v>33.069800000000001</v>
      </c>
      <c r="E172" s="17">
        <f>32.931 * CHOOSE(CONTROL!$C$9, $D$9, 100%, $F$9) + CHOOSE(CONTROL!$C$27, 0.0021, 0)</f>
        <v>32.933099999999996</v>
      </c>
      <c r="F172" s="17">
        <f>32.931 * CHOOSE(CONTROL!$C$9, $D$9, 100%, $F$9) + CHOOSE(CONTROL!$C$27, 0.0021, 0)</f>
        <v>32.933099999999996</v>
      </c>
      <c r="G172" s="17">
        <f>33.2024 * CHOOSE(CONTROL!$C$9, $D$9, 100%, $F$9) + CHOOSE(CONTROL!$C$27, 0.0021, 0)</f>
        <v>33.204499999999996</v>
      </c>
      <c r="H172" s="17">
        <f>33.0677 * CHOOSE(CONTROL!$C$9, $D$9, 100%, $F$9) + CHOOSE(CONTROL!$C$27, 0.0021, 0)</f>
        <v>33.069800000000001</v>
      </c>
      <c r="I172" s="17">
        <f>33.0677 * CHOOSE(CONTROL!$C$9, $D$9, 100%, $F$9) + CHOOSE(CONTROL!$C$27, 0.0021, 0)</f>
        <v>33.069800000000001</v>
      </c>
      <c r="J172" s="17">
        <f>33.0677 * CHOOSE(CONTROL!$C$9, $D$9, 100%, $F$9) + CHOOSE(CONTROL!$C$27, 0.0021, 0)</f>
        <v>33.069800000000001</v>
      </c>
      <c r="K172" s="17">
        <f>33.0677 * CHOOSE(CONTROL!$C$9, $D$9, 100%, $F$9) + CHOOSE(CONTROL!$C$27, 0.0021, 0)</f>
        <v>33.069800000000001</v>
      </c>
      <c r="L172" s="17"/>
    </row>
    <row r="173" spans="1:12" ht="15" x14ac:dyDescent="0.2">
      <c r="A173" s="16">
        <v>46174</v>
      </c>
      <c r="B173" s="17">
        <f>33.9495 * CHOOSE(CONTROL!$C$9, $D$9, 100%, $F$9) + CHOOSE(CONTROL!$C$27, 0.0021, 0)</f>
        <v>33.951599999999999</v>
      </c>
      <c r="C173" s="17">
        <f>33.5172 * CHOOSE(CONTROL!$C$9, $D$9, 100%, $F$9) + CHOOSE(CONTROL!$C$27, 0.0021, 0)</f>
        <v>33.519300000000001</v>
      </c>
      <c r="D173" s="17">
        <f>33.5172 * CHOOSE(CONTROL!$C$9, $D$9, 100%, $F$9) + CHOOSE(CONTROL!$C$27, 0.0021, 0)</f>
        <v>33.519300000000001</v>
      </c>
      <c r="E173" s="17">
        <f>33.3806 * CHOOSE(CONTROL!$C$9, $D$9, 100%, $F$9) + CHOOSE(CONTROL!$C$27, 0.0021, 0)</f>
        <v>33.3827</v>
      </c>
      <c r="F173" s="17">
        <f>33.3806 * CHOOSE(CONTROL!$C$9, $D$9, 100%, $F$9) + CHOOSE(CONTROL!$C$27, 0.0021, 0)</f>
        <v>33.3827</v>
      </c>
      <c r="G173" s="17">
        <f>33.6519 * CHOOSE(CONTROL!$C$9, $D$9, 100%, $F$9) + CHOOSE(CONTROL!$C$27, 0.0021, 0)</f>
        <v>33.653999999999996</v>
      </c>
      <c r="H173" s="17">
        <f>33.5172 * CHOOSE(CONTROL!$C$9, $D$9, 100%, $F$9) + CHOOSE(CONTROL!$C$27, 0.0021, 0)</f>
        <v>33.519300000000001</v>
      </c>
      <c r="I173" s="17">
        <f>33.5172 * CHOOSE(CONTROL!$C$9, $D$9, 100%, $F$9) + CHOOSE(CONTROL!$C$27, 0.0021, 0)</f>
        <v>33.519300000000001</v>
      </c>
      <c r="J173" s="17">
        <f>33.5172 * CHOOSE(CONTROL!$C$9, $D$9, 100%, $F$9) + CHOOSE(CONTROL!$C$27, 0.0021, 0)</f>
        <v>33.519300000000001</v>
      </c>
      <c r="K173" s="17">
        <f>33.5172 * CHOOSE(CONTROL!$C$9, $D$9, 100%, $F$9) + CHOOSE(CONTROL!$C$27, 0.0021, 0)</f>
        <v>33.519300000000001</v>
      </c>
      <c r="L173" s="17"/>
    </row>
    <row r="174" spans="1:12" ht="15" x14ac:dyDescent="0.2">
      <c r="A174" s="16">
        <v>46204</v>
      </c>
      <c r="B174" s="17">
        <f>34.6515 * CHOOSE(CONTROL!$C$9, $D$9, 100%, $F$9) + CHOOSE(CONTROL!$C$27, 0.0021, 0)</f>
        <v>34.653599999999997</v>
      </c>
      <c r="C174" s="17">
        <f>34.2193 * CHOOSE(CONTROL!$C$9, $D$9, 100%, $F$9) + CHOOSE(CONTROL!$C$27, 0.0021, 0)</f>
        <v>34.221399999999996</v>
      </c>
      <c r="D174" s="17">
        <f>34.2193 * CHOOSE(CONTROL!$C$9, $D$9, 100%, $F$9) + CHOOSE(CONTROL!$C$27, 0.0021, 0)</f>
        <v>34.221399999999996</v>
      </c>
      <c r="E174" s="17">
        <f>34.0826 * CHOOSE(CONTROL!$C$9, $D$9, 100%, $F$9) + CHOOSE(CONTROL!$C$27, 0.0021, 0)</f>
        <v>34.084699999999998</v>
      </c>
      <c r="F174" s="17">
        <f>34.0826 * CHOOSE(CONTROL!$C$9, $D$9, 100%, $F$9) + CHOOSE(CONTROL!$C$27, 0.0021, 0)</f>
        <v>34.084699999999998</v>
      </c>
      <c r="G174" s="17">
        <f>34.354 * CHOOSE(CONTROL!$C$9, $D$9, 100%, $F$9) + CHOOSE(CONTROL!$C$27, 0.0021, 0)</f>
        <v>34.356099999999998</v>
      </c>
      <c r="H174" s="17">
        <f>34.2193 * CHOOSE(CONTROL!$C$9, $D$9, 100%, $F$9) + CHOOSE(CONTROL!$C$27, 0.0021, 0)</f>
        <v>34.221399999999996</v>
      </c>
      <c r="I174" s="17">
        <f>34.2193 * CHOOSE(CONTROL!$C$9, $D$9, 100%, $F$9) + CHOOSE(CONTROL!$C$27, 0.0021, 0)</f>
        <v>34.221399999999996</v>
      </c>
      <c r="J174" s="17">
        <f>34.2193 * CHOOSE(CONTROL!$C$9, $D$9, 100%, $F$9) + CHOOSE(CONTROL!$C$27, 0.0021, 0)</f>
        <v>34.221399999999996</v>
      </c>
      <c r="K174" s="17">
        <f>34.2193 * CHOOSE(CONTROL!$C$9, $D$9, 100%, $F$9) + CHOOSE(CONTROL!$C$27, 0.0021, 0)</f>
        <v>34.221399999999996</v>
      </c>
      <c r="L174" s="17"/>
    </row>
    <row r="175" spans="1:12" ht="15" x14ac:dyDescent="0.2">
      <c r="A175" s="16">
        <v>46235</v>
      </c>
      <c r="B175" s="17">
        <f>34.913 * CHOOSE(CONTROL!$C$9, $D$9, 100%, $F$9) + CHOOSE(CONTROL!$C$27, 0.0021, 0)</f>
        <v>34.915099999999995</v>
      </c>
      <c r="C175" s="17">
        <f>34.4807 * CHOOSE(CONTROL!$C$9, $D$9, 100%, $F$9) + CHOOSE(CONTROL!$C$27, 0.0021, 0)</f>
        <v>34.482799999999997</v>
      </c>
      <c r="D175" s="17">
        <f>34.4807 * CHOOSE(CONTROL!$C$9, $D$9, 100%, $F$9) + CHOOSE(CONTROL!$C$27, 0.0021, 0)</f>
        <v>34.482799999999997</v>
      </c>
      <c r="E175" s="17">
        <f>34.3441 * CHOOSE(CONTROL!$C$9, $D$9, 100%, $F$9) + CHOOSE(CONTROL!$C$27, 0.0021, 0)</f>
        <v>34.346199999999996</v>
      </c>
      <c r="F175" s="17">
        <f>34.3441 * CHOOSE(CONTROL!$C$9, $D$9, 100%, $F$9) + CHOOSE(CONTROL!$C$27, 0.0021, 0)</f>
        <v>34.346199999999996</v>
      </c>
      <c r="G175" s="17">
        <f>34.6154 * CHOOSE(CONTROL!$C$9, $D$9, 100%, $F$9) + CHOOSE(CONTROL!$C$27, 0.0021, 0)</f>
        <v>34.6175</v>
      </c>
      <c r="H175" s="17">
        <f>34.4807 * CHOOSE(CONTROL!$C$9, $D$9, 100%, $F$9) + CHOOSE(CONTROL!$C$27, 0.0021, 0)</f>
        <v>34.482799999999997</v>
      </c>
      <c r="I175" s="17">
        <f>34.4807 * CHOOSE(CONTROL!$C$9, $D$9, 100%, $F$9) + CHOOSE(CONTROL!$C$27, 0.0021, 0)</f>
        <v>34.482799999999997</v>
      </c>
      <c r="J175" s="17">
        <f>34.4807 * CHOOSE(CONTROL!$C$9, $D$9, 100%, $F$9) + CHOOSE(CONTROL!$C$27, 0.0021, 0)</f>
        <v>34.482799999999997</v>
      </c>
      <c r="K175" s="17">
        <f>34.4807 * CHOOSE(CONTROL!$C$9, $D$9, 100%, $F$9) + CHOOSE(CONTROL!$C$27, 0.0021, 0)</f>
        <v>34.482799999999997</v>
      </c>
      <c r="L175" s="17"/>
    </row>
    <row r="176" spans="1:12" ht="15" x14ac:dyDescent="0.2">
      <c r="A176" s="16">
        <v>46266</v>
      </c>
      <c r="B176" s="17">
        <f>35.6449 * CHOOSE(CONTROL!$C$9, $D$9, 100%, $F$9) + CHOOSE(CONTROL!$C$27, 0.0021, 0)</f>
        <v>35.646999999999998</v>
      </c>
      <c r="C176" s="17">
        <f>35.2126 * CHOOSE(CONTROL!$C$9, $D$9, 100%, $F$9) + CHOOSE(CONTROL!$C$27, 0.0021, 0)</f>
        <v>35.214700000000001</v>
      </c>
      <c r="D176" s="17">
        <f>35.2126 * CHOOSE(CONTROL!$C$9, $D$9, 100%, $F$9) + CHOOSE(CONTROL!$C$27, 0.0021, 0)</f>
        <v>35.214700000000001</v>
      </c>
      <c r="E176" s="17">
        <f>35.076 * CHOOSE(CONTROL!$C$9, $D$9, 100%, $F$9) + CHOOSE(CONTROL!$C$27, 0.0021, 0)</f>
        <v>35.078099999999999</v>
      </c>
      <c r="F176" s="17">
        <f>35.076 * CHOOSE(CONTROL!$C$9, $D$9, 100%, $F$9) + CHOOSE(CONTROL!$C$27, 0.0021, 0)</f>
        <v>35.078099999999999</v>
      </c>
      <c r="G176" s="17">
        <f>35.3473 * CHOOSE(CONTROL!$C$9, $D$9, 100%, $F$9) + CHOOSE(CONTROL!$C$27, 0.0021, 0)</f>
        <v>35.349399999999996</v>
      </c>
      <c r="H176" s="17">
        <f>35.2126 * CHOOSE(CONTROL!$C$9, $D$9, 100%, $F$9) + CHOOSE(CONTROL!$C$27, 0.0021, 0)</f>
        <v>35.214700000000001</v>
      </c>
      <c r="I176" s="17">
        <f>35.2126 * CHOOSE(CONTROL!$C$9, $D$9, 100%, $F$9) + CHOOSE(CONTROL!$C$27, 0.0021, 0)</f>
        <v>35.214700000000001</v>
      </c>
      <c r="J176" s="17">
        <f>35.2126 * CHOOSE(CONTROL!$C$9, $D$9, 100%, $F$9) + CHOOSE(CONTROL!$C$27, 0.0021, 0)</f>
        <v>35.214700000000001</v>
      </c>
      <c r="K176" s="17">
        <f>35.2126 * CHOOSE(CONTROL!$C$9, $D$9, 100%, $F$9) + CHOOSE(CONTROL!$C$27, 0.0021, 0)</f>
        <v>35.214700000000001</v>
      </c>
      <c r="L176" s="17"/>
    </row>
    <row r="177" spans="1:12" ht="15" x14ac:dyDescent="0.2">
      <c r="A177" s="16">
        <v>46296</v>
      </c>
      <c r="B177" s="17">
        <f>36.5567 * CHOOSE(CONTROL!$C$9, $D$9, 100%, $F$9) + CHOOSE(CONTROL!$C$27, 0.0021, 0)</f>
        <v>36.558799999999998</v>
      </c>
      <c r="C177" s="17">
        <f>36.1245 * CHOOSE(CONTROL!$C$9, $D$9, 100%, $F$9) + CHOOSE(CONTROL!$C$27, 0.0021, 0)</f>
        <v>36.126599999999996</v>
      </c>
      <c r="D177" s="17">
        <f>36.1245 * CHOOSE(CONTROL!$C$9, $D$9, 100%, $F$9) + CHOOSE(CONTROL!$C$27, 0.0021, 0)</f>
        <v>36.126599999999996</v>
      </c>
      <c r="E177" s="17">
        <f>35.9878 * CHOOSE(CONTROL!$C$9, $D$9, 100%, $F$9) + CHOOSE(CONTROL!$C$27, 0.0021, 0)</f>
        <v>35.989899999999999</v>
      </c>
      <c r="F177" s="17">
        <f>35.9878 * CHOOSE(CONTROL!$C$9, $D$9, 100%, $F$9) + CHOOSE(CONTROL!$C$27, 0.0021, 0)</f>
        <v>35.989899999999999</v>
      </c>
      <c r="G177" s="17">
        <f>36.2592 * CHOOSE(CONTROL!$C$9, $D$9, 100%, $F$9) + CHOOSE(CONTROL!$C$27, 0.0021, 0)</f>
        <v>36.261299999999999</v>
      </c>
      <c r="H177" s="17">
        <f>36.1245 * CHOOSE(CONTROL!$C$9, $D$9, 100%, $F$9) + CHOOSE(CONTROL!$C$27, 0.0021, 0)</f>
        <v>36.126599999999996</v>
      </c>
      <c r="I177" s="17">
        <f>36.1245 * CHOOSE(CONTROL!$C$9, $D$9, 100%, $F$9) + CHOOSE(CONTROL!$C$27, 0.0021, 0)</f>
        <v>36.126599999999996</v>
      </c>
      <c r="J177" s="17">
        <f>36.1245 * CHOOSE(CONTROL!$C$9, $D$9, 100%, $F$9) + CHOOSE(CONTROL!$C$27, 0.0021, 0)</f>
        <v>36.126599999999996</v>
      </c>
      <c r="K177" s="17">
        <f>36.1245 * CHOOSE(CONTROL!$C$9, $D$9, 100%, $F$9) + CHOOSE(CONTROL!$C$27, 0.0021, 0)</f>
        <v>36.126599999999996</v>
      </c>
      <c r="L177" s="17"/>
    </row>
    <row r="178" spans="1:12" ht="15" x14ac:dyDescent="0.2">
      <c r="A178" s="16">
        <v>46327</v>
      </c>
      <c r="B178" s="17">
        <f>36.7066 * CHOOSE(CONTROL!$C$9, $D$9, 100%, $F$9) + CHOOSE(CONTROL!$C$27, 0.0021, 0)</f>
        <v>36.7087</v>
      </c>
      <c r="C178" s="17">
        <f>36.2743 * CHOOSE(CONTROL!$C$9, $D$9, 100%, $F$9) + CHOOSE(CONTROL!$C$27, 0.0021, 0)</f>
        <v>36.276399999999995</v>
      </c>
      <c r="D178" s="17">
        <f>36.2743 * CHOOSE(CONTROL!$C$9, $D$9, 100%, $F$9) + CHOOSE(CONTROL!$C$27, 0.0021, 0)</f>
        <v>36.276399999999995</v>
      </c>
      <c r="E178" s="17">
        <f>36.1377 * CHOOSE(CONTROL!$C$9, $D$9, 100%, $F$9) + CHOOSE(CONTROL!$C$27, 0.0021, 0)</f>
        <v>36.139800000000001</v>
      </c>
      <c r="F178" s="17">
        <f>36.1377 * CHOOSE(CONTROL!$C$9, $D$9, 100%, $F$9) + CHOOSE(CONTROL!$C$27, 0.0021, 0)</f>
        <v>36.139800000000001</v>
      </c>
      <c r="G178" s="17">
        <f>36.4091 * CHOOSE(CONTROL!$C$9, $D$9, 100%, $F$9) + CHOOSE(CONTROL!$C$27, 0.0021, 0)</f>
        <v>36.411200000000001</v>
      </c>
      <c r="H178" s="17">
        <f>36.2743 * CHOOSE(CONTROL!$C$9, $D$9, 100%, $F$9) + CHOOSE(CONTROL!$C$27, 0.0021, 0)</f>
        <v>36.276399999999995</v>
      </c>
      <c r="I178" s="17">
        <f>36.2743 * CHOOSE(CONTROL!$C$9, $D$9, 100%, $F$9) + CHOOSE(CONTROL!$C$27, 0.0021, 0)</f>
        <v>36.276399999999995</v>
      </c>
      <c r="J178" s="17">
        <f>36.2743 * CHOOSE(CONTROL!$C$9, $D$9, 100%, $F$9) + CHOOSE(CONTROL!$C$27, 0.0021, 0)</f>
        <v>36.276399999999995</v>
      </c>
      <c r="K178" s="17">
        <f>36.2743 * CHOOSE(CONTROL!$C$9, $D$9, 100%, $F$9) + CHOOSE(CONTROL!$C$27, 0.0021, 0)</f>
        <v>36.276399999999995</v>
      </c>
      <c r="L178" s="17"/>
    </row>
    <row r="179" spans="1:12" ht="15" x14ac:dyDescent="0.2">
      <c r="A179" s="16">
        <v>46357</v>
      </c>
      <c r="B179" s="17">
        <f>36.1013 * CHOOSE(CONTROL!$C$9, $D$9, 100%, $F$9) + CHOOSE(CONTROL!$C$27, 0.0021, 0)</f>
        <v>36.103400000000001</v>
      </c>
      <c r="C179" s="17">
        <f>35.6691 * CHOOSE(CONTROL!$C$9, $D$9, 100%, $F$9) + CHOOSE(CONTROL!$C$27, 0.0021, 0)</f>
        <v>35.671199999999999</v>
      </c>
      <c r="D179" s="17">
        <f>35.6691 * CHOOSE(CONTROL!$C$9, $D$9, 100%, $F$9) + CHOOSE(CONTROL!$C$27, 0.0021, 0)</f>
        <v>35.671199999999999</v>
      </c>
      <c r="E179" s="17">
        <f>35.5324 * CHOOSE(CONTROL!$C$9, $D$9, 100%, $F$9) + CHOOSE(CONTROL!$C$27, 0.0021, 0)</f>
        <v>35.534500000000001</v>
      </c>
      <c r="F179" s="17">
        <f>35.5324 * CHOOSE(CONTROL!$C$9, $D$9, 100%, $F$9) + CHOOSE(CONTROL!$C$27, 0.0021, 0)</f>
        <v>35.534500000000001</v>
      </c>
      <c r="G179" s="17">
        <f>35.8038 * CHOOSE(CONTROL!$C$9, $D$9, 100%, $F$9) + CHOOSE(CONTROL!$C$27, 0.0021, 0)</f>
        <v>35.805900000000001</v>
      </c>
      <c r="H179" s="17">
        <f>35.6691 * CHOOSE(CONTROL!$C$9, $D$9, 100%, $F$9) + CHOOSE(CONTROL!$C$27, 0.0021, 0)</f>
        <v>35.671199999999999</v>
      </c>
      <c r="I179" s="17">
        <f>35.6691 * CHOOSE(CONTROL!$C$9, $D$9, 100%, $F$9) + CHOOSE(CONTROL!$C$27, 0.0021, 0)</f>
        <v>35.671199999999999</v>
      </c>
      <c r="J179" s="17">
        <f>35.6691 * CHOOSE(CONTROL!$C$9, $D$9, 100%, $F$9) + CHOOSE(CONTROL!$C$27, 0.0021, 0)</f>
        <v>35.671199999999999</v>
      </c>
      <c r="K179" s="17">
        <f>35.6691 * CHOOSE(CONTROL!$C$9, $D$9, 100%, $F$9) + CHOOSE(CONTROL!$C$27, 0.0021, 0)</f>
        <v>35.671199999999999</v>
      </c>
      <c r="L179" s="17"/>
    </row>
    <row r="180" spans="1:12" ht="15" x14ac:dyDescent="0.2">
      <c r="A180" s="16">
        <v>46388</v>
      </c>
      <c r="B180" s="17">
        <f>35.138 * CHOOSE(CONTROL!$C$9, $D$9, 100%, $F$9) + CHOOSE(CONTROL!$C$27, 0.0021, 0)</f>
        <v>35.140099999999997</v>
      </c>
      <c r="C180" s="17">
        <f>34.7057 * CHOOSE(CONTROL!$C$9, $D$9, 100%, $F$9) + CHOOSE(CONTROL!$C$27, 0.0021, 0)</f>
        <v>34.707799999999999</v>
      </c>
      <c r="D180" s="17">
        <f>34.7057 * CHOOSE(CONTROL!$C$9, $D$9, 100%, $F$9) + CHOOSE(CONTROL!$C$27, 0.0021, 0)</f>
        <v>34.707799999999999</v>
      </c>
      <c r="E180" s="17">
        <f>34.5691 * CHOOSE(CONTROL!$C$9, $D$9, 100%, $F$9) + CHOOSE(CONTROL!$C$27, 0.0021, 0)</f>
        <v>34.571199999999997</v>
      </c>
      <c r="F180" s="17">
        <f>34.5691 * CHOOSE(CONTROL!$C$9, $D$9, 100%, $F$9) + CHOOSE(CONTROL!$C$27, 0.0021, 0)</f>
        <v>34.571199999999997</v>
      </c>
      <c r="G180" s="17">
        <f>34.8404 * CHOOSE(CONTROL!$C$9, $D$9, 100%, $F$9) + CHOOSE(CONTROL!$C$27, 0.0021, 0)</f>
        <v>34.842500000000001</v>
      </c>
      <c r="H180" s="17">
        <f>34.7057 * CHOOSE(CONTROL!$C$9, $D$9, 100%, $F$9) + CHOOSE(CONTROL!$C$27, 0.0021, 0)</f>
        <v>34.707799999999999</v>
      </c>
      <c r="I180" s="17">
        <f>34.7057 * CHOOSE(CONTROL!$C$9, $D$9, 100%, $F$9) + CHOOSE(CONTROL!$C$27, 0.0021, 0)</f>
        <v>34.707799999999999</v>
      </c>
      <c r="J180" s="17">
        <f>34.7057 * CHOOSE(CONTROL!$C$9, $D$9, 100%, $F$9) + CHOOSE(CONTROL!$C$27, 0.0021, 0)</f>
        <v>34.707799999999999</v>
      </c>
      <c r="K180" s="17">
        <f>34.7057 * CHOOSE(CONTROL!$C$9, $D$9, 100%, $F$9) + CHOOSE(CONTROL!$C$27, 0.0021, 0)</f>
        <v>34.707799999999999</v>
      </c>
      <c r="L180" s="17"/>
    </row>
    <row r="181" spans="1:12" ht="15" x14ac:dyDescent="0.2">
      <c r="A181" s="16">
        <v>46419</v>
      </c>
      <c r="B181" s="17">
        <f>34.2747 * CHOOSE(CONTROL!$C$9, $D$9, 100%, $F$9) + CHOOSE(CONTROL!$C$27, 0.0021, 0)</f>
        <v>34.276800000000001</v>
      </c>
      <c r="C181" s="17">
        <f>33.8424 * CHOOSE(CONTROL!$C$9, $D$9, 100%, $F$9) + CHOOSE(CONTROL!$C$27, 0.0021, 0)</f>
        <v>33.844499999999996</v>
      </c>
      <c r="D181" s="17">
        <f>33.8424 * CHOOSE(CONTROL!$C$9, $D$9, 100%, $F$9) + CHOOSE(CONTROL!$C$27, 0.0021, 0)</f>
        <v>33.844499999999996</v>
      </c>
      <c r="E181" s="17">
        <f>33.7057 * CHOOSE(CONTROL!$C$9, $D$9, 100%, $F$9) + CHOOSE(CONTROL!$C$27, 0.0021, 0)</f>
        <v>33.707799999999999</v>
      </c>
      <c r="F181" s="17">
        <f>33.7057 * CHOOSE(CONTROL!$C$9, $D$9, 100%, $F$9) + CHOOSE(CONTROL!$C$27, 0.0021, 0)</f>
        <v>33.707799999999999</v>
      </c>
      <c r="G181" s="17">
        <f>33.9771 * CHOOSE(CONTROL!$C$9, $D$9, 100%, $F$9) + CHOOSE(CONTROL!$C$27, 0.0021, 0)</f>
        <v>33.979199999999999</v>
      </c>
      <c r="H181" s="17">
        <f>33.8424 * CHOOSE(CONTROL!$C$9, $D$9, 100%, $F$9) + CHOOSE(CONTROL!$C$27, 0.0021, 0)</f>
        <v>33.844499999999996</v>
      </c>
      <c r="I181" s="17">
        <f>33.8424 * CHOOSE(CONTROL!$C$9, $D$9, 100%, $F$9) + CHOOSE(CONTROL!$C$27, 0.0021, 0)</f>
        <v>33.844499999999996</v>
      </c>
      <c r="J181" s="17">
        <f>33.8424 * CHOOSE(CONTROL!$C$9, $D$9, 100%, $F$9) + CHOOSE(CONTROL!$C$27, 0.0021, 0)</f>
        <v>33.844499999999996</v>
      </c>
      <c r="K181" s="17">
        <f>33.8424 * CHOOSE(CONTROL!$C$9, $D$9, 100%, $F$9) + CHOOSE(CONTROL!$C$27, 0.0021, 0)</f>
        <v>33.844499999999996</v>
      </c>
      <c r="L181" s="17"/>
    </row>
    <row r="182" spans="1:12" ht="15" x14ac:dyDescent="0.2">
      <c r="A182" s="16">
        <v>46447</v>
      </c>
      <c r="B182" s="17">
        <f>33.9554 * CHOOSE(CONTROL!$C$9, $D$9, 100%, $F$9) + CHOOSE(CONTROL!$C$27, 0.0021, 0)</f>
        <v>33.957499999999996</v>
      </c>
      <c r="C182" s="17">
        <f>33.5232 * CHOOSE(CONTROL!$C$9, $D$9, 100%, $F$9) + CHOOSE(CONTROL!$C$27, 0.0021, 0)</f>
        <v>33.525300000000001</v>
      </c>
      <c r="D182" s="17">
        <f>33.5232 * CHOOSE(CONTROL!$C$9, $D$9, 100%, $F$9) + CHOOSE(CONTROL!$C$27, 0.0021, 0)</f>
        <v>33.525300000000001</v>
      </c>
      <c r="E182" s="17">
        <f>33.3865 * CHOOSE(CONTROL!$C$9, $D$9, 100%, $F$9) + CHOOSE(CONTROL!$C$27, 0.0021, 0)</f>
        <v>33.388599999999997</v>
      </c>
      <c r="F182" s="17">
        <f>33.3865 * CHOOSE(CONTROL!$C$9, $D$9, 100%, $F$9) + CHOOSE(CONTROL!$C$27, 0.0021, 0)</f>
        <v>33.388599999999997</v>
      </c>
      <c r="G182" s="17">
        <f>33.6579 * CHOOSE(CONTROL!$C$9, $D$9, 100%, $F$9) + CHOOSE(CONTROL!$C$27, 0.0021, 0)</f>
        <v>33.659999999999997</v>
      </c>
      <c r="H182" s="17">
        <f>33.5232 * CHOOSE(CONTROL!$C$9, $D$9, 100%, $F$9) + CHOOSE(CONTROL!$C$27, 0.0021, 0)</f>
        <v>33.525300000000001</v>
      </c>
      <c r="I182" s="17">
        <f>33.5232 * CHOOSE(CONTROL!$C$9, $D$9, 100%, $F$9) + CHOOSE(CONTROL!$C$27, 0.0021, 0)</f>
        <v>33.525300000000001</v>
      </c>
      <c r="J182" s="17">
        <f>33.5232 * CHOOSE(CONTROL!$C$9, $D$9, 100%, $F$9) + CHOOSE(CONTROL!$C$27, 0.0021, 0)</f>
        <v>33.525300000000001</v>
      </c>
      <c r="K182" s="17">
        <f>33.5232 * CHOOSE(CONTROL!$C$9, $D$9, 100%, $F$9) + CHOOSE(CONTROL!$C$27, 0.0021, 0)</f>
        <v>33.525300000000001</v>
      </c>
      <c r="L182" s="17"/>
    </row>
    <row r="183" spans="1:12" ht="15" x14ac:dyDescent="0.2">
      <c r="A183" s="16">
        <v>46478</v>
      </c>
      <c r="B183" s="17">
        <f>33.5599 * CHOOSE(CONTROL!$C$9, $D$9, 100%, $F$9) + CHOOSE(CONTROL!$C$27, 0.0021, 0)</f>
        <v>33.561999999999998</v>
      </c>
      <c r="C183" s="17">
        <f>33.1277 * CHOOSE(CONTROL!$C$9, $D$9, 100%, $F$9) + CHOOSE(CONTROL!$C$27, 0.0021, 0)</f>
        <v>33.129799999999996</v>
      </c>
      <c r="D183" s="17">
        <f>33.1277 * CHOOSE(CONTROL!$C$9, $D$9, 100%, $F$9) + CHOOSE(CONTROL!$C$27, 0.0021, 0)</f>
        <v>33.129799999999996</v>
      </c>
      <c r="E183" s="17">
        <f>32.991 * CHOOSE(CONTROL!$C$9, $D$9, 100%, $F$9) + CHOOSE(CONTROL!$C$27, 0.0021, 0)</f>
        <v>32.993099999999998</v>
      </c>
      <c r="F183" s="17">
        <f>32.991 * CHOOSE(CONTROL!$C$9, $D$9, 100%, $F$9) + CHOOSE(CONTROL!$C$27, 0.0021, 0)</f>
        <v>32.993099999999998</v>
      </c>
      <c r="G183" s="17">
        <f>33.2624 * CHOOSE(CONTROL!$C$9, $D$9, 100%, $F$9) + CHOOSE(CONTROL!$C$27, 0.0021, 0)</f>
        <v>33.264499999999998</v>
      </c>
      <c r="H183" s="17">
        <f>33.1277 * CHOOSE(CONTROL!$C$9, $D$9, 100%, $F$9) + CHOOSE(CONTROL!$C$27, 0.0021, 0)</f>
        <v>33.129799999999996</v>
      </c>
      <c r="I183" s="17">
        <f>33.1277 * CHOOSE(CONTROL!$C$9, $D$9, 100%, $F$9) + CHOOSE(CONTROL!$C$27, 0.0021, 0)</f>
        <v>33.129799999999996</v>
      </c>
      <c r="J183" s="17">
        <f>33.1277 * CHOOSE(CONTROL!$C$9, $D$9, 100%, $F$9) + CHOOSE(CONTROL!$C$27, 0.0021, 0)</f>
        <v>33.129799999999996</v>
      </c>
      <c r="K183" s="17">
        <f>33.1277 * CHOOSE(CONTROL!$C$9, $D$9, 100%, $F$9) + CHOOSE(CONTROL!$C$27, 0.0021, 0)</f>
        <v>33.129799999999996</v>
      </c>
      <c r="L183" s="17"/>
    </row>
    <row r="184" spans="1:12" ht="15" x14ac:dyDescent="0.2">
      <c r="A184" s="16">
        <v>46508</v>
      </c>
      <c r="B184" s="17">
        <f>34.2823 * CHOOSE(CONTROL!$C$9, $D$9, 100%, $F$9) + CHOOSE(CONTROL!$C$27, 0.0021, 0)</f>
        <v>34.284399999999998</v>
      </c>
      <c r="C184" s="17">
        <f>33.8501 * CHOOSE(CONTROL!$C$9, $D$9, 100%, $F$9) + CHOOSE(CONTROL!$C$27, 0.0021, 0)</f>
        <v>33.852199999999996</v>
      </c>
      <c r="D184" s="17">
        <f>33.8501 * CHOOSE(CONTROL!$C$9, $D$9, 100%, $F$9) + CHOOSE(CONTROL!$C$27, 0.0021, 0)</f>
        <v>33.852199999999996</v>
      </c>
      <c r="E184" s="17">
        <f>33.7134 * CHOOSE(CONTROL!$C$9, $D$9, 100%, $F$9) + CHOOSE(CONTROL!$C$27, 0.0021, 0)</f>
        <v>33.715499999999999</v>
      </c>
      <c r="F184" s="17">
        <f>33.7134 * CHOOSE(CONTROL!$C$9, $D$9, 100%, $F$9) + CHOOSE(CONTROL!$C$27, 0.0021, 0)</f>
        <v>33.715499999999999</v>
      </c>
      <c r="G184" s="17">
        <f>33.9848 * CHOOSE(CONTROL!$C$9, $D$9, 100%, $F$9) + CHOOSE(CONTROL!$C$27, 0.0021, 0)</f>
        <v>33.986899999999999</v>
      </c>
      <c r="H184" s="17">
        <f>33.8501 * CHOOSE(CONTROL!$C$9, $D$9, 100%, $F$9) + CHOOSE(CONTROL!$C$27, 0.0021, 0)</f>
        <v>33.852199999999996</v>
      </c>
      <c r="I184" s="17">
        <f>33.8501 * CHOOSE(CONTROL!$C$9, $D$9, 100%, $F$9) + CHOOSE(CONTROL!$C$27, 0.0021, 0)</f>
        <v>33.852199999999996</v>
      </c>
      <c r="J184" s="17">
        <f>33.8501 * CHOOSE(CONTROL!$C$9, $D$9, 100%, $F$9) + CHOOSE(CONTROL!$C$27, 0.0021, 0)</f>
        <v>33.852199999999996</v>
      </c>
      <c r="K184" s="17">
        <f>33.8501 * CHOOSE(CONTROL!$C$9, $D$9, 100%, $F$9) + CHOOSE(CONTROL!$C$27, 0.0021, 0)</f>
        <v>33.852199999999996</v>
      </c>
      <c r="L184" s="17"/>
    </row>
    <row r="185" spans="1:12" ht="15" x14ac:dyDescent="0.2">
      <c r="A185" s="16">
        <v>46539</v>
      </c>
      <c r="B185" s="17">
        <f>34.7431 * CHOOSE(CONTROL!$C$9, $D$9, 100%, $F$9) + CHOOSE(CONTROL!$C$27, 0.0021, 0)</f>
        <v>34.745199999999997</v>
      </c>
      <c r="C185" s="17">
        <f>34.3109 * CHOOSE(CONTROL!$C$9, $D$9, 100%, $F$9) + CHOOSE(CONTROL!$C$27, 0.0021, 0)</f>
        <v>34.312999999999995</v>
      </c>
      <c r="D185" s="17">
        <f>34.3109 * CHOOSE(CONTROL!$C$9, $D$9, 100%, $F$9) + CHOOSE(CONTROL!$C$27, 0.0021, 0)</f>
        <v>34.312999999999995</v>
      </c>
      <c r="E185" s="17">
        <f>34.1742 * CHOOSE(CONTROL!$C$9, $D$9, 100%, $F$9) + CHOOSE(CONTROL!$C$27, 0.0021, 0)</f>
        <v>34.176299999999998</v>
      </c>
      <c r="F185" s="17">
        <f>34.1742 * CHOOSE(CONTROL!$C$9, $D$9, 100%, $F$9) + CHOOSE(CONTROL!$C$27, 0.0021, 0)</f>
        <v>34.176299999999998</v>
      </c>
      <c r="G185" s="17">
        <f>34.4456 * CHOOSE(CONTROL!$C$9, $D$9, 100%, $F$9) + CHOOSE(CONTROL!$C$27, 0.0021, 0)</f>
        <v>34.447699999999998</v>
      </c>
      <c r="H185" s="17">
        <f>34.3109 * CHOOSE(CONTROL!$C$9, $D$9, 100%, $F$9) + CHOOSE(CONTROL!$C$27, 0.0021, 0)</f>
        <v>34.312999999999995</v>
      </c>
      <c r="I185" s="17">
        <f>34.3109 * CHOOSE(CONTROL!$C$9, $D$9, 100%, $F$9) + CHOOSE(CONTROL!$C$27, 0.0021, 0)</f>
        <v>34.312999999999995</v>
      </c>
      <c r="J185" s="17">
        <f>34.3109 * CHOOSE(CONTROL!$C$9, $D$9, 100%, $F$9) + CHOOSE(CONTROL!$C$27, 0.0021, 0)</f>
        <v>34.312999999999995</v>
      </c>
      <c r="K185" s="17">
        <f>34.3109 * CHOOSE(CONTROL!$C$9, $D$9, 100%, $F$9) + CHOOSE(CONTROL!$C$27, 0.0021, 0)</f>
        <v>34.312999999999995</v>
      </c>
      <c r="L185" s="17"/>
    </row>
    <row r="186" spans="1:12" ht="15" x14ac:dyDescent="0.2">
      <c r="A186" s="16">
        <v>46569</v>
      </c>
      <c r="B186" s="17">
        <f>35.4628 * CHOOSE(CONTROL!$C$9, $D$9, 100%, $F$9) + CHOOSE(CONTROL!$C$27, 0.0021, 0)</f>
        <v>35.4649</v>
      </c>
      <c r="C186" s="17">
        <f>35.0305 * CHOOSE(CONTROL!$C$9, $D$9, 100%, $F$9) + CHOOSE(CONTROL!$C$27, 0.0021, 0)</f>
        <v>35.032600000000002</v>
      </c>
      <c r="D186" s="17">
        <f>35.0305 * CHOOSE(CONTROL!$C$9, $D$9, 100%, $F$9) + CHOOSE(CONTROL!$C$27, 0.0021, 0)</f>
        <v>35.032600000000002</v>
      </c>
      <c r="E186" s="17">
        <f>34.8939 * CHOOSE(CONTROL!$C$9, $D$9, 100%, $F$9) + CHOOSE(CONTROL!$C$27, 0.0021, 0)</f>
        <v>34.896000000000001</v>
      </c>
      <c r="F186" s="17">
        <f>34.8939 * CHOOSE(CONTROL!$C$9, $D$9, 100%, $F$9) + CHOOSE(CONTROL!$C$27, 0.0021, 0)</f>
        <v>34.896000000000001</v>
      </c>
      <c r="G186" s="17">
        <f>35.1652 * CHOOSE(CONTROL!$C$9, $D$9, 100%, $F$9) + CHOOSE(CONTROL!$C$27, 0.0021, 0)</f>
        <v>35.167299999999997</v>
      </c>
      <c r="H186" s="17">
        <f>35.0305 * CHOOSE(CONTROL!$C$9, $D$9, 100%, $F$9) + CHOOSE(CONTROL!$C$27, 0.0021, 0)</f>
        <v>35.032600000000002</v>
      </c>
      <c r="I186" s="17">
        <f>35.0305 * CHOOSE(CONTROL!$C$9, $D$9, 100%, $F$9) + CHOOSE(CONTROL!$C$27, 0.0021, 0)</f>
        <v>35.032600000000002</v>
      </c>
      <c r="J186" s="17">
        <f>35.0305 * CHOOSE(CONTROL!$C$9, $D$9, 100%, $F$9) + CHOOSE(CONTROL!$C$27, 0.0021, 0)</f>
        <v>35.032600000000002</v>
      </c>
      <c r="K186" s="17">
        <f>35.0305 * CHOOSE(CONTROL!$C$9, $D$9, 100%, $F$9) + CHOOSE(CONTROL!$C$27, 0.0021, 0)</f>
        <v>35.032600000000002</v>
      </c>
      <c r="L186" s="17"/>
    </row>
    <row r="187" spans="1:12" ht="15" x14ac:dyDescent="0.2">
      <c r="A187" s="16">
        <v>46600</v>
      </c>
      <c r="B187" s="17">
        <f>35.7308 * CHOOSE(CONTROL!$C$9, $D$9, 100%, $F$9) + CHOOSE(CONTROL!$C$27, 0.0021, 0)</f>
        <v>35.732900000000001</v>
      </c>
      <c r="C187" s="17">
        <f>35.2985 * CHOOSE(CONTROL!$C$9, $D$9, 100%, $F$9) + CHOOSE(CONTROL!$C$27, 0.0021, 0)</f>
        <v>35.300599999999996</v>
      </c>
      <c r="D187" s="17">
        <f>35.2985 * CHOOSE(CONTROL!$C$9, $D$9, 100%, $F$9) + CHOOSE(CONTROL!$C$27, 0.0021, 0)</f>
        <v>35.300599999999996</v>
      </c>
      <c r="E187" s="17">
        <f>35.1619 * CHOOSE(CONTROL!$C$9, $D$9, 100%, $F$9) + CHOOSE(CONTROL!$C$27, 0.0021, 0)</f>
        <v>35.164000000000001</v>
      </c>
      <c r="F187" s="17">
        <f>35.1619 * CHOOSE(CONTROL!$C$9, $D$9, 100%, $F$9) + CHOOSE(CONTROL!$C$27, 0.0021, 0)</f>
        <v>35.164000000000001</v>
      </c>
      <c r="G187" s="17">
        <f>35.4332 * CHOOSE(CONTROL!$C$9, $D$9, 100%, $F$9) + CHOOSE(CONTROL!$C$27, 0.0021, 0)</f>
        <v>35.435299999999998</v>
      </c>
      <c r="H187" s="17">
        <f>35.2985 * CHOOSE(CONTROL!$C$9, $D$9, 100%, $F$9) + CHOOSE(CONTROL!$C$27, 0.0021, 0)</f>
        <v>35.300599999999996</v>
      </c>
      <c r="I187" s="17">
        <f>35.2985 * CHOOSE(CONTROL!$C$9, $D$9, 100%, $F$9) + CHOOSE(CONTROL!$C$27, 0.0021, 0)</f>
        <v>35.300599999999996</v>
      </c>
      <c r="J187" s="17">
        <f>35.2985 * CHOOSE(CONTROL!$C$9, $D$9, 100%, $F$9) + CHOOSE(CONTROL!$C$27, 0.0021, 0)</f>
        <v>35.300599999999996</v>
      </c>
      <c r="K187" s="17">
        <f>35.2985 * CHOOSE(CONTROL!$C$9, $D$9, 100%, $F$9) + CHOOSE(CONTROL!$C$27, 0.0021, 0)</f>
        <v>35.300599999999996</v>
      </c>
      <c r="L187" s="17"/>
    </row>
    <row r="188" spans="1:12" ht="15" x14ac:dyDescent="0.2">
      <c r="A188" s="16">
        <v>46631</v>
      </c>
      <c r="B188" s="17">
        <f>36.481 * CHOOSE(CONTROL!$C$9, $D$9, 100%, $F$9) + CHOOSE(CONTROL!$C$27, 0.0021, 0)</f>
        <v>36.4831</v>
      </c>
      <c r="C188" s="17">
        <f>36.0488 * CHOOSE(CONTROL!$C$9, $D$9, 100%, $F$9) + CHOOSE(CONTROL!$C$27, 0.0021, 0)</f>
        <v>36.050899999999999</v>
      </c>
      <c r="D188" s="17">
        <f>36.0488 * CHOOSE(CONTROL!$C$9, $D$9, 100%, $F$9) + CHOOSE(CONTROL!$C$27, 0.0021, 0)</f>
        <v>36.050899999999999</v>
      </c>
      <c r="E188" s="17">
        <f>35.9121 * CHOOSE(CONTROL!$C$9, $D$9, 100%, $F$9) + CHOOSE(CONTROL!$C$27, 0.0021, 0)</f>
        <v>35.914200000000001</v>
      </c>
      <c r="F188" s="17">
        <f>35.9121 * CHOOSE(CONTROL!$C$9, $D$9, 100%, $F$9) + CHOOSE(CONTROL!$C$27, 0.0021, 0)</f>
        <v>35.914200000000001</v>
      </c>
      <c r="G188" s="17">
        <f>36.1835 * CHOOSE(CONTROL!$C$9, $D$9, 100%, $F$9) + CHOOSE(CONTROL!$C$27, 0.0021, 0)</f>
        <v>36.185600000000001</v>
      </c>
      <c r="H188" s="17">
        <f>36.0488 * CHOOSE(CONTROL!$C$9, $D$9, 100%, $F$9) + CHOOSE(CONTROL!$C$27, 0.0021, 0)</f>
        <v>36.050899999999999</v>
      </c>
      <c r="I188" s="17">
        <f>36.0488 * CHOOSE(CONTROL!$C$9, $D$9, 100%, $F$9) + CHOOSE(CONTROL!$C$27, 0.0021, 0)</f>
        <v>36.050899999999999</v>
      </c>
      <c r="J188" s="17">
        <f>36.0488 * CHOOSE(CONTROL!$C$9, $D$9, 100%, $F$9) + CHOOSE(CONTROL!$C$27, 0.0021, 0)</f>
        <v>36.050899999999999</v>
      </c>
      <c r="K188" s="17">
        <f>36.0488 * CHOOSE(CONTROL!$C$9, $D$9, 100%, $F$9) + CHOOSE(CONTROL!$C$27, 0.0021, 0)</f>
        <v>36.050899999999999</v>
      </c>
      <c r="L188" s="17"/>
    </row>
    <row r="189" spans="1:12" ht="15" x14ac:dyDescent="0.2">
      <c r="A189" s="16">
        <v>46661</v>
      </c>
      <c r="B189" s="17">
        <f>37.4157 * CHOOSE(CONTROL!$C$9, $D$9, 100%, $F$9) + CHOOSE(CONTROL!$C$27, 0.0021, 0)</f>
        <v>37.4178</v>
      </c>
      <c r="C189" s="17">
        <f>36.9835 * CHOOSE(CONTROL!$C$9, $D$9, 100%, $F$9) + CHOOSE(CONTROL!$C$27, 0.0021, 0)</f>
        <v>36.985599999999998</v>
      </c>
      <c r="D189" s="17">
        <f>36.9835 * CHOOSE(CONTROL!$C$9, $D$9, 100%, $F$9) + CHOOSE(CONTROL!$C$27, 0.0021, 0)</f>
        <v>36.985599999999998</v>
      </c>
      <c r="E189" s="17">
        <f>36.8468 * CHOOSE(CONTROL!$C$9, $D$9, 100%, $F$9) + CHOOSE(CONTROL!$C$27, 0.0021, 0)</f>
        <v>36.8489</v>
      </c>
      <c r="F189" s="17">
        <f>36.8468 * CHOOSE(CONTROL!$C$9, $D$9, 100%, $F$9) + CHOOSE(CONTROL!$C$27, 0.0021, 0)</f>
        <v>36.8489</v>
      </c>
      <c r="G189" s="17">
        <f>37.1182 * CHOOSE(CONTROL!$C$9, $D$9, 100%, $F$9) + CHOOSE(CONTROL!$C$27, 0.0021, 0)</f>
        <v>37.1203</v>
      </c>
      <c r="H189" s="17">
        <f>36.9835 * CHOOSE(CONTROL!$C$9, $D$9, 100%, $F$9) + CHOOSE(CONTROL!$C$27, 0.0021, 0)</f>
        <v>36.985599999999998</v>
      </c>
      <c r="I189" s="17">
        <f>36.9835 * CHOOSE(CONTROL!$C$9, $D$9, 100%, $F$9) + CHOOSE(CONTROL!$C$27, 0.0021, 0)</f>
        <v>36.985599999999998</v>
      </c>
      <c r="J189" s="17">
        <f>36.9835 * CHOOSE(CONTROL!$C$9, $D$9, 100%, $F$9) + CHOOSE(CONTROL!$C$27, 0.0021, 0)</f>
        <v>36.985599999999998</v>
      </c>
      <c r="K189" s="17">
        <f>36.9835 * CHOOSE(CONTROL!$C$9, $D$9, 100%, $F$9) + CHOOSE(CONTROL!$C$27, 0.0021, 0)</f>
        <v>36.985599999999998</v>
      </c>
      <c r="L189" s="17"/>
    </row>
    <row r="190" spans="1:12" ht="15" x14ac:dyDescent="0.2">
      <c r="A190" s="16">
        <v>46692</v>
      </c>
      <c r="B190" s="17">
        <f>37.5694 * CHOOSE(CONTROL!$C$9, $D$9, 100%, $F$9) + CHOOSE(CONTROL!$C$27, 0.0021, 0)</f>
        <v>37.5715</v>
      </c>
      <c r="C190" s="17">
        <f>37.1371 * CHOOSE(CONTROL!$C$9, $D$9, 100%, $F$9) + CHOOSE(CONTROL!$C$27, 0.0021, 0)</f>
        <v>37.139199999999995</v>
      </c>
      <c r="D190" s="17">
        <f>37.1371 * CHOOSE(CONTROL!$C$9, $D$9, 100%, $F$9) + CHOOSE(CONTROL!$C$27, 0.0021, 0)</f>
        <v>37.139199999999995</v>
      </c>
      <c r="E190" s="17">
        <f>37.0005 * CHOOSE(CONTROL!$C$9, $D$9, 100%, $F$9) + CHOOSE(CONTROL!$C$27, 0.0021, 0)</f>
        <v>37.002600000000001</v>
      </c>
      <c r="F190" s="17">
        <f>37.0005 * CHOOSE(CONTROL!$C$9, $D$9, 100%, $F$9) + CHOOSE(CONTROL!$C$27, 0.0021, 0)</f>
        <v>37.002600000000001</v>
      </c>
      <c r="G190" s="17">
        <f>37.2718 * CHOOSE(CONTROL!$C$9, $D$9, 100%, $F$9) + CHOOSE(CONTROL!$C$27, 0.0021, 0)</f>
        <v>37.273899999999998</v>
      </c>
      <c r="H190" s="17">
        <f>37.1371 * CHOOSE(CONTROL!$C$9, $D$9, 100%, $F$9) + CHOOSE(CONTROL!$C$27, 0.0021, 0)</f>
        <v>37.139199999999995</v>
      </c>
      <c r="I190" s="17">
        <f>37.1371 * CHOOSE(CONTROL!$C$9, $D$9, 100%, $F$9) + CHOOSE(CONTROL!$C$27, 0.0021, 0)</f>
        <v>37.139199999999995</v>
      </c>
      <c r="J190" s="17">
        <f>37.1371 * CHOOSE(CONTROL!$C$9, $D$9, 100%, $F$9) + CHOOSE(CONTROL!$C$27, 0.0021, 0)</f>
        <v>37.139199999999995</v>
      </c>
      <c r="K190" s="17">
        <f>37.1371 * CHOOSE(CONTROL!$C$9, $D$9, 100%, $F$9) + CHOOSE(CONTROL!$C$27, 0.0021, 0)</f>
        <v>37.139199999999995</v>
      </c>
      <c r="L190" s="17"/>
    </row>
    <row r="191" spans="1:12" ht="15" x14ac:dyDescent="0.2">
      <c r="A191" s="16">
        <v>46722</v>
      </c>
      <c r="B191" s="17">
        <f>36.9489 * CHOOSE(CONTROL!$C$9, $D$9, 100%, $F$9) + CHOOSE(CONTROL!$C$27, 0.0021, 0)</f>
        <v>36.951000000000001</v>
      </c>
      <c r="C191" s="17">
        <f>36.5166 * CHOOSE(CONTROL!$C$9, $D$9, 100%, $F$9) + CHOOSE(CONTROL!$C$27, 0.0021, 0)</f>
        <v>36.518699999999995</v>
      </c>
      <c r="D191" s="17">
        <f>36.5166 * CHOOSE(CONTROL!$C$9, $D$9, 100%, $F$9) + CHOOSE(CONTROL!$C$27, 0.0021, 0)</f>
        <v>36.518699999999995</v>
      </c>
      <c r="E191" s="17">
        <f>36.38 * CHOOSE(CONTROL!$C$9, $D$9, 100%, $F$9) + CHOOSE(CONTROL!$C$27, 0.0021, 0)</f>
        <v>36.382100000000001</v>
      </c>
      <c r="F191" s="17">
        <f>36.38 * CHOOSE(CONTROL!$C$9, $D$9, 100%, $F$9) + CHOOSE(CONTROL!$C$27, 0.0021, 0)</f>
        <v>36.382100000000001</v>
      </c>
      <c r="G191" s="17">
        <f>36.6514 * CHOOSE(CONTROL!$C$9, $D$9, 100%, $F$9) + CHOOSE(CONTROL!$C$27, 0.0021, 0)</f>
        <v>36.653500000000001</v>
      </c>
      <c r="H191" s="17">
        <f>36.5166 * CHOOSE(CONTROL!$C$9, $D$9, 100%, $F$9) + CHOOSE(CONTROL!$C$27, 0.0021, 0)</f>
        <v>36.518699999999995</v>
      </c>
      <c r="I191" s="17">
        <f>36.5166 * CHOOSE(CONTROL!$C$9, $D$9, 100%, $F$9) + CHOOSE(CONTROL!$C$27, 0.0021, 0)</f>
        <v>36.518699999999995</v>
      </c>
      <c r="J191" s="17">
        <f>36.5166 * CHOOSE(CONTROL!$C$9, $D$9, 100%, $F$9) + CHOOSE(CONTROL!$C$27, 0.0021, 0)</f>
        <v>36.518699999999995</v>
      </c>
      <c r="K191" s="17">
        <f>36.5166 * CHOOSE(CONTROL!$C$9, $D$9, 100%, $F$9) + CHOOSE(CONTROL!$C$27, 0.0021, 0)</f>
        <v>36.518699999999995</v>
      </c>
      <c r="L191" s="17"/>
    </row>
    <row r="192" spans="1:12" ht="15" x14ac:dyDescent="0.2">
      <c r="A192" s="16">
        <v>46753</v>
      </c>
      <c r="B192" s="17">
        <f>35.8959 * CHOOSE(CONTROL!$C$9, $D$9, 100%, $F$9) + CHOOSE(CONTROL!$C$27, 0.0021, 0)</f>
        <v>35.897999999999996</v>
      </c>
      <c r="C192" s="17">
        <f>35.4636 * CHOOSE(CONTROL!$C$9, $D$9, 100%, $F$9) + CHOOSE(CONTROL!$C$27, 0.0021, 0)</f>
        <v>35.465699999999998</v>
      </c>
      <c r="D192" s="17">
        <f>35.4636 * CHOOSE(CONTROL!$C$9, $D$9, 100%, $F$9) + CHOOSE(CONTROL!$C$27, 0.0021, 0)</f>
        <v>35.465699999999998</v>
      </c>
      <c r="E192" s="17">
        <f>35.327 * CHOOSE(CONTROL!$C$9, $D$9, 100%, $F$9) + CHOOSE(CONTROL!$C$27, 0.0021, 0)</f>
        <v>35.329099999999997</v>
      </c>
      <c r="F192" s="17">
        <f>35.327 * CHOOSE(CONTROL!$C$9, $D$9, 100%, $F$9) + CHOOSE(CONTROL!$C$27, 0.0021, 0)</f>
        <v>35.329099999999997</v>
      </c>
      <c r="G192" s="17">
        <f>35.5983 * CHOOSE(CONTROL!$C$9, $D$9, 100%, $F$9) + CHOOSE(CONTROL!$C$27, 0.0021, 0)</f>
        <v>35.6004</v>
      </c>
      <c r="H192" s="17">
        <f>35.4636 * CHOOSE(CONTROL!$C$9, $D$9, 100%, $F$9) + CHOOSE(CONTROL!$C$27, 0.0021, 0)</f>
        <v>35.465699999999998</v>
      </c>
      <c r="I192" s="17">
        <f>35.4636 * CHOOSE(CONTROL!$C$9, $D$9, 100%, $F$9) + CHOOSE(CONTROL!$C$27, 0.0021, 0)</f>
        <v>35.465699999999998</v>
      </c>
      <c r="J192" s="17">
        <f>35.4636 * CHOOSE(CONTROL!$C$9, $D$9, 100%, $F$9) + CHOOSE(CONTROL!$C$27, 0.0021, 0)</f>
        <v>35.465699999999998</v>
      </c>
      <c r="K192" s="17">
        <f>35.4636 * CHOOSE(CONTROL!$C$9, $D$9, 100%, $F$9) + CHOOSE(CONTROL!$C$27, 0.0021, 0)</f>
        <v>35.465699999999998</v>
      </c>
      <c r="L192" s="17"/>
    </row>
    <row r="193" spans="1:12" ht="15" x14ac:dyDescent="0.2">
      <c r="A193" s="16">
        <v>46784</v>
      </c>
      <c r="B193" s="17">
        <f>35.0126 * CHOOSE(CONTROL!$C$9, $D$9, 100%, $F$9) + CHOOSE(CONTROL!$C$27, 0.0021, 0)</f>
        <v>35.014699999999998</v>
      </c>
      <c r="C193" s="17">
        <f>34.5804 * CHOOSE(CONTROL!$C$9, $D$9, 100%, $F$9) + CHOOSE(CONTROL!$C$27, 0.0021, 0)</f>
        <v>34.582499999999996</v>
      </c>
      <c r="D193" s="17">
        <f>34.5804 * CHOOSE(CONTROL!$C$9, $D$9, 100%, $F$9) + CHOOSE(CONTROL!$C$27, 0.0021, 0)</f>
        <v>34.582499999999996</v>
      </c>
      <c r="E193" s="17">
        <f>34.4437 * CHOOSE(CONTROL!$C$9, $D$9, 100%, $F$9) + CHOOSE(CONTROL!$C$27, 0.0021, 0)</f>
        <v>34.445799999999998</v>
      </c>
      <c r="F193" s="17">
        <f>34.4437 * CHOOSE(CONTROL!$C$9, $D$9, 100%, $F$9) + CHOOSE(CONTROL!$C$27, 0.0021, 0)</f>
        <v>34.445799999999998</v>
      </c>
      <c r="G193" s="17">
        <f>34.7151 * CHOOSE(CONTROL!$C$9, $D$9, 100%, $F$9) + CHOOSE(CONTROL!$C$27, 0.0021, 0)</f>
        <v>34.717199999999998</v>
      </c>
      <c r="H193" s="17">
        <f>34.5804 * CHOOSE(CONTROL!$C$9, $D$9, 100%, $F$9) + CHOOSE(CONTROL!$C$27, 0.0021, 0)</f>
        <v>34.582499999999996</v>
      </c>
      <c r="I193" s="17">
        <f>34.5804 * CHOOSE(CONTROL!$C$9, $D$9, 100%, $F$9) + CHOOSE(CONTROL!$C$27, 0.0021, 0)</f>
        <v>34.582499999999996</v>
      </c>
      <c r="J193" s="17">
        <f>34.5804 * CHOOSE(CONTROL!$C$9, $D$9, 100%, $F$9) + CHOOSE(CONTROL!$C$27, 0.0021, 0)</f>
        <v>34.582499999999996</v>
      </c>
      <c r="K193" s="17">
        <f>34.5804 * CHOOSE(CONTROL!$C$9, $D$9, 100%, $F$9) + CHOOSE(CONTROL!$C$27, 0.0021, 0)</f>
        <v>34.582499999999996</v>
      </c>
      <c r="L193" s="17"/>
    </row>
    <row r="194" spans="1:12" ht="15" x14ac:dyDescent="0.2">
      <c r="A194" s="16">
        <v>46813</v>
      </c>
      <c r="B194" s="17">
        <f>34.6861 * CHOOSE(CONTROL!$C$9, $D$9, 100%, $F$9) + CHOOSE(CONTROL!$C$27, 0.0021, 0)</f>
        <v>34.688200000000002</v>
      </c>
      <c r="C194" s="17">
        <f>34.2538 * CHOOSE(CONTROL!$C$9, $D$9, 100%, $F$9) + CHOOSE(CONTROL!$C$27, 0.0021, 0)</f>
        <v>34.255899999999997</v>
      </c>
      <c r="D194" s="17">
        <f>34.2538 * CHOOSE(CONTROL!$C$9, $D$9, 100%, $F$9) + CHOOSE(CONTROL!$C$27, 0.0021, 0)</f>
        <v>34.255899999999997</v>
      </c>
      <c r="E194" s="17">
        <f>34.1171 * CHOOSE(CONTROL!$C$9, $D$9, 100%, $F$9) + CHOOSE(CONTROL!$C$27, 0.0021, 0)</f>
        <v>34.119199999999999</v>
      </c>
      <c r="F194" s="17">
        <f>34.1171 * CHOOSE(CONTROL!$C$9, $D$9, 100%, $F$9) + CHOOSE(CONTROL!$C$27, 0.0021, 0)</f>
        <v>34.119199999999999</v>
      </c>
      <c r="G194" s="17">
        <f>34.3885 * CHOOSE(CONTROL!$C$9, $D$9, 100%, $F$9) + CHOOSE(CONTROL!$C$27, 0.0021, 0)</f>
        <v>34.390599999999999</v>
      </c>
      <c r="H194" s="17">
        <f>34.2538 * CHOOSE(CONTROL!$C$9, $D$9, 100%, $F$9) + CHOOSE(CONTROL!$C$27, 0.0021, 0)</f>
        <v>34.255899999999997</v>
      </c>
      <c r="I194" s="17">
        <f>34.2538 * CHOOSE(CONTROL!$C$9, $D$9, 100%, $F$9) + CHOOSE(CONTROL!$C$27, 0.0021, 0)</f>
        <v>34.255899999999997</v>
      </c>
      <c r="J194" s="17">
        <f>34.2538 * CHOOSE(CONTROL!$C$9, $D$9, 100%, $F$9) + CHOOSE(CONTROL!$C$27, 0.0021, 0)</f>
        <v>34.255899999999997</v>
      </c>
      <c r="K194" s="17">
        <f>34.2538 * CHOOSE(CONTROL!$C$9, $D$9, 100%, $F$9) + CHOOSE(CONTROL!$C$27, 0.0021, 0)</f>
        <v>34.255899999999997</v>
      </c>
      <c r="L194" s="17"/>
    </row>
    <row r="195" spans="1:12" ht="15" x14ac:dyDescent="0.2">
      <c r="A195" s="16">
        <v>46844</v>
      </c>
      <c r="B195" s="17">
        <f>34.2814 * CHOOSE(CONTROL!$C$9, $D$9, 100%, $F$9) + CHOOSE(CONTROL!$C$27, 0.0021, 0)</f>
        <v>34.283499999999997</v>
      </c>
      <c r="C195" s="17">
        <f>33.8491 * CHOOSE(CONTROL!$C$9, $D$9, 100%, $F$9) + CHOOSE(CONTROL!$C$27, 0.0021, 0)</f>
        <v>33.851199999999999</v>
      </c>
      <c r="D195" s="17">
        <f>33.8491 * CHOOSE(CONTROL!$C$9, $D$9, 100%, $F$9) + CHOOSE(CONTROL!$C$27, 0.0021, 0)</f>
        <v>33.851199999999999</v>
      </c>
      <c r="E195" s="17">
        <f>33.7125 * CHOOSE(CONTROL!$C$9, $D$9, 100%, $F$9) + CHOOSE(CONTROL!$C$27, 0.0021, 0)</f>
        <v>33.714599999999997</v>
      </c>
      <c r="F195" s="17">
        <f>33.7125 * CHOOSE(CONTROL!$C$9, $D$9, 100%, $F$9) + CHOOSE(CONTROL!$C$27, 0.0021, 0)</f>
        <v>33.714599999999997</v>
      </c>
      <c r="G195" s="17">
        <f>33.9839 * CHOOSE(CONTROL!$C$9, $D$9, 100%, $F$9) + CHOOSE(CONTROL!$C$27, 0.0021, 0)</f>
        <v>33.985999999999997</v>
      </c>
      <c r="H195" s="17">
        <f>33.8491 * CHOOSE(CONTROL!$C$9, $D$9, 100%, $F$9) + CHOOSE(CONTROL!$C$27, 0.0021, 0)</f>
        <v>33.851199999999999</v>
      </c>
      <c r="I195" s="17">
        <f>33.8491 * CHOOSE(CONTROL!$C$9, $D$9, 100%, $F$9) + CHOOSE(CONTROL!$C$27, 0.0021, 0)</f>
        <v>33.851199999999999</v>
      </c>
      <c r="J195" s="17">
        <f>33.8491 * CHOOSE(CONTROL!$C$9, $D$9, 100%, $F$9) + CHOOSE(CONTROL!$C$27, 0.0021, 0)</f>
        <v>33.851199999999999</v>
      </c>
      <c r="K195" s="17">
        <f>33.8491 * CHOOSE(CONTROL!$C$9, $D$9, 100%, $F$9) + CHOOSE(CONTROL!$C$27, 0.0021, 0)</f>
        <v>33.851199999999999</v>
      </c>
      <c r="L195" s="17"/>
    </row>
    <row r="196" spans="1:12" ht="15" x14ac:dyDescent="0.2">
      <c r="A196" s="16">
        <v>46874</v>
      </c>
      <c r="B196" s="17">
        <f>35.0204 * CHOOSE(CONTROL!$C$9, $D$9, 100%, $F$9) + CHOOSE(CONTROL!$C$27, 0.0021, 0)</f>
        <v>35.022500000000001</v>
      </c>
      <c r="C196" s="17">
        <f>34.5882 * CHOOSE(CONTROL!$C$9, $D$9, 100%, $F$9) + CHOOSE(CONTROL!$C$27, 0.0021, 0)</f>
        <v>34.590299999999999</v>
      </c>
      <c r="D196" s="17">
        <f>34.5882 * CHOOSE(CONTROL!$C$9, $D$9, 100%, $F$9) + CHOOSE(CONTROL!$C$27, 0.0021, 0)</f>
        <v>34.590299999999999</v>
      </c>
      <c r="E196" s="17">
        <f>34.4515 * CHOOSE(CONTROL!$C$9, $D$9, 100%, $F$9) + CHOOSE(CONTROL!$C$27, 0.0021, 0)</f>
        <v>34.453600000000002</v>
      </c>
      <c r="F196" s="17">
        <f>34.4515 * CHOOSE(CONTROL!$C$9, $D$9, 100%, $F$9) + CHOOSE(CONTROL!$C$27, 0.0021, 0)</f>
        <v>34.453600000000002</v>
      </c>
      <c r="G196" s="17">
        <f>34.7229 * CHOOSE(CONTROL!$C$9, $D$9, 100%, $F$9) + CHOOSE(CONTROL!$C$27, 0.0021, 0)</f>
        <v>34.725000000000001</v>
      </c>
      <c r="H196" s="17">
        <f>34.5882 * CHOOSE(CONTROL!$C$9, $D$9, 100%, $F$9) + CHOOSE(CONTROL!$C$27, 0.0021, 0)</f>
        <v>34.590299999999999</v>
      </c>
      <c r="I196" s="17">
        <f>34.5882 * CHOOSE(CONTROL!$C$9, $D$9, 100%, $F$9) + CHOOSE(CONTROL!$C$27, 0.0021, 0)</f>
        <v>34.590299999999999</v>
      </c>
      <c r="J196" s="17">
        <f>34.5882 * CHOOSE(CONTROL!$C$9, $D$9, 100%, $F$9) + CHOOSE(CONTROL!$C$27, 0.0021, 0)</f>
        <v>34.590299999999999</v>
      </c>
      <c r="K196" s="17">
        <f>34.5882 * CHOOSE(CONTROL!$C$9, $D$9, 100%, $F$9) + CHOOSE(CONTROL!$C$27, 0.0021, 0)</f>
        <v>34.590299999999999</v>
      </c>
      <c r="L196" s="17"/>
    </row>
    <row r="197" spans="1:12" ht="15" x14ac:dyDescent="0.2">
      <c r="A197" s="16">
        <v>46905</v>
      </c>
      <c r="B197" s="17">
        <f>35.4919 * CHOOSE(CONTROL!$C$9, $D$9, 100%, $F$9) + CHOOSE(CONTROL!$C$27, 0.0021, 0)</f>
        <v>35.494</v>
      </c>
      <c r="C197" s="17">
        <f>35.0596 * CHOOSE(CONTROL!$C$9, $D$9, 100%, $F$9) + CHOOSE(CONTROL!$C$27, 0.0021, 0)</f>
        <v>35.061700000000002</v>
      </c>
      <c r="D197" s="17">
        <f>35.0596 * CHOOSE(CONTROL!$C$9, $D$9, 100%, $F$9) + CHOOSE(CONTROL!$C$27, 0.0021, 0)</f>
        <v>35.061700000000002</v>
      </c>
      <c r="E197" s="17">
        <f>34.923 * CHOOSE(CONTROL!$C$9, $D$9, 100%, $F$9) + CHOOSE(CONTROL!$C$27, 0.0021, 0)</f>
        <v>34.9251</v>
      </c>
      <c r="F197" s="17">
        <f>34.923 * CHOOSE(CONTROL!$C$9, $D$9, 100%, $F$9) + CHOOSE(CONTROL!$C$27, 0.0021, 0)</f>
        <v>34.9251</v>
      </c>
      <c r="G197" s="17">
        <f>35.1944 * CHOOSE(CONTROL!$C$9, $D$9, 100%, $F$9) + CHOOSE(CONTROL!$C$27, 0.0021, 0)</f>
        <v>35.1965</v>
      </c>
      <c r="H197" s="17">
        <f>35.0596 * CHOOSE(CONTROL!$C$9, $D$9, 100%, $F$9) + CHOOSE(CONTROL!$C$27, 0.0021, 0)</f>
        <v>35.061700000000002</v>
      </c>
      <c r="I197" s="17">
        <f>35.0596 * CHOOSE(CONTROL!$C$9, $D$9, 100%, $F$9) + CHOOSE(CONTROL!$C$27, 0.0021, 0)</f>
        <v>35.061700000000002</v>
      </c>
      <c r="J197" s="17">
        <f>35.0596 * CHOOSE(CONTROL!$C$9, $D$9, 100%, $F$9) + CHOOSE(CONTROL!$C$27, 0.0021, 0)</f>
        <v>35.061700000000002</v>
      </c>
      <c r="K197" s="17">
        <f>35.0596 * CHOOSE(CONTROL!$C$9, $D$9, 100%, $F$9) + CHOOSE(CONTROL!$C$27, 0.0021, 0)</f>
        <v>35.061700000000002</v>
      </c>
      <c r="L197" s="17"/>
    </row>
    <row r="198" spans="1:12" ht="15" x14ac:dyDescent="0.2">
      <c r="A198" s="16">
        <v>46935</v>
      </c>
      <c r="B198" s="17">
        <f>36.2282 * CHOOSE(CONTROL!$C$9, $D$9, 100%, $F$9) + CHOOSE(CONTROL!$C$27, 0.0021, 0)</f>
        <v>36.2303</v>
      </c>
      <c r="C198" s="17">
        <f>35.7959 * CHOOSE(CONTROL!$C$9, $D$9, 100%, $F$9) + CHOOSE(CONTROL!$C$27, 0.0021, 0)</f>
        <v>35.798000000000002</v>
      </c>
      <c r="D198" s="17">
        <f>35.7959 * CHOOSE(CONTROL!$C$9, $D$9, 100%, $F$9) + CHOOSE(CONTROL!$C$27, 0.0021, 0)</f>
        <v>35.798000000000002</v>
      </c>
      <c r="E198" s="17">
        <f>35.6593 * CHOOSE(CONTROL!$C$9, $D$9, 100%, $F$9) + CHOOSE(CONTROL!$C$27, 0.0021, 0)</f>
        <v>35.6614</v>
      </c>
      <c r="F198" s="17">
        <f>35.6593 * CHOOSE(CONTROL!$C$9, $D$9, 100%, $F$9) + CHOOSE(CONTROL!$C$27, 0.0021, 0)</f>
        <v>35.6614</v>
      </c>
      <c r="G198" s="17">
        <f>35.9306 * CHOOSE(CONTROL!$C$9, $D$9, 100%, $F$9) + CHOOSE(CONTROL!$C$27, 0.0021, 0)</f>
        <v>35.932699999999997</v>
      </c>
      <c r="H198" s="17">
        <f>35.7959 * CHOOSE(CONTROL!$C$9, $D$9, 100%, $F$9) + CHOOSE(CONTROL!$C$27, 0.0021, 0)</f>
        <v>35.798000000000002</v>
      </c>
      <c r="I198" s="17">
        <f>35.7959 * CHOOSE(CONTROL!$C$9, $D$9, 100%, $F$9) + CHOOSE(CONTROL!$C$27, 0.0021, 0)</f>
        <v>35.798000000000002</v>
      </c>
      <c r="J198" s="17">
        <f>35.7959 * CHOOSE(CONTROL!$C$9, $D$9, 100%, $F$9) + CHOOSE(CONTROL!$C$27, 0.0021, 0)</f>
        <v>35.798000000000002</v>
      </c>
      <c r="K198" s="17">
        <f>35.7959 * CHOOSE(CONTROL!$C$9, $D$9, 100%, $F$9) + CHOOSE(CONTROL!$C$27, 0.0021, 0)</f>
        <v>35.798000000000002</v>
      </c>
      <c r="L198" s="17"/>
    </row>
    <row r="199" spans="1:12" ht="15" x14ac:dyDescent="0.2">
      <c r="A199" s="16">
        <v>46966</v>
      </c>
      <c r="B199" s="17">
        <f>36.5023 * CHOOSE(CONTROL!$C$9, $D$9, 100%, $F$9) + CHOOSE(CONTROL!$C$27, 0.0021, 0)</f>
        <v>36.504399999999997</v>
      </c>
      <c r="C199" s="17">
        <f>36.0701 * CHOOSE(CONTROL!$C$9, $D$9, 100%, $F$9) + CHOOSE(CONTROL!$C$27, 0.0021, 0)</f>
        <v>36.072199999999995</v>
      </c>
      <c r="D199" s="17">
        <f>36.0701 * CHOOSE(CONTROL!$C$9, $D$9, 100%, $F$9) + CHOOSE(CONTROL!$C$27, 0.0021, 0)</f>
        <v>36.072199999999995</v>
      </c>
      <c r="E199" s="17">
        <f>35.9334 * CHOOSE(CONTROL!$C$9, $D$9, 100%, $F$9) + CHOOSE(CONTROL!$C$27, 0.0021, 0)</f>
        <v>35.935499999999998</v>
      </c>
      <c r="F199" s="17">
        <f>35.9334 * CHOOSE(CONTROL!$C$9, $D$9, 100%, $F$9) + CHOOSE(CONTROL!$C$27, 0.0021, 0)</f>
        <v>35.935499999999998</v>
      </c>
      <c r="G199" s="17">
        <f>36.2048 * CHOOSE(CONTROL!$C$9, $D$9, 100%, $F$9) + CHOOSE(CONTROL!$C$27, 0.0021, 0)</f>
        <v>36.206899999999997</v>
      </c>
      <c r="H199" s="17">
        <f>36.0701 * CHOOSE(CONTROL!$C$9, $D$9, 100%, $F$9) + CHOOSE(CONTROL!$C$27, 0.0021, 0)</f>
        <v>36.072199999999995</v>
      </c>
      <c r="I199" s="17">
        <f>36.0701 * CHOOSE(CONTROL!$C$9, $D$9, 100%, $F$9) + CHOOSE(CONTROL!$C$27, 0.0021, 0)</f>
        <v>36.072199999999995</v>
      </c>
      <c r="J199" s="17">
        <f>36.0701 * CHOOSE(CONTROL!$C$9, $D$9, 100%, $F$9) + CHOOSE(CONTROL!$C$27, 0.0021, 0)</f>
        <v>36.072199999999995</v>
      </c>
      <c r="K199" s="17">
        <f>36.0701 * CHOOSE(CONTROL!$C$9, $D$9, 100%, $F$9) + CHOOSE(CONTROL!$C$27, 0.0021, 0)</f>
        <v>36.072199999999995</v>
      </c>
      <c r="L199" s="17"/>
    </row>
    <row r="200" spans="1:12" ht="15" x14ac:dyDescent="0.2">
      <c r="A200" s="16">
        <v>46997</v>
      </c>
      <c r="B200" s="17">
        <f>37.2699 * CHOOSE(CONTROL!$C$9, $D$9, 100%, $F$9) + CHOOSE(CONTROL!$C$27, 0.0021, 0)</f>
        <v>37.271999999999998</v>
      </c>
      <c r="C200" s="17">
        <f>36.8376 * CHOOSE(CONTROL!$C$9, $D$9, 100%, $F$9) + CHOOSE(CONTROL!$C$27, 0.0021, 0)</f>
        <v>36.839700000000001</v>
      </c>
      <c r="D200" s="17">
        <f>36.8376 * CHOOSE(CONTROL!$C$9, $D$9, 100%, $F$9) + CHOOSE(CONTROL!$C$27, 0.0021, 0)</f>
        <v>36.839700000000001</v>
      </c>
      <c r="E200" s="17">
        <f>36.701 * CHOOSE(CONTROL!$C$9, $D$9, 100%, $F$9) + CHOOSE(CONTROL!$C$27, 0.0021, 0)</f>
        <v>36.703099999999999</v>
      </c>
      <c r="F200" s="17">
        <f>36.701 * CHOOSE(CONTROL!$C$9, $D$9, 100%, $F$9) + CHOOSE(CONTROL!$C$27, 0.0021, 0)</f>
        <v>36.703099999999999</v>
      </c>
      <c r="G200" s="17">
        <f>36.9724 * CHOOSE(CONTROL!$C$9, $D$9, 100%, $F$9) + CHOOSE(CONTROL!$C$27, 0.0021, 0)</f>
        <v>36.974499999999999</v>
      </c>
      <c r="H200" s="17">
        <f>36.8376 * CHOOSE(CONTROL!$C$9, $D$9, 100%, $F$9) + CHOOSE(CONTROL!$C$27, 0.0021, 0)</f>
        <v>36.839700000000001</v>
      </c>
      <c r="I200" s="17">
        <f>36.8376 * CHOOSE(CONTROL!$C$9, $D$9, 100%, $F$9) + CHOOSE(CONTROL!$C$27, 0.0021, 0)</f>
        <v>36.839700000000001</v>
      </c>
      <c r="J200" s="17">
        <f>36.8376 * CHOOSE(CONTROL!$C$9, $D$9, 100%, $F$9) + CHOOSE(CONTROL!$C$27, 0.0021, 0)</f>
        <v>36.839700000000001</v>
      </c>
      <c r="K200" s="17">
        <f>36.8376 * CHOOSE(CONTROL!$C$9, $D$9, 100%, $F$9) + CHOOSE(CONTROL!$C$27, 0.0021, 0)</f>
        <v>36.839700000000001</v>
      </c>
      <c r="L200" s="17"/>
    </row>
    <row r="201" spans="1:12" ht="15" x14ac:dyDescent="0.2">
      <c r="A201" s="16">
        <v>47027</v>
      </c>
      <c r="B201" s="17">
        <f>38.2262 * CHOOSE(CONTROL!$C$9, $D$9, 100%, $F$9) + CHOOSE(CONTROL!$C$27, 0.0021, 0)</f>
        <v>38.228299999999997</v>
      </c>
      <c r="C201" s="17">
        <f>37.7939 * CHOOSE(CONTROL!$C$9, $D$9, 100%, $F$9) + CHOOSE(CONTROL!$C$27, 0.0021, 0)</f>
        <v>37.795999999999999</v>
      </c>
      <c r="D201" s="17">
        <f>37.7939 * CHOOSE(CONTROL!$C$9, $D$9, 100%, $F$9) + CHOOSE(CONTROL!$C$27, 0.0021, 0)</f>
        <v>37.795999999999999</v>
      </c>
      <c r="E201" s="17">
        <f>37.6573 * CHOOSE(CONTROL!$C$9, $D$9, 100%, $F$9) + CHOOSE(CONTROL!$C$27, 0.0021, 0)</f>
        <v>37.659399999999998</v>
      </c>
      <c r="F201" s="17">
        <f>37.6573 * CHOOSE(CONTROL!$C$9, $D$9, 100%, $F$9) + CHOOSE(CONTROL!$C$27, 0.0021, 0)</f>
        <v>37.659399999999998</v>
      </c>
      <c r="G201" s="17">
        <f>37.9286 * CHOOSE(CONTROL!$C$9, $D$9, 100%, $F$9) + CHOOSE(CONTROL!$C$27, 0.0021, 0)</f>
        <v>37.930700000000002</v>
      </c>
      <c r="H201" s="17">
        <f>37.7939 * CHOOSE(CONTROL!$C$9, $D$9, 100%, $F$9) + CHOOSE(CONTROL!$C$27, 0.0021, 0)</f>
        <v>37.795999999999999</v>
      </c>
      <c r="I201" s="17">
        <f>37.7939 * CHOOSE(CONTROL!$C$9, $D$9, 100%, $F$9) + CHOOSE(CONTROL!$C$27, 0.0021, 0)</f>
        <v>37.795999999999999</v>
      </c>
      <c r="J201" s="17">
        <f>37.7939 * CHOOSE(CONTROL!$C$9, $D$9, 100%, $F$9) + CHOOSE(CONTROL!$C$27, 0.0021, 0)</f>
        <v>37.795999999999999</v>
      </c>
      <c r="K201" s="17">
        <f>37.7939 * CHOOSE(CONTROL!$C$9, $D$9, 100%, $F$9) + CHOOSE(CONTROL!$C$27, 0.0021, 0)</f>
        <v>37.795999999999999</v>
      </c>
      <c r="L201" s="17"/>
    </row>
    <row r="202" spans="1:12" ht="15" x14ac:dyDescent="0.2">
      <c r="A202" s="16">
        <v>47058</v>
      </c>
      <c r="B202" s="17">
        <f>38.3834 * CHOOSE(CONTROL!$C$9, $D$9, 100%, $F$9) + CHOOSE(CONTROL!$C$27, 0.0021, 0)</f>
        <v>38.3855</v>
      </c>
      <c r="C202" s="17">
        <f>37.9511 * CHOOSE(CONTROL!$C$9, $D$9, 100%, $F$9) + CHOOSE(CONTROL!$C$27, 0.0021, 0)</f>
        <v>37.953199999999995</v>
      </c>
      <c r="D202" s="17">
        <f>37.9511 * CHOOSE(CONTROL!$C$9, $D$9, 100%, $F$9) + CHOOSE(CONTROL!$C$27, 0.0021, 0)</f>
        <v>37.953199999999995</v>
      </c>
      <c r="E202" s="17">
        <f>37.8144 * CHOOSE(CONTROL!$C$9, $D$9, 100%, $F$9) + CHOOSE(CONTROL!$C$27, 0.0021, 0)</f>
        <v>37.816499999999998</v>
      </c>
      <c r="F202" s="17">
        <f>37.8144 * CHOOSE(CONTROL!$C$9, $D$9, 100%, $F$9) + CHOOSE(CONTROL!$C$27, 0.0021, 0)</f>
        <v>37.816499999999998</v>
      </c>
      <c r="G202" s="17">
        <f>38.0858 * CHOOSE(CONTROL!$C$9, $D$9, 100%, $F$9) + CHOOSE(CONTROL!$C$27, 0.0021, 0)</f>
        <v>38.087899999999998</v>
      </c>
      <c r="H202" s="17">
        <f>37.9511 * CHOOSE(CONTROL!$C$9, $D$9, 100%, $F$9) + CHOOSE(CONTROL!$C$27, 0.0021, 0)</f>
        <v>37.953199999999995</v>
      </c>
      <c r="I202" s="17">
        <f>37.9511 * CHOOSE(CONTROL!$C$9, $D$9, 100%, $F$9) + CHOOSE(CONTROL!$C$27, 0.0021, 0)</f>
        <v>37.953199999999995</v>
      </c>
      <c r="J202" s="17">
        <f>37.9511 * CHOOSE(CONTROL!$C$9, $D$9, 100%, $F$9) + CHOOSE(CONTROL!$C$27, 0.0021, 0)</f>
        <v>37.953199999999995</v>
      </c>
      <c r="K202" s="17">
        <f>37.9511 * CHOOSE(CONTROL!$C$9, $D$9, 100%, $F$9) + CHOOSE(CONTROL!$C$27, 0.0021, 0)</f>
        <v>37.953199999999995</v>
      </c>
      <c r="L202" s="17"/>
    </row>
    <row r="203" spans="1:12" ht="15" x14ac:dyDescent="0.2">
      <c r="A203" s="16">
        <v>47088</v>
      </c>
      <c r="B203" s="17">
        <f>37.7486 * CHOOSE(CONTROL!$C$9, $D$9, 100%, $F$9) + CHOOSE(CONTROL!$C$27, 0.0021, 0)</f>
        <v>37.750700000000002</v>
      </c>
      <c r="C203" s="17">
        <f>37.3163 * CHOOSE(CONTROL!$C$9, $D$9, 100%, $F$9) + CHOOSE(CONTROL!$C$27, 0.0021, 0)</f>
        <v>37.318399999999997</v>
      </c>
      <c r="D203" s="17">
        <f>37.3163 * CHOOSE(CONTROL!$C$9, $D$9, 100%, $F$9) + CHOOSE(CONTROL!$C$27, 0.0021, 0)</f>
        <v>37.318399999999997</v>
      </c>
      <c r="E203" s="17">
        <f>37.1797 * CHOOSE(CONTROL!$C$9, $D$9, 100%, $F$9) + CHOOSE(CONTROL!$C$27, 0.0021, 0)</f>
        <v>37.181799999999996</v>
      </c>
      <c r="F203" s="17">
        <f>37.1797 * CHOOSE(CONTROL!$C$9, $D$9, 100%, $F$9) + CHOOSE(CONTROL!$C$27, 0.0021, 0)</f>
        <v>37.181799999999996</v>
      </c>
      <c r="G203" s="17">
        <f>37.451 * CHOOSE(CONTROL!$C$9, $D$9, 100%, $F$9) + CHOOSE(CONTROL!$C$27, 0.0021, 0)</f>
        <v>37.453099999999999</v>
      </c>
      <c r="H203" s="17">
        <f>37.3163 * CHOOSE(CONTROL!$C$9, $D$9, 100%, $F$9) + CHOOSE(CONTROL!$C$27, 0.0021, 0)</f>
        <v>37.318399999999997</v>
      </c>
      <c r="I203" s="17">
        <f>37.3163 * CHOOSE(CONTROL!$C$9, $D$9, 100%, $F$9) + CHOOSE(CONTROL!$C$27, 0.0021, 0)</f>
        <v>37.318399999999997</v>
      </c>
      <c r="J203" s="17">
        <f>37.3163 * CHOOSE(CONTROL!$C$9, $D$9, 100%, $F$9) + CHOOSE(CONTROL!$C$27, 0.0021, 0)</f>
        <v>37.318399999999997</v>
      </c>
      <c r="K203" s="17">
        <f>37.3163 * CHOOSE(CONTROL!$C$9, $D$9, 100%, $F$9) + CHOOSE(CONTROL!$C$27, 0.0021, 0)</f>
        <v>37.318399999999997</v>
      </c>
      <c r="L203" s="17"/>
    </row>
    <row r="204" spans="1:12" ht="15" x14ac:dyDescent="0.2">
      <c r="A204" s="16">
        <v>47119</v>
      </c>
      <c r="B204" s="17">
        <f>36.6899 * CHOOSE(CONTROL!$C$9, $D$9, 100%, $F$9) + CHOOSE(CONTROL!$C$27, 0.0021, 0)</f>
        <v>36.692</v>
      </c>
      <c r="C204" s="17">
        <f>36.2577 * CHOOSE(CONTROL!$C$9, $D$9, 100%, $F$9) + CHOOSE(CONTROL!$C$27, 0.0021, 0)</f>
        <v>36.259799999999998</v>
      </c>
      <c r="D204" s="17">
        <f>36.2577 * CHOOSE(CONTROL!$C$9, $D$9, 100%, $F$9) + CHOOSE(CONTROL!$C$27, 0.0021, 0)</f>
        <v>36.259799999999998</v>
      </c>
      <c r="E204" s="17">
        <f>36.121 * CHOOSE(CONTROL!$C$9, $D$9, 100%, $F$9) + CHOOSE(CONTROL!$C$27, 0.0021, 0)</f>
        <v>36.123100000000001</v>
      </c>
      <c r="F204" s="17">
        <f>36.121 * CHOOSE(CONTROL!$C$9, $D$9, 100%, $F$9) + CHOOSE(CONTROL!$C$27, 0.0021, 0)</f>
        <v>36.123100000000001</v>
      </c>
      <c r="G204" s="17">
        <f>36.3924 * CHOOSE(CONTROL!$C$9, $D$9, 100%, $F$9) + CHOOSE(CONTROL!$C$27, 0.0021, 0)</f>
        <v>36.394500000000001</v>
      </c>
      <c r="H204" s="17">
        <f>36.2577 * CHOOSE(CONTROL!$C$9, $D$9, 100%, $F$9) + CHOOSE(CONTROL!$C$27, 0.0021, 0)</f>
        <v>36.259799999999998</v>
      </c>
      <c r="I204" s="17">
        <f>36.2577 * CHOOSE(CONTROL!$C$9, $D$9, 100%, $F$9) + CHOOSE(CONTROL!$C$27, 0.0021, 0)</f>
        <v>36.259799999999998</v>
      </c>
      <c r="J204" s="17">
        <f>36.2577 * CHOOSE(CONTROL!$C$9, $D$9, 100%, $F$9) + CHOOSE(CONTROL!$C$27, 0.0021, 0)</f>
        <v>36.259799999999998</v>
      </c>
      <c r="K204" s="17">
        <f>36.2577 * CHOOSE(CONTROL!$C$9, $D$9, 100%, $F$9) + CHOOSE(CONTROL!$C$27, 0.0021, 0)</f>
        <v>36.259799999999998</v>
      </c>
      <c r="L204" s="17"/>
    </row>
    <row r="205" spans="1:12" ht="15" x14ac:dyDescent="0.2">
      <c r="A205" s="16">
        <v>47150</v>
      </c>
      <c r="B205" s="17">
        <f>35.7858 * CHOOSE(CONTROL!$C$9, $D$9, 100%, $F$9) + CHOOSE(CONTROL!$C$27, 0.0021, 0)</f>
        <v>35.7879</v>
      </c>
      <c r="C205" s="17">
        <f>35.3536 * CHOOSE(CONTROL!$C$9, $D$9, 100%, $F$9) + CHOOSE(CONTROL!$C$27, 0.0021, 0)</f>
        <v>35.355699999999999</v>
      </c>
      <c r="D205" s="17">
        <f>35.3536 * CHOOSE(CONTROL!$C$9, $D$9, 100%, $F$9) + CHOOSE(CONTROL!$C$27, 0.0021, 0)</f>
        <v>35.355699999999999</v>
      </c>
      <c r="E205" s="17">
        <f>35.2169 * CHOOSE(CONTROL!$C$9, $D$9, 100%, $F$9) + CHOOSE(CONTROL!$C$27, 0.0021, 0)</f>
        <v>35.219000000000001</v>
      </c>
      <c r="F205" s="17">
        <f>35.2169 * CHOOSE(CONTROL!$C$9, $D$9, 100%, $F$9) + CHOOSE(CONTROL!$C$27, 0.0021, 0)</f>
        <v>35.219000000000001</v>
      </c>
      <c r="G205" s="17">
        <f>35.4883 * CHOOSE(CONTROL!$C$9, $D$9, 100%, $F$9) + CHOOSE(CONTROL!$C$27, 0.0021, 0)</f>
        <v>35.490400000000001</v>
      </c>
      <c r="H205" s="17">
        <f>35.3536 * CHOOSE(CONTROL!$C$9, $D$9, 100%, $F$9) + CHOOSE(CONTROL!$C$27, 0.0021, 0)</f>
        <v>35.355699999999999</v>
      </c>
      <c r="I205" s="17">
        <f>35.3536 * CHOOSE(CONTROL!$C$9, $D$9, 100%, $F$9) + CHOOSE(CONTROL!$C$27, 0.0021, 0)</f>
        <v>35.355699999999999</v>
      </c>
      <c r="J205" s="17">
        <f>35.3536 * CHOOSE(CONTROL!$C$9, $D$9, 100%, $F$9) + CHOOSE(CONTROL!$C$27, 0.0021, 0)</f>
        <v>35.355699999999999</v>
      </c>
      <c r="K205" s="17">
        <f>35.3536 * CHOOSE(CONTROL!$C$9, $D$9, 100%, $F$9) + CHOOSE(CONTROL!$C$27, 0.0021, 0)</f>
        <v>35.355699999999999</v>
      </c>
      <c r="L205" s="17"/>
    </row>
    <row r="206" spans="1:12" ht="15" x14ac:dyDescent="0.2">
      <c r="A206" s="16">
        <v>47178</v>
      </c>
      <c r="B206" s="17">
        <f>35.4515 * CHOOSE(CONTROL!$C$9, $D$9, 100%, $F$9) + CHOOSE(CONTROL!$C$27, 0.0021, 0)</f>
        <v>35.453600000000002</v>
      </c>
      <c r="C206" s="17">
        <f>35.0193 * CHOOSE(CONTROL!$C$9, $D$9, 100%, $F$9) + CHOOSE(CONTROL!$C$27, 0.0021, 0)</f>
        <v>35.0214</v>
      </c>
      <c r="D206" s="17">
        <f>35.0193 * CHOOSE(CONTROL!$C$9, $D$9, 100%, $F$9) + CHOOSE(CONTROL!$C$27, 0.0021, 0)</f>
        <v>35.0214</v>
      </c>
      <c r="E206" s="17">
        <f>34.8826 * CHOOSE(CONTROL!$C$9, $D$9, 100%, $F$9) + CHOOSE(CONTROL!$C$27, 0.0021, 0)</f>
        <v>34.884699999999995</v>
      </c>
      <c r="F206" s="17">
        <f>34.8826 * CHOOSE(CONTROL!$C$9, $D$9, 100%, $F$9) + CHOOSE(CONTROL!$C$27, 0.0021, 0)</f>
        <v>34.884699999999995</v>
      </c>
      <c r="G206" s="17">
        <f>35.154 * CHOOSE(CONTROL!$C$9, $D$9, 100%, $F$9) + CHOOSE(CONTROL!$C$27, 0.0021, 0)</f>
        <v>35.156100000000002</v>
      </c>
      <c r="H206" s="17">
        <f>35.0193 * CHOOSE(CONTROL!$C$9, $D$9, 100%, $F$9) + CHOOSE(CONTROL!$C$27, 0.0021, 0)</f>
        <v>35.0214</v>
      </c>
      <c r="I206" s="17">
        <f>35.0193 * CHOOSE(CONTROL!$C$9, $D$9, 100%, $F$9) + CHOOSE(CONTROL!$C$27, 0.0021, 0)</f>
        <v>35.0214</v>
      </c>
      <c r="J206" s="17">
        <f>35.0193 * CHOOSE(CONTROL!$C$9, $D$9, 100%, $F$9) + CHOOSE(CONTROL!$C$27, 0.0021, 0)</f>
        <v>35.0214</v>
      </c>
      <c r="K206" s="17">
        <f>35.0193 * CHOOSE(CONTROL!$C$9, $D$9, 100%, $F$9) + CHOOSE(CONTROL!$C$27, 0.0021, 0)</f>
        <v>35.0214</v>
      </c>
      <c r="L206" s="17"/>
    </row>
    <row r="207" spans="1:12" ht="15" x14ac:dyDescent="0.2">
      <c r="A207" s="16">
        <v>47209</v>
      </c>
      <c r="B207" s="17">
        <f>35.0373 * CHOOSE(CONTROL!$C$9, $D$9, 100%, $F$9) + CHOOSE(CONTROL!$C$27, 0.0021, 0)</f>
        <v>35.039400000000001</v>
      </c>
      <c r="C207" s="17">
        <f>34.605 * CHOOSE(CONTROL!$C$9, $D$9, 100%, $F$9) + CHOOSE(CONTROL!$C$27, 0.0021, 0)</f>
        <v>34.607099999999996</v>
      </c>
      <c r="D207" s="17">
        <f>34.605 * CHOOSE(CONTROL!$C$9, $D$9, 100%, $F$9) + CHOOSE(CONTROL!$C$27, 0.0021, 0)</f>
        <v>34.607099999999996</v>
      </c>
      <c r="E207" s="17">
        <f>34.4684 * CHOOSE(CONTROL!$C$9, $D$9, 100%, $F$9) + CHOOSE(CONTROL!$C$27, 0.0021, 0)</f>
        <v>34.470500000000001</v>
      </c>
      <c r="F207" s="17">
        <f>34.4684 * CHOOSE(CONTROL!$C$9, $D$9, 100%, $F$9) + CHOOSE(CONTROL!$C$27, 0.0021, 0)</f>
        <v>34.470500000000001</v>
      </c>
      <c r="G207" s="17">
        <f>34.7397 * CHOOSE(CONTROL!$C$9, $D$9, 100%, $F$9) + CHOOSE(CONTROL!$C$27, 0.0021, 0)</f>
        <v>34.741799999999998</v>
      </c>
      <c r="H207" s="17">
        <f>34.605 * CHOOSE(CONTROL!$C$9, $D$9, 100%, $F$9) + CHOOSE(CONTROL!$C$27, 0.0021, 0)</f>
        <v>34.607099999999996</v>
      </c>
      <c r="I207" s="17">
        <f>34.605 * CHOOSE(CONTROL!$C$9, $D$9, 100%, $F$9) + CHOOSE(CONTROL!$C$27, 0.0021, 0)</f>
        <v>34.607099999999996</v>
      </c>
      <c r="J207" s="17">
        <f>34.605 * CHOOSE(CONTROL!$C$9, $D$9, 100%, $F$9) + CHOOSE(CONTROL!$C$27, 0.0021, 0)</f>
        <v>34.607099999999996</v>
      </c>
      <c r="K207" s="17">
        <f>34.605 * CHOOSE(CONTROL!$C$9, $D$9, 100%, $F$9) + CHOOSE(CONTROL!$C$27, 0.0021, 0)</f>
        <v>34.607099999999996</v>
      </c>
      <c r="L207" s="17"/>
    </row>
    <row r="208" spans="1:12" ht="15" x14ac:dyDescent="0.2">
      <c r="A208" s="16">
        <v>47239</v>
      </c>
      <c r="B208" s="17">
        <f>35.7938 * CHOOSE(CONTROL!$C$9, $D$9, 100%, $F$9) + CHOOSE(CONTROL!$C$27, 0.0021, 0)</f>
        <v>35.795899999999996</v>
      </c>
      <c r="C208" s="17">
        <f>35.3616 * CHOOSE(CONTROL!$C$9, $D$9, 100%, $F$9) + CHOOSE(CONTROL!$C$27, 0.0021, 0)</f>
        <v>35.363700000000001</v>
      </c>
      <c r="D208" s="17">
        <f>35.3616 * CHOOSE(CONTROL!$C$9, $D$9, 100%, $F$9) + CHOOSE(CONTROL!$C$27, 0.0021, 0)</f>
        <v>35.363700000000001</v>
      </c>
      <c r="E208" s="17">
        <f>35.2249 * CHOOSE(CONTROL!$C$9, $D$9, 100%, $F$9) + CHOOSE(CONTROL!$C$27, 0.0021, 0)</f>
        <v>35.226999999999997</v>
      </c>
      <c r="F208" s="17">
        <f>35.2249 * CHOOSE(CONTROL!$C$9, $D$9, 100%, $F$9) + CHOOSE(CONTROL!$C$27, 0.0021, 0)</f>
        <v>35.226999999999997</v>
      </c>
      <c r="G208" s="17">
        <f>35.4963 * CHOOSE(CONTROL!$C$9, $D$9, 100%, $F$9) + CHOOSE(CONTROL!$C$27, 0.0021, 0)</f>
        <v>35.498399999999997</v>
      </c>
      <c r="H208" s="17">
        <f>35.3616 * CHOOSE(CONTROL!$C$9, $D$9, 100%, $F$9) + CHOOSE(CONTROL!$C$27, 0.0021, 0)</f>
        <v>35.363700000000001</v>
      </c>
      <c r="I208" s="17">
        <f>35.3616 * CHOOSE(CONTROL!$C$9, $D$9, 100%, $F$9) + CHOOSE(CONTROL!$C$27, 0.0021, 0)</f>
        <v>35.363700000000001</v>
      </c>
      <c r="J208" s="17">
        <f>35.3616 * CHOOSE(CONTROL!$C$9, $D$9, 100%, $F$9) + CHOOSE(CONTROL!$C$27, 0.0021, 0)</f>
        <v>35.363700000000001</v>
      </c>
      <c r="K208" s="17">
        <f>35.3616 * CHOOSE(CONTROL!$C$9, $D$9, 100%, $F$9) + CHOOSE(CONTROL!$C$27, 0.0021, 0)</f>
        <v>35.363700000000001</v>
      </c>
      <c r="L208" s="17"/>
    </row>
    <row r="209" spans="1:12" ht="15" x14ac:dyDescent="0.2">
      <c r="A209" s="16">
        <v>47270</v>
      </c>
      <c r="B209" s="17">
        <f>36.2764 * CHOOSE(CONTROL!$C$9, $D$9, 100%, $F$9) + CHOOSE(CONTROL!$C$27, 0.0021, 0)</f>
        <v>36.278500000000001</v>
      </c>
      <c r="C209" s="17">
        <f>35.8441 * CHOOSE(CONTROL!$C$9, $D$9, 100%, $F$9) + CHOOSE(CONTROL!$C$27, 0.0021, 0)</f>
        <v>35.846199999999996</v>
      </c>
      <c r="D209" s="17">
        <f>35.8441 * CHOOSE(CONTROL!$C$9, $D$9, 100%, $F$9) + CHOOSE(CONTROL!$C$27, 0.0021, 0)</f>
        <v>35.846199999999996</v>
      </c>
      <c r="E209" s="17">
        <f>35.7075 * CHOOSE(CONTROL!$C$9, $D$9, 100%, $F$9) + CHOOSE(CONTROL!$C$27, 0.0021, 0)</f>
        <v>35.709600000000002</v>
      </c>
      <c r="F209" s="17">
        <f>35.7075 * CHOOSE(CONTROL!$C$9, $D$9, 100%, $F$9) + CHOOSE(CONTROL!$C$27, 0.0021, 0)</f>
        <v>35.709600000000002</v>
      </c>
      <c r="G209" s="17">
        <f>35.9789 * CHOOSE(CONTROL!$C$9, $D$9, 100%, $F$9) + CHOOSE(CONTROL!$C$27, 0.0021, 0)</f>
        <v>35.981000000000002</v>
      </c>
      <c r="H209" s="17">
        <f>35.8441 * CHOOSE(CONTROL!$C$9, $D$9, 100%, $F$9) + CHOOSE(CONTROL!$C$27, 0.0021, 0)</f>
        <v>35.846199999999996</v>
      </c>
      <c r="I209" s="17">
        <f>35.8441 * CHOOSE(CONTROL!$C$9, $D$9, 100%, $F$9) + CHOOSE(CONTROL!$C$27, 0.0021, 0)</f>
        <v>35.846199999999996</v>
      </c>
      <c r="J209" s="17">
        <f>35.8441 * CHOOSE(CONTROL!$C$9, $D$9, 100%, $F$9) + CHOOSE(CONTROL!$C$27, 0.0021, 0)</f>
        <v>35.846199999999996</v>
      </c>
      <c r="K209" s="17">
        <f>35.8441 * CHOOSE(CONTROL!$C$9, $D$9, 100%, $F$9) + CHOOSE(CONTROL!$C$27, 0.0021, 0)</f>
        <v>35.846199999999996</v>
      </c>
      <c r="L209" s="17"/>
    </row>
    <row r="210" spans="1:12" ht="15" x14ac:dyDescent="0.2">
      <c r="A210" s="16">
        <v>47300</v>
      </c>
      <c r="B210" s="17">
        <f>37.03 * CHOOSE(CONTROL!$C$9, $D$9, 100%, $F$9) + CHOOSE(CONTROL!$C$27, 0.0021, 0)</f>
        <v>37.0321</v>
      </c>
      <c r="C210" s="17">
        <f>36.5978 * CHOOSE(CONTROL!$C$9, $D$9, 100%, $F$9) + CHOOSE(CONTROL!$C$27, 0.0021, 0)</f>
        <v>36.599899999999998</v>
      </c>
      <c r="D210" s="17">
        <f>36.5978 * CHOOSE(CONTROL!$C$9, $D$9, 100%, $F$9) + CHOOSE(CONTROL!$C$27, 0.0021, 0)</f>
        <v>36.599899999999998</v>
      </c>
      <c r="E210" s="17">
        <f>36.4611 * CHOOSE(CONTROL!$C$9, $D$9, 100%, $F$9) + CHOOSE(CONTROL!$C$27, 0.0021, 0)</f>
        <v>36.463200000000001</v>
      </c>
      <c r="F210" s="17">
        <f>36.4611 * CHOOSE(CONTROL!$C$9, $D$9, 100%, $F$9) + CHOOSE(CONTROL!$C$27, 0.0021, 0)</f>
        <v>36.463200000000001</v>
      </c>
      <c r="G210" s="17">
        <f>36.7325 * CHOOSE(CONTROL!$C$9, $D$9, 100%, $F$9) + CHOOSE(CONTROL!$C$27, 0.0021, 0)</f>
        <v>36.7346</v>
      </c>
      <c r="H210" s="17">
        <f>36.5978 * CHOOSE(CONTROL!$C$9, $D$9, 100%, $F$9) + CHOOSE(CONTROL!$C$27, 0.0021, 0)</f>
        <v>36.599899999999998</v>
      </c>
      <c r="I210" s="17">
        <f>36.5978 * CHOOSE(CONTROL!$C$9, $D$9, 100%, $F$9) + CHOOSE(CONTROL!$C$27, 0.0021, 0)</f>
        <v>36.599899999999998</v>
      </c>
      <c r="J210" s="17">
        <f>36.5978 * CHOOSE(CONTROL!$C$9, $D$9, 100%, $F$9) + CHOOSE(CONTROL!$C$27, 0.0021, 0)</f>
        <v>36.599899999999998</v>
      </c>
      <c r="K210" s="17">
        <f>36.5978 * CHOOSE(CONTROL!$C$9, $D$9, 100%, $F$9) + CHOOSE(CONTROL!$C$27, 0.0021, 0)</f>
        <v>36.599899999999998</v>
      </c>
      <c r="L210" s="17"/>
    </row>
    <row r="211" spans="1:12" ht="15" x14ac:dyDescent="0.2">
      <c r="A211" s="16">
        <v>47331</v>
      </c>
      <c r="B211" s="17">
        <f>37.3107 * CHOOSE(CONTROL!$C$9, $D$9, 100%, $F$9) + CHOOSE(CONTROL!$C$27, 0.0021, 0)</f>
        <v>37.312799999999996</v>
      </c>
      <c r="C211" s="17">
        <f>36.8785 * CHOOSE(CONTROL!$C$9, $D$9, 100%, $F$9) + CHOOSE(CONTROL!$C$27, 0.0021, 0)</f>
        <v>36.880600000000001</v>
      </c>
      <c r="D211" s="17">
        <f>36.8785 * CHOOSE(CONTROL!$C$9, $D$9, 100%, $F$9) + CHOOSE(CONTROL!$C$27, 0.0021, 0)</f>
        <v>36.880600000000001</v>
      </c>
      <c r="E211" s="17">
        <f>36.7418 * CHOOSE(CONTROL!$C$9, $D$9, 100%, $F$9) + CHOOSE(CONTROL!$C$27, 0.0021, 0)</f>
        <v>36.743899999999996</v>
      </c>
      <c r="F211" s="17">
        <f>36.7418 * CHOOSE(CONTROL!$C$9, $D$9, 100%, $F$9) + CHOOSE(CONTROL!$C$27, 0.0021, 0)</f>
        <v>36.743899999999996</v>
      </c>
      <c r="G211" s="17">
        <f>37.0132 * CHOOSE(CONTROL!$C$9, $D$9, 100%, $F$9) + CHOOSE(CONTROL!$C$27, 0.0021, 0)</f>
        <v>37.015299999999996</v>
      </c>
      <c r="H211" s="17">
        <f>36.8785 * CHOOSE(CONTROL!$C$9, $D$9, 100%, $F$9) + CHOOSE(CONTROL!$C$27, 0.0021, 0)</f>
        <v>36.880600000000001</v>
      </c>
      <c r="I211" s="17">
        <f>36.8785 * CHOOSE(CONTROL!$C$9, $D$9, 100%, $F$9) + CHOOSE(CONTROL!$C$27, 0.0021, 0)</f>
        <v>36.880600000000001</v>
      </c>
      <c r="J211" s="17">
        <f>36.8785 * CHOOSE(CONTROL!$C$9, $D$9, 100%, $F$9) + CHOOSE(CONTROL!$C$27, 0.0021, 0)</f>
        <v>36.880600000000001</v>
      </c>
      <c r="K211" s="17">
        <f>36.8785 * CHOOSE(CONTROL!$C$9, $D$9, 100%, $F$9) + CHOOSE(CONTROL!$C$27, 0.0021, 0)</f>
        <v>36.880600000000001</v>
      </c>
      <c r="L211" s="17"/>
    </row>
    <row r="212" spans="1:12" ht="15" x14ac:dyDescent="0.2">
      <c r="A212" s="16">
        <v>47362</v>
      </c>
      <c r="B212" s="17">
        <f>38.0964 * CHOOSE(CONTROL!$C$9, $D$9, 100%, $F$9) + CHOOSE(CONTROL!$C$27, 0.0021, 0)</f>
        <v>38.098500000000001</v>
      </c>
      <c r="C212" s="17">
        <f>37.6642 * CHOOSE(CONTROL!$C$9, $D$9, 100%, $F$9) + CHOOSE(CONTROL!$C$27, 0.0021, 0)</f>
        <v>37.6663</v>
      </c>
      <c r="D212" s="17">
        <f>37.6642 * CHOOSE(CONTROL!$C$9, $D$9, 100%, $F$9) + CHOOSE(CONTROL!$C$27, 0.0021, 0)</f>
        <v>37.6663</v>
      </c>
      <c r="E212" s="17">
        <f>37.5275 * CHOOSE(CONTROL!$C$9, $D$9, 100%, $F$9) + CHOOSE(CONTROL!$C$27, 0.0021, 0)</f>
        <v>37.529600000000002</v>
      </c>
      <c r="F212" s="17">
        <f>37.5275 * CHOOSE(CONTROL!$C$9, $D$9, 100%, $F$9) + CHOOSE(CONTROL!$C$27, 0.0021, 0)</f>
        <v>37.529600000000002</v>
      </c>
      <c r="G212" s="17">
        <f>37.7989 * CHOOSE(CONTROL!$C$9, $D$9, 100%, $F$9) + CHOOSE(CONTROL!$C$27, 0.0021, 0)</f>
        <v>37.801000000000002</v>
      </c>
      <c r="H212" s="17">
        <f>37.6642 * CHOOSE(CONTROL!$C$9, $D$9, 100%, $F$9) + CHOOSE(CONTROL!$C$27, 0.0021, 0)</f>
        <v>37.6663</v>
      </c>
      <c r="I212" s="17">
        <f>37.6642 * CHOOSE(CONTROL!$C$9, $D$9, 100%, $F$9) + CHOOSE(CONTROL!$C$27, 0.0021, 0)</f>
        <v>37.6663</v>
      </c>
      <c r="J212" s="17">
        <f>37.6642 * CHOOSE(CONTROL!$C$9, $D$9, 100%, $F$9) + CHOOSE(CONTROL!$C$27, 0.0021, 0)</f>
        <v>37.6663</v>
      </c>
      <c r="K212" s="17">
        <f>37.6642 * CHOOSE(CONTROL!$C$9, $D$9, 100%, $F$9) + CHOOSE(CONTROL!$C$27, 0.0021, 0)</f>
        <v>37.6663</v>
      </c>
      <c r="L212" s="17"/>
    </row>
    <row r="213" spans="1:12" ht="15" x14ac:dyDescent="0.2">
      <c r="A213" s="16">
        <v>47392</v>
      </c>
      <c r="B213" s="17">
        <f>39.0753 * CHOOSE(CONTROL!$C$9, $D$9, 100%, $F$9) + CHOOSE(CONTROL!$C$27, 0.0021, 0)</f>
        <v>39.077399999999997</v>
      </c>
      <c r="C213" s="17">
        <f>38.643 * CHOOSE(CONTROL!$C$9, $D$9, 100%, $F$9) + CHOOSE(CONTROL!$C$27, 0.0021, 0)</f>
        <v>38.645099999999999</v>
      </c>
      <c r="D213" s="17">
        <f>38.643 * CHOOSE(CONTROL!$C$9, $D$9, 100%, $F$9) + CHOOSE(CONTROL!$C$27, 0.0021, 0)</f>
        <v>38.645099999999999</v>
      </c>
      <c r="E213" s="17">
        <f>38.5064 * CHOOSE(CONTROL!$C$9, $D$9, 100%, $F$9) + CHOOSE(CONTROL!$C$27, 0.0021, 0)</f>
        <v>38.508499999999998</v>
      </c>
      <c r="F213" s="17">
        <f>38.5064 * CHOOSE(CONTROL!$C$9, $D$9, 100%, $F$9) + CHOOSE(CONTROL!$C$27, 0.0021, 0)</f>
        <v>38.508499999999998</v>
      </c>
      <c r="G213" s="17">
        <f>38.7777 * CHOOSE(CONTROL!$C$9, $D$9, 100%, $F$9) + CHOOSE(CONTROL!$C$27, 0.0021, 0)</f>
        <v>38.779800000000002</v>
      </c>
      <c r="H213" s="17">
        <f>38.643 * CHOOSE(CONTROL!$C$9, $D$9, 100%, $F$9) + CHOOSE(CONTROL!$C$27, 0.0021, 0)</f>
        <v>38.645099999999999</v>
      </c>
      <c r="I213" s="17">
        <f>38.643 * CHOOSE(CONTROL!$C$9, $D$9, 100%, $F$9) + CHOOSE(CONTROL!$C$27, 0.0021, 0)</f>
        <v>38.645099999999999</v>
      </c>
      <c r="J213" s="17">
        <f>38.643 * CHOOSE(CONTROL!$C$9, $D$9, 100%, $F$9) + CHOOSE(CONTROL!$C$27, 0.0021, 0)</f>
        <v>38.645099999999999</v>
      </c>
      <c r="K213" s="17">
        <f>38.643 * CHOOSE(CONTROL!$C$9, $D$9, 100%, $F$9) + CHOOSE(CONTROL!$C$27, 0.0021, 0)</f>
        <v>38.645099999999999</v>
      </c>
      <c r="L213" s="17"/>
    </row>
    <row r="214" spans="1:12" ht="15" x14ac:dyDescent="0.2">
      <c r="A214" s="16">
        <v>47423</v>
      </c>
      <c r="B214" s="17">
        <f>39.2362 * CHOOSE(CONTROL!$C$9, $D$9, 100%, $F$9) + CHOOSE(CONTROL!$C$27, 0.0021, 0)</f>
        <v>39.238299999999995</v>
      </c>
      <c r="C214" s="17">
        <f>38.8039 * CHOOSE(CONTROL!$C$9, $D$9, 100%, $F$9) + CHOOSE(CONTROL!$C$27, 0.0021, 0)</f>
        <v>38.805999999999997</v>
      </c>
      <c r="D214" s="17">
        <f>38.8039 * CHOOSE(CONTROL!$C$9, $D$9, 100%, $F$9) + CHOOSE(CONTROL!$C$27, 0.0021, 0)</f>
        <v>38.805999999999997</v>
      </c>
      <c r="E214" s="17">
        <f>38.6673 * CHOOSE(CONTROL!$C$9, $D$9, 100%, $F$9) + CHOOSE(CONTROL!$C$27, 0.0021, 0)</f>
        <v>38.669399999999996</v>
      </c>
      <c r="F214" s="17">
        <f>38.6673 * CHOOSE(CONTROL!$C$9, $D$9, 100%, $F$9) + CHOOSE(CONTROL!$C$27, 0.0021, 0)</f>
        <v>38.669399999999996</v>
      </c>
      <c r="G214" s="17">
        <f>38.9386 * CHOOSE(CONTROL!$C$9, $D$9, 100%, $F$9) + CHOOSE(CONTROL!$C$27, 0.0021, 0)</f>
        <v>38.9407</v>
      </c>
      <c r="H214" s="17">
        <f>38.8039 * CHOOSE(CONTROL!$C$9, $D$9, 100%, $F$9) + CHOOSE(CONTROL!$C$27, 0.0021, 0)</f>
        <v>38.805999999999997</v>
      </c>
      <c r="I214" s="17">
        <f>38.8039 * CHOOSE(CONTROL!$C$9, $D$9, 100%, $F$9) + CHOOSE(CONTROL!$C$27, 0.0021, 0)</f>
        <v>38.805999999999997</v>
      </c>
      <c r="J214" s="17">
        <f>38.8039 * CHOOSE(CONTROL!$C$9, $D$9, 100%, $F$9) + CHOOSE(CONTROL!$C$27, 0.0021, 0)</f>
        <v>38.805999999999997</v>
      </c>
      <c r="K214" s="17">
        <f>38.8039 * CHOOSE(CONTROL!$C$9, $D$9, 100%, $F$9) + CHOOSE(CONTROL!$C$27, 0.0021, 0)</f>
        <v>38.805999999999997</v>
      </c>
      <c r="L214" s="17"/>
    </row>
    <row r="215" spans="1:12" ht="15" x14ac:dyDescent="0.2">
      <c r="A215" s="16">
        <v>47453</v>
      </c>
      <c r="B215" s="17">
        <f>38.5864 * CHOOSE(CONTROL!$C$9, $D$9, 100%, $F$9) + CHOOSE(CONTROL!$C$27, 0.0021, 0)</f>
        <v>38.588499999999996</v>
      </c>
      <c r="C215" s="17">
        <f>38.1541 * CHOOSE(CONTROL!$C$9, $D$9, 100%, $F$9) + CHOOSE(CONTROL!$C$27, 0.0021, 0)</f>
        <v>38.156199999999998</v>
      </c>
      <c r="D215" s="17">
        <f>38.1541 * CHOOSE(CONTROL!$C$9, $D$9, 100%, $F$9) + CHOOSE(CONTROL!$C$27, 0.0021, 0)</f>
        <v>38.156199999999998</v>
      </c>
      <c r="E215" s="17">
        <f>38.0175 * CHOOSE(CONTROL!$C$9, $D$9, 100%, $F$9) + CHOOSE(CONTROL!$C$27, 0.0021, 0)</f>
        <v>38.019599999999997</v>
      </c>
      <c r="F215" s="17">
        <f>38.0175 * CHOOSE(CONTROL!$C$9, $D$9, 100%, $F$9) + CHOOSE(CONTROL!$C$27, 0.0021, 0)</f>
        <v>38.019599999999997</v>
      </c>
      <c r="G215" s="17">
        <f>38.2889 * CHOOSE(CONTROL!$C$9, $D$9, 100%, $F$9) + CHOOSE(CONTROL!$C$27, 0.0021, 0)</f>
        <v>38.290999999999997</v>
      </c>
      <c r="H215" s="17">
        <f>38.1541 * CHOOSE(CONTROL!$C$9, $D$9, 100%, $F$9) + CHOOSE(CONTROL!$C$27, 0.0021, 0)</f>
        <v>38.156199999999998</v>
      </c>
      <c r="I215" s="17">
        <f>38.1541 * CHOOSE(CONTROL!$C$9, $D$9, 100%, $F$9) + CHOOSE(CONTROL!$C$27, 0.0021, 0)</f>
        <v>38.156199999999998</v>
      </c>
      <c r="J215" s="17">
        <f>38.1541 * CHOOSE(CONTROL!$C$9, $D$9, 100%, $F$9) + CHOOSE(CONTROL!$C$27, 0.0021, 0)</f>
        <v>38.156199999999998</v>
      </c>
      <c r="K215" s="17">
        <f>38.1541 * CHOOSE(CONTROL!$C$9, $D$9, 100%, $F$9) + CHOOSE(CONTROL!$C$27, 0.0021, 0)</f>
        <v>38.156199999999998</v>
      </c>
      <c r="L215" s="17"/>
    </row>
    <row r="216" spans="1:12" ht="15" x14ac:dyDescent="0.2">
      <c r="A216" s="16">
        <v>47484</v>
      </c>
      <c r="B216" s="17">
        <f>37.4841 * CHOOSE(CONTROL!$C$9, $D$9, 100%, $F$9) + CHOOSE(CONTROL!$C$27, 0.0021, 0)</f>
        <v>37.486199999999997</v>
      </c>
      <c r="C216" s="17">
        <f>37.0519 * CHOOSE(CONTROL!$C$9, $D$9, 100%, $F$9) + CHOOSE(CONTROL!$C$27, 0.0021, 0)</f>
        <v>37.054000000000002</v>
      </c>
      <c r="D216" s="17">
        <f>37.0519 * CHOOSE(CONTROL!$C$9, $D$9, 100%, $F$9) + CHOOSE(CONTROL!$C$27, 0.0021, 0)</f>
        <v>37.054000000000002</v>
      </c>
      <c r="E216" s="17">
        <f>36.9152 * CHOOSE(CONTROL!$C$9, $D$9, 100%, $F$9) + CHOOSE(CONTROL!$C$27, 0.0021, 0)</f>
        <v>36.917299999999997</v>
      </c>
      <c r="F216" s="17">
        <f>36.9152 * CHOOSE(CONTROL!$C$9, $D$9, 100%, $F$9) + CHOOSE(CONTROL!$C$27, 0.0021, 0)</f>
        <v>36.917299999999997</v>
      </c>
      <c r="G216" s="17">
        <f>37.1866 * CHOOSE(CONTROL!$C$9, $D$9, 100%, $F$9) + CHOOSE(CONTROL!$C$27, 0.0021, 0)</f>
        <v>37.188699999999997</v>
      </c>
      <c r="H216" s="17">
        <f>37.0519 * CHOOSE(CONTROL!$C$9, $D$9, 100%, $F$9) + CHOOSE(CONTROL!$C$27, 0.0021, 0)</f>
        <v>37.054000000000002</v>
      </c>
      <c r="I216" s="17">
        <f>37.0519 * CHOOSE(CONTROL!$C$9, $D$9, 100%, $F$9) + CHOOSE(CONTROL!$C$27, 0.0021, 0)</f>
        <v>37.054000000000002</v>
      </c>
      <c r="J216" s="17">
        <f>37.0519 * CHOOSE(CONTROL!$C$9, $D$9, 100%, $F$9) + CHOOSE(CONTROL!$C$27, 0.0021, 0)</f>
        <v>37.054000000000002</v>
      </c>
      <c r="K216" s="17">
        <f>37.0519 * CHOOSE(CONTROL!$C$9, $D$9, 100%, $F$9) + CHOOSE(CONTROL!$C$27, 0.0021, 0)</f>
        <v>37.054000000000002</v>
      </c>
      <c r="L216" s="17"/>
    </row>
    <row r="217" spans="1:12" ht="15" x14ac:dyDescent="0.2">
      <c r="A217" s="16">
        <v>47515</v>
      </c>
      <c r="B217" s="17">
        <f>36.5592 * CHOOSE(CONTROL!$C$9, $D$9, 100%, $F$9) + CHOOSE(CONTROL!$C$27, 0.0021, 0)</f>
        <v>36.561299999999996</v>
      </c>
      <c r="C217" s="17">
        <f>36.1269 * CHOOSE(CONTROL!$C$9, $D$9, 100%, $F$9) + CHOOSE(CONTROL!$C$27, 0.0021, 0)</f>
        <v>36.128999999999998</v>
      </c>
      <c r="D217" s="17">
        <f>36.1269 * CHOOSE(CONTROL!$C$9, $D$9, 100%, $F$9) + CHOOSE(CONTROL!$C$27, 0.0021, 0)</f>
        <v>36.128999999999998</v>
      </c>
      <c r="E217" s="17">
        <f>35.9903 * CHOOSE(CONTROL!$C$9, $D$9, 100%, $F$9) + CHOOSE(CONTROL!$C$27, 0.0021, 0)</f>
        <v>35.992399999999996</v>
      </c>
      <c r="F217" s="17">
        <f>35.9903 * CHOOSE(CONTROL!$C$9, $D$9, 100%, $F$9) + CHOOSE(CONTROL!$C$27, 0.0021, 0)</f>
        <v>35.992399999999996</v>
      </c>
      <c r="G217" s="17">
        <f>36.2616 * CHOOSE(CONTROL!$C$9, $D$9, 100%, $F$9) + CHOOSE(CONTROL!$C$27, 0.0021, 0)</f>
        <v>36.2637</v>
      </c>
      <c r="H217" s="17">
        <f>36.1269 * CHOOSE(CONTROL!$C$9, $D$9, 100%, $F$9) + CHOOSE(CONTROL!$C$27, 0.0021, 0)</f>
        <v>36.128999999999998</v>
      </c>
      <c r="I217" s="17">
        <f>36.1269 * CHOOSE(CONTROL!$C$9, $D$9, 100%, $F$9) + CHOOSE(CONTROL!$C$27, 0.0021, 0)</f>
        <v>36.128999999999998</v>
      </c>
      <c r="J217" s="17">
        <f>36.1269 * CHOOSE(CONTROL!$C$9, $D$9, 100%, $F$9) + CHOOSE(CONTROL!$C$27, 0.0021, 0)</f>
        <v>36.128999999999998</v>
      </c>
      <c r="K217" s="17">
        <f>36.1269 * CHOOSE(CONTROL!$C$9, $D$9, 100%, $F$9) + CHOOSE(CONTROL!$C$27, 0.0021, 0)</f>
        <v>36.128999999999998</v>
      </c>
      <c r="L217" s="17"/>
    </row>
    <row r="218" spans="1:12" ht="15" x14ac:dyDescent="0.2">
      <c r="A218" s="16">
        <v>47543</v>
      </c>
      <c r="B218" s="17">
        <f>36.2171 * CHOOSE(CONTROL!$C$9, $D$9, 100%, $F$9) + CHOOSE(CONTROL!$C$27, 0.0021, 0)</f>
        <v>36.219200000000001</v>
      </c>
      <c r="C218" s="17">
        <f>35.7849 * CHOOSE(CONTROL!$C$9, $D$9, 100%, $F$9) + CHOOSE(CONTROL!$C$27, 0.0021, 0)</f>
        <v>35.786999999999999</v>
      </c>
      <c r="D218" s="17">
        <f>35.7849 * CHOOSE(CONTROL!$C$9, $D$9, 100%, $F$9) + CHOOSE(CONTROL!$C$27, 0.0021, 0)</f>
        <v>35.786999999999999</v>
      </c>
      <c r="E218" s="17">
        <f>35.6482 * CHOOSE(CONTROL!$C$9, $D$9, 100%, $F$9) + CHOOSE(CONTROL!$C$27, 0.0021, 0)</f>
        <v>35.650300000000001</v>
      </c>
      <c r="F218" s="17">
        <f>35.6482 * CHOOSE(CONTROL!$C$9, $D$9, 100%, $F$9) + CHOOSE(CONTROL!$C$27, 0.0021, 0)</f>
        <v>35.650300000000001</v>
      </c>
      <c r="G218" s="17">
        <f>35.9196 * CHOOSE(CONTROL!$C$9, $D$9, 100%, $F$9) + CHOOSE(CONTROL!$C$27, 0.0021, 0)</f>
        <v>35.921700000000001</v>
      </c>
      <c r="H218" s="17">
        <f>35.7849 * CHOOSE(CONTROL!$C$9, $D$9, 100%, $F$9) + CHOOSE(CONTROL!$C$27, 0.0021, 0)</f>
        <v>35.786999999999999</v>
      </c>
      <c r="I218" s="17">
        <f>35.7849 * CHOOSE(CONTROL!$C$9, $D$9, 100%, $F$9) + CHOOSE(CONTROL!$C$27, 0.0021, 0)</f>
        <v>35.786999999999999</v>
      </c>
      <c r="J218" s="17">
        <f>35.7849 * CHOOSE(CONTROL!$C$9, $D$9, 100%, $F$9) + CHOOSE(CONTROL!$C$27, 0.0021, 0)</f>
        <v>35.786999999999999</v>
      </c>
      <c r="K218" s="17">
        <f>35.7849 * CHOOSE(CONTROL!$C$9, $D$9, 100%, $F$9) + CHOOSE(CONTROL!$C$27, 0.0021, 0)</f>
        <v>35.786999999999999</v>
      </c>
      <c r="L218" s="17"/>
    </row>
    <row r="219" spans="1:12" ht="15" x14ac:dyDescent="0.2">
      <c r="A219" s="16">
        <v>47574</v>
      </c>
      <c r="B219" s="17">
        <f>35.7934 * CHOOSE(CONTROL!$C$9, $D$9, 100%, $F$9) + CHOOSE(CONTROL!$C$27, 0.0021, 0)</f>
        <v>35.795499999999997</v>
      </c>
      <c r="C219" s="17">
        <f>35.3611 * CHOOSE(CONTROL!$C$9, $D$9, 100%, $F$9) + CHOOSE(CONTROL!$C$27, 0.0021, 0)</f>
        <v>35.363199999999999</v>
      </c>
      <c r="D219" s="17">
        <f>35.3611 * CHOOSE(CONTROL!$C$9, $D$9, 100%, $F$9) + CHOOSE(CONTROL!$C$27, 0.0021, 0)</f>
        <v>35.363199999999999</v>
      </c>
      <c r="E219" s="17">
        <f>35.2245 * CHOOSE(CONTROL!$C$9, $D$9, 100%, $F$9) + CHOOSE(CONTROL!$C$27, 0.0021, 0)</f>
        <v>35.226599999999998</v>
      </c>
      <c r="F219" s="17">
        <f>35.2245 * CHOOSE(CONTROL!$C$9, $D$9, 100%, $F$9) + CHOOSE(CONTROL!$C$27, 0.0021, 0)</f>
        <v>35.226599999999998</v>
      </c>
      <c r="G219" s="17">
        <f>35.4958 * CHOOSE(CONTROL!$C$9, $D$9, 100%, $F$9) + CHOOSE(CONTROL!$C$27, 0.0021, 0)</f>
        <v>35.497900000000001</v>
      </c>
      <c r="H219" s="17">
        <f>35.3611 * CHOOSE(CONTROL!$C$9, $D$9, 100%, $F$9) + CHOOSE(CONTROL!$C$27, 0.0021, 0)</f>
        <v>35.363199999999999</v>
      </c>
      <c r="I219" s="17">
        <f>35.3611 * CHOOSE(CONTROL!$C$9, $D$9, 100%, $F$9) + CHOOSE(CONTROL!$C$27, 0.0021, 0)</f>
        <v>35.363199999999999</v>
      </c>
      <c r="J219" s="17">
        <f>35.3611 * CHOOSE(CONTROL!$C$9, $D$9, 100%, $F$9) + CHOOSE(CONTROL!$C$27, 0.0021, 0)</f>
        <v>35.363199999999999</v>
      </c>
      <c r="K219" s="17">
        <f>35.3611 * CHOOSE(CONTROL!$C$9, $D$9, 100%, $F$9) + CHOOSE(CONTROL!$C$27, 0.0021, 0)</f>
        <v>35.363199999999999</v>
      </c>
      <c r="L219" s="17"/>
    </row>
    <row r="220" spans="1:12" ht="15" x14ac:dyDescent="0.2">
      <c r="A220" s="16">
        <v>47604</v>
      </c>
      <c r="B220" s="17">
        <f>36.5673 * CHOOSE(CONTROL!$C$9, $D$9, 100%, $F$9) + CHOOSE(CONTROL!$C$27, 0.0021, 0)</f>
        <v>36.569400000000002</v>
      </c>
      <c r="C220" s="17">
        <f>36.1351 * CHOOSE(CONTROL!$C$9, $D$9, 100%, $F$9) + CHOOSE(CONTROL!$C$27, 0.0021, 0)</f>
        <v>36.1372</v>
      </c>
      <c r="D220" s="17">
        <f>36.1351 * CHOOSE(CONTROL!$C$9, $D$9, 100%, $F$9) + CHOOSE(CONTROL!$C$27, 0.0021, 0)</f>
        <v>36.1372</v>
      </c>
      <c r="E220" s="17">
        <f>35.9984 * CHOOSE(CONTROL!$C$9, $D$9, 100%, $F$9) + CHOOSE(CONTROL!$C$27, 0.0021, 0)</f>
        <v>36.000499999999995</v>
      </c>
      <c r="F220" s="17">
        <f>35.9984 * CHOOSE(CONTROL!$C$9, $D$9, 100%, $F$9) + CHOOSE(CONTROL!$C$27, 0.0021, 0)</f>
        <v>36.000499999999995</v>
      </c>
      <c r="G220" s="17">
        <f>36.2698 * CHOOSE(CONTROL!$C$9, $D$9, 100%, $F$9) + CHOOSE(CONTROL!$C$27, 0.0021, 0)</f>
        <v>36.271899999999995</v>
      </c>
      <c r="H220" s="17">
        <f>36.1351 * CHOOSE(CONTROL!$C$9, $D$9, 100%, $F$9) + CHOOSE(CONTROL!$C$27, 0.0021, 0)</f>
        <v>36.1372</v>
      </c>
      <c r="I220" s="17">
        <f>36.1351 * CHOOSE(CONTROL!$C$9, $D$9, 100%, $F$9) + CHOOSE(CONTROL!$C$27, 0.0021, 0)</f>
        <v>36.1372</v>
      </c>
      <c r="J220" s="17">
        <f>36.1351 * CHOOSE(CONTROL!$C$9, $D$9, 100%, $F$9) + CHOOSE(CONTROL!$C$27, 0.0021, 0)</f>
        <v>36.1372</v>
      </c>
      <c r="K220" s="17">
        <f>36.1351 * CHOOSE(CONTROL!$C$9, $D$9, 100%, $F$9) + CHOOSE(CONTROL!$C$27, 0.0021, 0)</f>
        <v>36.1372</v>
      </c>
      <c r="L220" s="17"/>
    </row>
    <row r="221" spans="1:12" ht="15" x14ac:dyDescent="0.2">
      <c r="A221" s="16">
        <v>47635</v>
      </c>
      <c r="B221" s="17">
        <f>37.0611 * CHOOSE(CONTROL!$C$9, $D$9, 100%, $F$9) + CHOOSE(CONTROL!$C$27, 0.0021, 0)</f>
        <v>37.063200000000002</v>
      </c>
      <c r="C221" s="17">
        <f>36.6288 * CHOOSE(CONTROL!$C$9, $D$9, 100%, $F$9) + CHOOSE(CONTROL!$C$27, 0.0021, 0)</f>
        <v>36.630899999999997</v>
      </c>
      <c r="D221" s="17">
        <f>36.6288 * CHOOSE(CONTROL!$C$9, $D$9, 100%, $F$9) + CHOOSE(CONTROL!$C$27, 0.0021, 0)</f>
        <v>36.630899999999997</v>
      </c>
      <c r="E221" s="17">
        <f>36.4922 * CHOOSE(CONTROL!$C$9, $D$9, 100%, $F$9) + CHOOSE(CONTROL!$C$27, 0.0021, 0)</f>
        <v>36.494299999999996</v>
      </c>
      <c r="F221" s="17">
        <f>36.4922 * CHOOSE(CONTROL!$C$9, $D$9, 100%, $F$9) + CHOOSE(CONTROL!$C$27, 0.0021, 0)</f>
        <v>36.494299999999996</v>
      </c>
      <c r="G221" s="17">
        <f>36.7635 * CHOOSE(CONTROL!$C$9, $D$9, 100%, $F$9) + CHOOSE(CONTROL!$C$27, 0.0021, 0)</f>
        <v>36.765599999999999</v>
      </c>
      <c r="H221" s="17">
        <f>36.6288 * CHOOSE(CONTROL!$C$9, $D$9, 100%, $F$9) + CHOOSE(CONTROL!$C$27, 0.0021, 0)</f>
        <v>36.630899999999997</v>
      </c>
      <c r="I221" s="17">
        <f>36.6288 * CHOOSE(CONTROL!$C$9, $D$9, 100%, $F$9) + CHOOSE(CONTROL!$C$27, 0.0021, 0)</f>
        <v>36.630899999999997</v>
      </c>
      <c r="J221" s="17">
        <f>36.6288 * CHOOSE(CONTROL!$C$9, $D$9, 100%, $F$9) + CHOOSE(CONTROL!$C$27, 0.0021, 0)</f>
        <v>36.630899999999997</v>
      </c>
      <c r="K221" s="17">
        <f>36.6288 * CHOOSE(CONTROL!$C$9, $D$9, 100%, $F$9) + CHOOSE(CONTROL!$C$27, 0.0021, 0)</f>
        <v>36.630899999999997</v>
      </c>
      <c r="L221" s="17"/>
    </row>
    <row r="222" spans="1:12" ht="15" x14ac:dyDescent="0.2">
      <c r="A222" s="16">
        <v>47665</v>
      </c>
      <c r="B222" s="17">
        <f>37.8321 * CHOOSE(CONTROL!$C$9, $D$9, 100%, $F$9) + CHOOSE(CONTROL!$C$27, 0.0021, 0)</f>
        <v>37.834199999999996</v>
      </c>
      <c r="C222" s="17">
        <f>37.3999 * CHOOSE(CONTROL!$C$9, $D$9, 100%, $F$9) + CHOOSE(CONTROL!$C$27, 0.0021, 0)</f>
        <v>37.402000000000001</v>
      </c>
      <c r="D222" s="17">
        <f>37.3999 * CHOOSE(CONTROL!$C$9, $D$9, 100%, $F$9) + CHOOSE(CONTROL!$C$27, 0.0021, 0)</f>
        <v>37.402000000000001</v>
      </c>
      <c r="E222" s="17">
        <f>37.2632 * CHOOSE(CONTROL!$C$9, $D$9, 100%, $F$9) + CHOOSE(CONTROL!$C$27, 0.0021, 0)</f>
        <v>37.265299999999996</v>
      </c>
      <c r="F222" s="17">
        <f>37.2632 * CHOOSE(CONTROL!$C$9, $D$9, 100%, $F$9) + CHOOSE(CONTROL!$C$27, 0.0021, 0)</f>
        <v>37.265299999999996</v>
      </c>
      <c r="G222" s="17">
        <f>37.5346 * CHOOSE(CONTROL!$C$9, $D$9, 100%, $F$9) + CHOOSE(CONTROL!$C$27, 0.0021, 0)</f>
        <v>37.536699999999996</v>
      </c>
      <c r="H222" s="17">
        <f>37.3999 * CHOOSE(CONTROL!$C$9, $D$9, 100%, $F$9) + CHOOSE(CONTROL!$C$27, 0.0021, 0)</f>
        <v>37.402000000000001</v>
      </c>
      <c r="I222" s="17">
        <f>37.3999 * CHOOSE(CONTROL!$C$9, $D$9, 100%, $F$9) + CHOOSE(CONTROL!$C$27, 0.0021, 0)</f>
        <v>37.402000000000001</v>
      </c>
      <c r="J222" s="17">
        <f>37.3999 * CHOOSE(CONTROL!$C$9, $D$9, 100%, $F$9) + CHOOSE(CONTROL!$C$27, 0.0021, 0)</f>
        <v>37.402000000000001</v>
      </c>
      <c r="K222" s="17">
        <f>37.3999 * CHOOSE(CONTROL!$C$9, $D$9, 100%, $F$9) + CHOOSE(CONTROL!$C$27, 0.0021, 0)</f>
        <v>37.402000000000001</v>
      </c>
      <c r="L222" s="17"/>
    </row>
    <row r="223" spans="1:12" ht="15" x14ac:dyDescent="0.2">
      <c r="A223" s="16">
        <v>47696</v>
      </c>
      <c r="B223" s="17">
        <f>38.0456 * CHOOSE(CONTROL!$C$9, $D$9, 100%, $F$9) + CHOOSE(CONTROL!$C$27, 0.0021, 0)</f>
        <v>38.047699999999999</v>
      </c>
      <c r="C223" s="17">
        <f>37.6134 * CHOOSE(CONTROL!$C$9, $D$9, 100%, $F$9) + CHOOSE(CONTROL!$C$27, 0.0021, 0)</f>
        <v>37.615499999999997</v>
      </c>
      <c r="D223" s="17">
        <f>37.6134 * CHOOSE(CONTROL!$C$9, $D$9, 100%, $F$9) + CHOOSE(CONTROL!$C$27, 0.0021, 0)</f>
        <v>37.615499999999997</v>
      </c>
      <c r="E223" s="17">
        <f>37.4767 * CHOOSE(CONTROL!$C$9, $D$9, 100%, $F$9) + CHOOSE(CONTROL!$C$27, 0.0021, 0)</f>
        <v>37.4788</v>
      </c>
      <c r="F223" s="17">
        <f>37.4767 * CHOOSE(CONTROL!$C$9, $D$9, 100%, $F$9) + CHOOSE(CONTROL!$C$27, 0.0021, 0)</f>
        <v>37.4788</v>
      </c>
      <c r="G223" s="17">
        <f>37.7481 * CHOOSE(CONTROL!$C$9, $D$9, 100%, $F$9) + CHOOSE(CONTROL!$C$27, 0.0021, 0)</f>
        <v>37.7502</v>
      </c>
      <c r="H223" s="17">
        <f>37.6134 * CHOOSE(CONTROL!$C$9, $D$9, 100%, $F$9) + CHOOSE(CONTROL!$C$27, 0.0021, 0)</f>
        <v>37.615499999999997</v>
      </c>
      <c r="I223" s="17">
        <f>37.6134 * CHOOSE(CONTROL!$C$9, $D$9, 100%, $F$9) + CHOOSE(CONTROL!$C$27, 0.0021, 0)</f>
        <v>37.615499999999997</v>
      </c>
      <c r="J223" s="17">
        <f>37.6134 * CHOOSE(CONTROL!$C$9, $D$9, 100%, $F$9) + CHOOSE(CONTROL!$C$27, 0.0021, 0)</f>
        <v>37.615499999999997</v>
      </c>
      <c r="K223" s="17">
        <f>37.6134 * CHOOSE(CONTROL!$C$9, $D$9, 100%, $F$9) + CHOOSE(CONTROL!$C$27, 0.0021, 0)</f>
        <v>37.615499999999997</v>
      </c>
      <c r="L223" s="17"/>
    </row>
    <row r="224" spans="1:12" ht="15" x14ac:dyDescent="0.2">
      <c r="A224" s="16">
        <v>47727</v>
      </c>
      <c r="B224" s="17">
        <f>38.7727 * CHOOSE(CONTROL!$C$9, $D$9, 100%, $F$9) + CHOOSE(CONTROL!$C$27, 0.0021, 0)</f>
        <v>38.774799999999999</v>
      </c>
      <c r="C224" s="17">
        <f>38.3404 * CHOOSE(CONTROL!$C$9, $D$9, 100%, $F$9) + CHOOSE(CONTROL!$C$27, 0.0021, 0)</f>
        <v>38.342500000000001</v>
      </c>
      <c r="D224" s="17">
        <f>38.3404 * CHOOSE(CONTROL!$C$9, $D$9, 100%, $F$9) + CHOOSE(CONTROL!$C$27, 0.0021, 0)</f>
        <v>38.342500000000001</v>
      </c>
      <c r="E224" s="17">
        <f>38.2038 * CHOOSE(CONTROL!$C$9, $D$9, 100%, $F$9) + CHOOSE(CONTROL!$C$27, 0.0021, 0)</f>
        <v>38.2059</v>
      </c>
      <c r="F224" s="17">
        <f>38.2038 * CHOOSE(CONTROL!$C$9, $D$9, 100%, $F$9) + CHOOSE(CONTROL!$C$27, 0.0021, 0)</f>
        <v>38.2059</v>
      </c>
      <c r="G224" s="17">
        <f>38.4751 * CHOOSE(CONTROL!$C$9, $D$9, 100%, $F$9) + CHOOSE(CONTROL!$C$27, 0.0021, 0)</f>
        <v>38.477199999999996</v>
      </c>
      <c r="H224" s="17">
        <f>38.3404 * CHOOSE(CONTROL!$C$9, $D$9, 100%, $F$9) + CHOOSE(CONTROL!$C$27, 0.0021, 0)</f>
        <v>38.342500000000001</v>
      </c>
      <c r="I224" s="17">
        <f>38.3404 * CHOOSE(CONTROL!$C$9, $D$9, 100%, $F$9) + CHOOSE(CONTROL!$C$27, 0.0021, 0)</f>
        <v>38.342500000000001</v>
      </c>
      <c r="J224" s="17">
        <f>38.3404 * CHOOSE(CONTROL!$C$9, $D$9, 100%, $F$9) + CHOOSE(CONTROL!$C$27, 0.0021, 0)</f>
        <v>38.342500000000001</v>
      </c>
      <c r="K224" s="17">
        <f>38.3404 * CHOOSE(CONTROL!$C$9, $D$9, 100%, $F$9) + CHOOSE(CONTROL!$C$27, 0.0021, 0)</f>
        <v>38.342500000000001</v>
      </c>
      <c r="L224" s="17"/>
    </row>
    <row r="225" spans="1:12" ht="15" x14ac:dyDescent="0.2">
      <c r="A225" s="16">
        <v>47757</v>
      </c>
      <c r="B225" s="17">
        <f>39.693 * CHOOSE(CONTROL!$C$9, $D$9, 100%, $F$9) + CHOOSE(CONTROL!$C$27, 0.0021, 0)</f>
        <v>39.695099999999996</v>
      </c>
      <c r="C225" s="17">
        <f>39.2607 * CHOOSE(CONTROL!$C$9, $D$9, 100%, $F$9) + CHOOSE(CONTROL!$C$27, 0.0021, 0)</f>
        <v>39.262799999999999</v>
      </c>
      <c r="D225" s="17">
        <f>39.2607 * CHOOSE(CONTROL!$C$9, $D$9, 100%, $F$9) + CHOOSE(CONTROL!$C$27, 0.0021, 0)</f>
        <v>39.262799999999999</v>
      </c>
      <c r="E225" s="17">
        <f>39.1241 * CHOOSE(CONTROL!$C$9, $D$9, 100%, $F$9) + CHOOSE(CONTROL!$C$27, 0.0021, 0)</f>
        <v>39.126199999999997</v>
      </c>
      <c r="F225" s="17">
        <f>39.1241 * CHOOSE(CONTROL!$C$9, $D$9, 100%, $F$9) + CHOOSE(CONTROL!$C$27, 0.0021, 0)</f>
        <v>39.126199999999997</v>
      </c>
      <c r="G225" s="17">
        <f>39.3955 * CHOOSE(CONTROL!$C$9, $D$9, 100%, $F$9) + CHOOSE(CONTROL!$C$27, 0.0021, 0)</f>
        <v>39.397599999999997</v>
      </c>
      <c r="H225" s="17">
        <f>39.2607 * CHOOSE(CONTROL!$C$9, $D$9, 100%, $F$9) + CHOOSE(CONTROL!$C$27, 0.0021, 0)</f>
        <v>39.262799999999999</v>
      </c>
      <c r="I225" s="17">
        <f>39.2607 * CHOOSE(CONTROL!$C$9, $D$9, 100%, $F$9) + CHOOSE(CONTROL!$C$27, 0.0021, 0)</f>
        <v>39.262799999999999</v>
      </c>
      <c r="J225" s="17">
        <f>39.2607 * CHOOSE(CONTROL!$C$9, $D$9, 100%, $F$9) + CHOOSE(CONTROL!$C$27, 0.0021, 0)</f>
        <v>39.262799999999999</v>
      </c>
      <c r="K225" s="17">
        <f>39.2607 * CHOOSE(CONTROL!$C$9, $D$9, 100%, $F$9) + CHOOSE(CONTROL!$C$27, 0.0021, 0)</f>
        <v>39.262799999999999</v>
      </c>
      <c r="L225" s="17"/>
    </row>
    <row r="226" spans="1:12" ht="15" x14ac:dyDescent="0.2">
      <c r="A226" s="16">
        <v>47788</v>
      </c>
      <c r="B226" s="17">
        <f>39.7794 * CHOOSE(CONTROL!$C$9, $D$9, 100%, $F$9) + CHOOSE(CONTROL!$C$27, 0.0021, 0)</f>
        <v>39.781500000000001</v>
      </c>
      <c r="C226" s="17">
        <f>39.3471 * CHOOSE(CONTROL!$C$9, $D$9, 100%, $F$9) + CHOOSE(CONTROL!$C$27, 0.0021, 0)</f>
        <v>39.349199999999996</v>
      </c>
      <c r="D226" s="17">
        <f>39.3471 * CHOOSE(CONTROL!$C$9, $D$9, 100%, $F$9) + CHOOSE(CONTROL!$C$27, 0.0021, 0)</f>
        <v>39.349199999999996</v>
      </c>
      <c r="E226" s="17">
        <f>39.2105 * CHOOSE(CONTROL!$C$9, $D$9, 100%, $F$9) + CHOOSE(CONTROL!$C$27, 0.0021, 0)</f>
        <v>39.212600000000002</v>
      </c>
      <c r="F226" s="17">
        <f>39.2105 * CHOOSE(CONTROL!$C$9, $D$9, 100%, $F$9) + CHOOSE(CONTROL!$C$27, 0.0021, 0)</f>
        <v>39.212600000000002</v>
      </c>
      <c r="G226" s="17">
        <f>39.4818 * CHOOSE(CONTROL!$C$9, $D$9, 100%, $F$9) + CHOOSE(CONTROL!$C$27, 0.0021, 0)</f>
        <v>39.483899999999998</v>
      </c>
      <c r="H226" s="17">
        <f>39.3471 * CHOOSE(CONTROL!$C$9, $D$9, 100%, $F$9) + CHOOSE(CONTROL!$C$27, 0.0021, 0)</f>
        <v>39.349199999999996</v>
      </c>
      <c r="I226" s="17">
        <f>39.3471 * CHOOSE(CONTROL!$C$9, $D$9, 100%, $F$9) + CHOOSE(CONTROL!$C$27, 0.0021, 0)</f>
        <v>39.349199999999996</v>
      </c>
      <c r="J226" s="17">
        <f>39.3471 * CHOOSE(CONTROL!$C$9, $D$9, 100%, $F$9) + CHOOSE(CONTROL!$C$27, 0.0021, 0)</f>
        <v>39.349199999999996</v>
      </c>
      <c r="K226" s="17">
        <f>39.3471 * CHOOSE(CONTROL!$C$9, $D$9, 100%, $F$9) + CHOOSE(CONTROL!$C$27, 0.0021, 0)</f>
        <v>39.349199999999996</v>
      </c>
      <c r="L226" s="17"/>
    </row>
    <row r="227" spans="1:12" ht="15" x14ac:dyDescent="0.2">
      <c r="A227" s="16">
        <v>47818</v>
      </c>
      <c r="B227" s="17">
        <f>39.0443 * CHOOSE(CONTROL!$C$9, $D$9, 100%, $F$9) + CHOOSE(CONTROL!$C$27, 0.0021, 0)</f>
        <v>39.046399999999998</v>
      </c>
      <c r="C227" s="17">
        <f>38.6121 * CHOOSE(CONTROL!$C$9, $D$9, 100%, $F$9) + CHOOSE(CONTROL!$C$27, 0.0021, 0)</f>
        <v>38.614199999999997</v>
      </c>
      <c r="D227" s="17">
        <f>38.6121 * CHOOSE(CONTROL!$C$9, $D$9, 100%, $F$9) + CHOOSE(CONTROL!$C$27, 0.0021, 0)</f>
        <v>38.614199999999997</v>
      </c>
      <c r="E227" s="17">
        <f>38.4754 * CHOOSE(CONTROL!$C$9, $D$9, 100%, $F$9) + CHOOSE(CONTROL!$C$27, 0.0021, 0)</f>
        <v>38.477499999999999</v>
      </c>
      <c r="F227" s="17">
        <f>38.4754 * CHOOSE(CONTROL!$C$9, $D$9, 100%, $F$9) + CHOOSE(CONTROL!$C$27, 0.0021, 0)</f>
        <v>38.477499999999999</v>
      </c>
      <c r="G227" s="17">
        <f>38.7468 * CHOOSE(CONTROL!$C$9, $D$9, 100%, $F$9) + CHOOSE(CONTROL!$C$27, 0.0021, 0)</f>
        <v>38.748899999999999</v>
      </c>
      <c r="H227" s="17">
        <f>38.6121 * CHOOSE(CONTROL!$C$9, $D$9, 100%, $F$9) + CHOOSE(CONTROL!$C$27, 0.0021, 0)</f>
        <v>38.614199999999997</v>
      </c>
      <c r="I227" s="17">
        <f>38.6121 * CHOOSE(CONTROL!$C$9, $D$9, 100%, $F$9) + CHOOSE(CONTROL!$C$27, 0.0021, 0)</f>
        <v>38.614199999999997</v>
      </c>
      <c r="J227" s="17">
        <f>38.6121 * CHOOSE(CONTROL!$C$9, $D$9, 100%, $F$9) + CHOOSE(CONTROL!$C$27, 0.0021, 0)</f>
        <v>38.614199999999997</v>
      </c>
      <c r="K227" s="17">
        <f>38.6121 * CHOOSE(CONTROL!$C$9, $D$9, 100%, $F$9) + CHOOSE(CONTROL!$C$27, 0.0021, 0)</f>
        <v>38.614199999999997</v>
      </c>
      <c r="L227" s="17"/>
    </row>
    <row r="228" spans="1:12" ht="15" x14ac:dyDescent="0.2">
      <c r="A228" s="16">
        <v>47849</v>
      </c>
      <c r="B228" s="17">
        <f>38.5798 * CHOOSE(CONTROL!$C$9, $D$9, 100%, $F$9) + CHOOSE(CONTROL!$C$27, 0.0021, 0)</f>
        <v>38.581899999999997</v>
      </c>
      <c r="C228" s="17">
        <f>38.1475 * CHOOSE(CONTROL!$C$9, $D$9, 100%, $F$9) + CHOOSE(CONTROL!$C$27, 0.0021, 0)</f>
        <v>38.1496</v>
      </c>
      <c r="D228" s="17">
        <f>38.1475 * CHOOSE(CONTROL!$C$9, $D$9, 100%, $F$9) + CHOOSE(CONTROL!$C$27, 0.0021, 0)</f>
        <v>38.1496</v>
      </c>
      <c r="E228" s="17">
        <f>38.0109 * CHOOSE(CONTROL!$C$9, $D$9, 100%, $F$9) + CHOOSE(CONTROL!$C$27, 0.0021, 0)</f>
        <v>38.012999999999998</v>
      </c>
      <c r="F228" s="17">
        <f>38.0109 * CHOOSE(CONTROL!$C$9, $D$9, 100%, $F$9) + CHOOSE(CONTROL!$C$27, 0.0021, 0)</f>
        <v>38.012999999999998</v>
      </c>
      <c r="G228" s="17">
        <f>38.2822 * CHOOSE(CONTROL!$C$9, $D$9, 100%, $F$9) + CHOOSE(CONTROL!$C$27, 0.0021, 0)</f>
        <v>38.284300000000002</v>
      </c>
      <c r="H228" s="17">
        <f>38.1475 * CHOOSE(CONTROL!$C$9, $D$9, 100%, $F$9) + CHOOSE(CONTROL!$C$27, 0.0021, 0)</f>
        <v>38.1496</v>
      </c>
      <c r="I228" s="17">
        <f>38.1475 * CHOOSE(CONTROL!$C$9, $D$9, 100%, $F$9) + CHOOSE(CONTROL!$C$27, 0.0021, 0)</f>
        <v>38.1496</v>
      </c>
      <c r="J228" s="17">
        <f>38.1475 * CHOOSE(CONTROL!$C$9, $D$9, 100%, $F$9) + CHOOSE(CONTROL!$C$27, 0.0021, 0)</f>
        <v>38.1496</v>
      </c>
      <c r="K228" s="17">
        <f>38.1475 * CHOOSE(CONTROL!$C$9, $D$9, 100%, $F$9) + CHOOSE(CONTROL!$C$27, 0.0021, 0)</f>
        <v>38.1496</v>
      </c>
      <c r="L228" s="17"/>
    </row>
    <row r="229" spans="1:12" ht="15" x14ac:dyDescent="0.2">
      <c r="A229" s="16">
        <v>47880</v>
      </c>
      <c r="B229" s="17">
        <f>37.5534 * CHOOSE(CONTROL!$C$9, $D$9, 100%, $F$9) + CHOOSE(CONTROL!$C$27, 0.0021, 0)</f>
        <v>37.555500000000002</v>
      </c>
      <c r="C229" s="17">
        <f>37.1211 * CHOOSE(CONTROL!$C$9, $D$9, 100%, $F$9) + CHOOSE(CONTROL!$C$27, 0.0021, 0)</f>
        <v>37.123199999999997</v>
      </c>
      <c r="D229" s="17">
        <f>37.1211 * CHOOSE(CONTROL!$C$9, $D$9, 100%, $F$9) + CHOOSE(CONTROL!$C$27, 0.0021, 0)</f>
        <v>37.123199999999997</v>
      </c>
      <c r="E229" s="17">
        <f>36.9845 * CHOOSE(CONTROL!$C$9, $D$9, 100%, $F$9) + CHOOSE(CONTROL!$C$27, 0.0021, 0)</f>
        <v>36.986599999999996</v>
      </c>
      <c r="F229" s="17">
        <f>36.9845 * CHOOSE(CONTROL!$C$9, $D$9, 100%, $F$9) + CHOOSE(CONTROL!$C$27, 0.0021, 0)</f>
        <v>36.986599999999996</v>
      </c>
      <c r="G229" s="17">
        <f>37.2558 * CHOOSE(CONTROL!$C$9, $D$9, 100%, $F$9) + CHOOSE(CONTROL!$C$27, 0.0021, 0)</f>
        <v>37.257899999999999</v>
      </c>
      <c r="H229" s="17">
        <f>37.1211 * CHOOSE(CONTROL!$C$9, $D$9, 100%, $F$9) + CHOOSE(CONTROL!$C$27, 0.0021, 0)</f>
        <v>37.123199999999997</v>
      </c>
      <c r="I229" s="17">
        <f>37.1211 * CHOOSE(CONTROL!$C$9, $D$9, 100%, $F$9) + CHOOSE(CONTROL!$C$27, 0.0021, 0)</f>
        <v>37.123199999999997</v>
      </c>
      <c r="J229" s="17">
        <f>37.1211 * CHOOSE(CONTROL!$C$9, $D$9, 100%, $F$9) + CHOOSE(CONTROL!$C$27, 0.0021, 0)</f>
        <v>37.123199999999997</v>
      </c>
      <c r="K229" s="17">
        <f>37.1211 * CHOOSE(CONTROL!$C$9, $D$9, 100%, $F$9) + CHOOSE(CONTROL!$C$27, 0.0021, 0)</f>
        <v>37.123199999999997</v>
      </c>
      <c r="L229" s="17"/>
    </row>
    <row r="230" spans="1:12" ht="15" x14ac:dyDescent="0.2">
      <c r="A230" s="16">
        <v>47908</v>
      </c>
      <c r="B230" s="17">
        <f>37.1297 * CHOOSE(CONTROL!$C$9, $D$9, 100%, $F$9) + CHOOSE(CONTROL!$C$27, 0.0021, 0)</f>
        <v>37.131799999999998</v>
      </c>
      <c r="C230" s="17">
        <f>36.6974 * CHOOSE(CONTROL!$C$9, $D$9, 100%, $F$9) + CHOOSE(CONTROL!$C$27, 0.0021, 0)</f>
        <v>36.6995</v>
      </c>
      <c r="D230" s="17">
        <f>36.6974 * CHOOSE(CONTROL!$C$9, $D$9, 100%, $F$9) + CHOOSE(CONTROL!$C$27, 0.0021, 0)</f>
        <v>36.6995</v>
      </c>
      <c r="E230" s="17">
        <f>36.5608 * CHOOSE(CONTROL!$C$9, $D$9, 100%, $F$9) + CHOOSE(CONTROL!$C$27, 0.0021, 0)</f>
        <v>36.562899999999999</v>
      </c>
      <c r="F230" s="17">
        <f>36.5608 * CHOOSE(CONTROL!$C$9, $D$9, 100%, $F$9) + CHOOSE(CONTROL!$C$27, 0.0021, 0)</f>
        <v>36.562899999999999</v>
      </c>
      <c r="G230" s="17">
        <f>36.8321 * CHOOSE(CONTROL!$C$9, $D$9, 100%, $F$9) + CHOOSE(CONTROL!$C$27, 0.0021, 0)</f>
        <v>36.834199999999996</v>
      </c>
      <c r="H230" s="17">
        <f>36.6974 * CHOOSE(CONTROL!$C$9, $D$9, 100%, $F$9) + CHOOSE(CONTROL!$C$27, 0.0021, 0)</f>
        <v>36.6995</v>
      </c>
      <c r="I230" s="17">
        <f>36.6974 * CHOOSE(CONTROL!$C$9, $D$9, 100%, $F$9) + CHOOSE(CONTROL!$C$27, 0.0021, 0)</f>
        <v>36.6995</v>
      </c>
      <c r="J230" s="17">
        <f>36.6974 * CHOOSE(CONTROL!$C$9, $D$9, 100%, $F$9) + CHOOSE(CONTROL!$C$27, 0.0021, 0)</f>
        <v>36.6995</v>
      </c>
      <c r="K230" s="17">
        <f>36.6974 * CHOOSE(CONTROL!$C$9, $D$9, 100%, $F$9) + CHOOSE(CONTROL!$C$27, 0.0021, 0)</f>
        <v>36.6995</v>
      </c>
      <c r="L230" s="17"/>
    </row>
    <row r="231" spans="1:12" ht="15" x14ac:dyDescent="0.2">
      <c r="A231" s="16">
        <v>47939</v>
      </c>
      <c r="B231" s="17">
        <f>36.6238 * CHOOSE(CONTROL!$C$9, $D$9, 100%, $F$9) + CHOOSE(CONTROL!$C$27, 0.0021, 0)</f>
        <v>36.625900000000001</v>
      </c>
      <c r="C231" s="17">
        <f>36.1915 * CHOOSE(CONTROL!$C$9, $D$9, 100%, $F$9) + CHOOSE(CONTROL!$C$27, 0.0021, 0)</f>
        <v>36.193599999999996</v>
      </c>
      <c r="D231" s="17">
        <f>36.1915 * CHOOSE(CONTROL!$C$9, $D$9, 100%, $F$9) + CHOOSE(CONTROL!$C$27, 0.0021, 0)</f>
        <v>36.193599999999996</v>
      </c>
      <c r="E231" s="17">
        <f>36.0549 * CHOOSE(CONTROL!$C$9, $D$9, 100%, $F$9) + CHOOSE(CONTROL!$C$27, 0.0021, 0)</f>
        <v>36.057000000000002</v>
      </c>
      <c r="F231" s="17">
        <f>36.0549 * CHOOSE(CONTROL!$C$9, $D$9, 100%, $F$9) + CHOOSE(CONTROL!$C$27, 0.0021, 0)</f>
        <v>36.057000000000002</v>
      </c>
      <c r="G231" s="17">
        <f>36.3262 * CHOOSE(CONTROL!$C$9, $D$9, 100%, $F$9) + CHOOSE(CONTROL!$C$27, 0.0021, 0)</f>
        <v>36.328299999999999</v>
      </c>
      <c r="H231" s="17">
        <f>36.1915 * CHOOSE(CONTROL!$C$9, $D$9, 100%, $F$9) + CHOOSE(CONTROL!$C$27, 0.0021, 0)</f>
        <v>36.193599999999996</v>
      </c>
      <c r="I231" s="17">
        <f>36.1915 * CHOOSE(CONTROL!$C$9, $D$9, 100%, $F$9) + CHOOSE(CONTROL!$C$27, 0.0021, 0)</f>
        <v>36.193599999999996</v>
      </c>
      <c r="J231" s="17">
        <f>36.1915 * CHOOSE(CONTROL!$C$9, $D$9, 100%, $F$9) + CHOOSE(CONTROL!$C$27, 0.0021, 0)</f>
        <v>36.193599999999996</v>
      </c>
      <c r="K231" s="17">
        <f>36.1915 * CHOOSE(CONTROL!$C$9, $D$9, 100%, $F$9) + CHOOSE(CONTROL!$C$27, 0.0021, 0)</f>
        <v>36.193599999999996</v>
      </c>
      <c r="L231" s="17"/>
    </row>
    <row r="232" spans="1:12" ht="15" x14ac:dyDescent="0.2">
      <c r="A232" s="16">
        <v>47969</v>
      </c>
      <c r="B232" s="17">
        <f>37.3447 * CHOOSE(CONTROL!$C$9, $D$9, 100%, $F$9) + CHOOSE(CONTROL!$C$27, 0.0021, 0)</f>
        <v>37.346800000000002</v>
      </c>
      <c r="C232" s="17">
        <f>36.9125 * CHOOSE(CONTROL!$C$9, $D$9, 100%, $F$9) + CHOOSE(CONTROL!$C$27, 0.0021, 0)</f>
        <v>36.9146</v>
      </c>
      <c r="D232" s="17">
        <f>36.9125 * CHOOSE(CONTROL!$C$9, $D$9, 100%, $F$9) + CHOOSE(CONTROL!$C$27, 0.0021, 0)</f>
        <v>36.9146</v>
      </c>
      <c r="E232" s="17">
        <f>36.7758 * CHOOSE(CONTROL!$C$9, $D$9, 100%, $F$9) + CHOOSE(CONTROL!$C$27, 0.0021, 0)</f>
        <v>36.777899999999995</v>
      </c>
      <c r="F232" s="17">
        <f>36.7758 * CHOOSE(CONTROL!$C$9, $D$9, 100%, $F$9) + CHOOSE(CONTROL!$C$27, 0.0021, 0)</f>
        <v>36.777899999999995</v>
      </c>
      <c r="G232" s="17">
        <f>37.0472 * CHOOSE(CONTROL!$C$9, $D$9, 100%, $F$9) + CHOOSE(CONTROL!$C$27, 0.0021, 0)</f>
        <v>37.049299999999995</v>
      </c>
      <c r="H232" s="17">
        <f>36.9125 * CHOOSE(CONTROL!$C$9, $D$9, 100%, $F$9) + CHOOSE(CONTROL!$C$27, 0.0021, 0)</f>
        <v>36.9146</v>
      </c>
      <c r="I232" s="17">
        <f>36.9125 * CHOOSE(CONTROL!$C$9, $D$9, 100%, $F$9) + CHOOSE(CONTROL!$C$27, 0.0021, 0)</f>
        <v>36.9146</v>
      </c>
      <c r="J232" s="17">
        <f>36.9125 * CHOOSE(CONTROL!$C$9, $D$9, 100%, $F$9) + CHOOSE(CONTROL!$C$27, 0.0021, 0)</f>
        <v>36.9146</v>
      </c>
      <c r="K232" s="17">
        <f>36.9125 * CHOOSE(CONTROL!$C$9, $D$9, 100%, $F$9) + CHOOSE(CONTROL!$C$27, 0.0021, 0)</f>
        <v>36.9146</v>
      </c>
      <c r="L232" s="17"/>
    </row>
    <row r="233" spans="1:12" ht="15" x14ac:dyDescent="0.2">
      <c r="A233" s="16">
        <v>48000</v>
      </c>
      <c r="B233" s="17">
        <f>37.7766 * CHOOSE(CONTROL!$C$9, $D$9, 100%, $F$9) + CHOOSE(CONTROL!$C$27, 0.0021, 0)</f>
        <v>37.778700000000001</v>
      </c>
      <c r="C233" s="17">
        <f>37.3443 * CHOOSE(CONTROL!$C$9, $D$9, 100%, $F$9) + CHOOSE(CONTROL!$C$27, 0.0021, 0)</f>
        <v>37.346399999999996</v>
      </c>
      <c r="D233" s="17">
        <f>37.3443 * CHOOSE(CONTROL!$C$9, $D$9, 100%, $F$9) + CHOOSE(CONTROL!$C$27, 0.0021, 0)</f>
        <v>37.346399999999996</v>
      </c>
      <c r="E233" s="17">
        <f>37.2077 * CHOOSE(CONTROL!$C$9, $D$9, 100%, $F$9) + CHOOSE(CONTROL!$C$27, 0.0021, 0)</f>
        <v>37.209800000000001</v>
      </c>
      <c r="F233" s="17">
        <f>37.2077 * CHOOSE(CONTROL!$C$9, $D$9, 100%, $F$9) + CHOOSE(CONTROL!$C$27, 0.0021, 0)</f>
        <v>37.209800000000001</v>
      </c>
      <c r="G233" s="17">
        <f>37.479 * CHOOSE(CONTROL!$C$9, $D$9, 100%, $F$9) + CHOOSE(CONTROL!$C$27, 0.0021, 0)</f>
        <v>37.481099999999998</v>
      </c>
      <c r="H233" s="17">
        <f>37.3443 * CHOOSE(CONTROL!$C$9, $D$9, 100%, $F$9) + CHOOSE(CONTROL!$C$27, 0.0021, 0)</f>
        <v>37.346399999999996</v>
      </c>
      <c r="I233" s="17">
        <f>37.3443 * CHOOSE(CONTROL!$C$9, $D$9, 100%, $F$9) + CHOOSE(CONTROL!$C$27, 0.0021, 0)</f>
        <v>37.346399999999996</v>
      </c>
      <c r="J233" s="17">
        <f>37.3443 * CHOOSE(CONTROL!$C$9, $D$9, 100%, $F$9) + CHOOSE(CONTROL!$C$27, 0.0021, 0)</f>
        <v>37.346399999999996</v>
      </c>
      <c r="K233" s="17">
        <f>37.3443 * CHOOSE(CONTROL!$C$9, $D$9, 100%, $F$9) + CHOOSE(CONTROL!$C$27, 0.0021, 0)</f>
        <v>37.346399999999996</v>
      </c>
      <c r="L233" s="17"/>
    </row>
    <row r="234" spans="1:12" ht="15" x14ac:dyDescent="0.2">
      <c r="A234" s="16">
        <v>48030</v>
      </c>
      <c r="B234" s="17">
        <f>38.4889 * CHOOSE(CONTROL!$C$9, $D$9, 100%, $F$9) + CHOOSE(CONTROL!$C$27, 0.0021, 0)</f>
        <v>38.491</v>
      </c>
      <c r="C234" s="17">
        <f>38.0567 * CHOOSE(CONTROL!$C$9, $D$9, 100%, $F$9) + CHOOSE(CONTROL!$C$27, 0.0021, 0)</f>
        <v>38.058799999999998</v>
      </c>
      <c r="D234" s="17">
        <f>38.0567 * CHOOSE(CONTROL!$C$9, $D$9, 100%, $F$9) + CHOOSE(CONTROL!$C$27, 0.0021, 0)</f>
        <v>38.058799999999998</v>
      </c>
      <c r="E234" s="17">
        <f>37.92 * CHOOSE(CONTROL!$C$9, $D$9, 100%, $F$9) + CHOOSE(CONTROL!$C$27, 0.0021, 0)</f>
        <v>37.9221</v>
      </c>
      <c r="F234" s="17">
        <f>37.92 * CHOOSE(CONTROL!$C$9, $D$9, 100%, $F$9) + CHOOSE(CONTROL!$C$27, 0.0021, 0)</f>
        <v>37.9221</v>
      </c>
      <c r="G234" s="17">
        <f>38.1914 * CHOOSE(CONTROL!$C$9, $D$9, 100%, $F$9) + CHOOSE(CONTROL!$C$27, 0.0021, 0)</f>
        <v>38.1935</v>
      </c>
      <c r="H234" s="17">
        <f>38.0567 * CHOOSE(CONTROL!$C$9, $D$9, 100%, $F$9) + CHOOSE(CONTROL!$C$27, 0.0021, 0)</f>
        <v>38.058799999999998</v>
      </c>
      <c r="I234" s="17">
        <f>38.0567 * CHOOSE(CONTROL!$C$9, $D$9, 100%, $F$9) + CHOOSE(CONTROL!$C$27, 0.0021, 0)</f>
        <v>38.058799999999998</v>
      </c>
      <c r="J234" s="17">
        <f>38.0567 * CHOOSE(CONTROL!$C$9, $D$9, 100%, $F$9) + CHOOSE(CONTROL!$C$27, 0.0021, 0)</f>
        <v>38.058799999999998</v>
      </c>
      <c r="K234" s="17">
        <f>38.0567 * CHOOSE(CONTROL!$C$9, $D$9, 100%, $F$9) + CHOOSE(CONTROL!$C$27, 0.0021, 0)</f>
        <v>38.058799999999998</v>
      </c>
      <c r="L234" s="17"/>
    </row>
    <row r="235" spans="1:12" ht="15" x14ac:dyDescent="0.2">
      <c r="A235" s="16">
        <v>48061</v>
      </c>
      <c r="B235" s="17">
        <f>38.7064 * CHOOSE(CONTROL!$C$9, $D$9, 100%, $F$9) + CHOOSE(CONTROL!$C$27, 0.0021, 0)</f>
        <v>38.708500000000001</v>
      </c>
      <c r="C235" s="17">
        <f>38.2741 * CHOOSE(CONTROL!$C$9, $D$9, 100%, $F$9) + CHOOSE(CONTROL!$C$27, 0.0021, 0)</f>
        <v>38.276199999999996</v>
      </c>
      <c r="D235" s="17">
        <f>38.2741 * CHOOSE(CONTROL!$C$9, $D$9, 100%, $F$9) + CHOOSE(CONTROL!$C$27, 0.0021, 0)</f>
        <v>38.276199999999996</v>
      </c>
      <c r="E235" s="17">
        <f>38.1375 * CHOOSE(CONTROL!$C$9, $D$9, 100%, $F$9) + CHOOSE(CONTROL!$C$27, 0.0021, 0)</f>
        <v>38.139600000000002</v>
      </c>
      <c r="F235" s="17">
        <f>38.1375 * CHOOSE(CONTROL!$C$9, $D$9, 100%, $F$9) + CHOOSE(CONTROL!$C$27, 0.0021, 0)</f>
        <v>38.139600000000002</v>
      </c>
      <c r="G235" s="17">
        <f>38.4088 * CHOOSE(CONTROL!$C$9, $D$9, 100%, $F$9) + CHOOSE(CONTROL!$C$27, 0.0021, 0)</f>
        <v>38.410899999999998</v>
      </c>
      <c r="H235" s="17">
        <f>38.2741 * CHOOSE(CONTROL!$C$9, $D$9, 100%, $F$9) + CHOOSE(CONTROL!$C$27, 0.0021, 0)</f>
        <v>38.276199999999996</v>
      </c>
      <c r="I235" s="17">
        <f>38.2741 * CHOOSE(CONTROL!$C$9, $D$9, 100%, $F$9) + CHOOSE(CONTROL!$C$27, 0.0021, 0)</f>
        <v>38.276199999999996</v>
      </c>
      <c r="J235" s="17">
        <f>38.2741 * CHOOSE(CONTROL!$C$9, $D$9, 100%, $F$9) + CHOOSE(CONTROL!$C$27, 0.0021, 0)</f>
        <v>38.276199999999996</v>
      </c>
      <c r="K235" s="17">
        <f>38.2741 * CHOOSE(CONTROL!$C$9, $D$9, 100%, $F$9) + CHOOSE(CONTROL!$C$27, 0.0021, 0)</f>
        <v>38.276199999999996</v>
      </c>
      <c r="L235" s="17"/>
    </row>
    <row r="236" spans="1:12" ht="15" x14ac:dyDescent="0.2">
      <c r="A236" s="16">
        <v>48092</v>
      </c>
      <c r="B236" s="17">
        <f>39.4469 * CHOOSE(CONTROL!$C$9, $D$9, 100%, $F$9) + CHOOSE(CONTROL!$C$27, 0.0021, 0)</f>
        <v>39.448999999999998</v>
      </c>
      <c r="C236" s="17">
        <f>39.0146 * CHOOSE(CONTROL!$C$9, $D$9, 100%, $F$9) + CHOOSE(CONTROL!$C$27, 0.0021, 0)</f>
        <v>39.0167</v>
      </c>
      <c r="D236" s="17">
        <f>39.0146 * CHOOSE(CONTROL!$C$9, $D$9, 100%, $F$9) + CHOOSE(CONTROL!$C$27, 0.0021, 0)</f>
        <v>39.0167</v>
      </c>
      <c r="E236" s="17">
        <f>38.8779 * CHOOSE(CONTROL!$C$9, $D$9, 100%, $F$9) + CHOOSE(CONTROL!$C$27, 0.0021, 0)</f>
        <v>38.879999999999995</v>
      </c>
      <c r="F236" s="17">
        <f>38.8779 * CHOOSE(CONTROL!$C$9, $D$9, 100%, $F$9) + CHOOSE(CONTROL!$C$27, 0.0021, 0)</f>
        <v>38.879999999999995</v>
      </c>
      <c r="G236" s="17">
        <f>39.1493 * CHOOSE(CONTROL!$C$9, $D$9, 100%, $F$9) + CHOOSE(CONTROL!$C$27, 0.0021, 0)</f>
        <v>39.151399999999995</v>
      </c>
      <c r="H236" s="17">
        <f>39.0146 * CHOOSE(CONTROL!$C$9, $D$9, 100%, $F$9) + CHOOSE(CONTROL!$C$27, 0.0021, 0)</f>
        <v>39.0167</v>
      </c>
      <c r="I236" s="17">
        <f>39.0146 * CHOOSE(CONTROL!$C$9, $D$9, 100%, $F$9) + CHOOSE(CONTROL!$C$27, 0.0021, 0)</f>
        <v>39.0167</v>
      </c>
      <c r="J236" s="17">
        <f>39.0146 * CHOOSE(CONTROL!$C$9, $D$9, 100%, $F$9) + CHOOSE(CONTROL!$C$27, 0.0021, 0)</f>
        <v>39.0167</v>
      </c>
      <c r="K236" s="17">
        <f>39.0146 * CHOOSE(CONTROL!$C$9, $D$9, 100%, $F$9) + CHOOSE(CONTROL!$C$27, 0.0021, 0)</f>
        <v>39.0167</v>
      </c>
      <c r="L236" s="17"/>
    </row>
    <row r="237" spans="1:12" ht="15" x14ac:dyDescent="0.2">
      <c r="A237" s="16">
        <v>48122</v>
      </c>
      <c r="B237" s="17">
        <f>40.3842 * CHOOSE(CONTROL!$C$9, $D$9, 100%, $F$9) + CHOOSE(CONTROL!$C$27, 0.0021, 0)</f>
        <v>40.386299999999999</v>
      </c>
      <c r="C237" s="17">
        <f>39.9519 * CHOOSE(CONTROL!$C$9, $D$9, 100%, $F$9) + CHOOSE(CONTROL!$C$27, 0.0021, 0)</f>
        <v>39.954000000000001</v>
      </c>
      <c r="D237" s="17">
        <f>39.9519 * CHOOSE(CONTROL!$C$9, $D$9, 100%, $F$9) + CHOOSE(CONTROL!$C$27, 0.0021, 0)</f>
        <v>39.954000000000001</v>
      </c>
      <c r="E237" s="17">
        <f>39.8153 * CHOOSE(CONTROL!$C$9, $D$9, 100%, $F$9) + CHOOSE(CONTROL!$C$27, 0.0021, 0)</f>
        <v>39.817399999999999</v>
      </c>
      <c r="F237" s="17">
        <f>39.8153 * CHOOSE(CONTROL!$C$9, $D$9, 100%, $F$9) + CHOOSE(CONTROL!$C$27, 0.0021, 0)</f>
        <v>39.817399999999999</v>
      </c>
      <c r="G237" s="17">
        <f>40.0866 * CHOOSE(CONTROL!$C$9, $D$9, 100%, $F$9) + CHOOSE(CONTROL!$C$27, 0.0021, 0)</f>
        <v>40.088699999999996</v>
      </c>
      <c r="H237" s="17">
        <f>39.9519 * CHOOSE(CONTROL!$C$9, $D$9, 100%, $F$9) + CHOOSE(CONTROL!$C$27, 0.0021, 0)</f>
        <v>39.954000000000001</v>
      </c>
      <c r="I237" s="17">
        <f>39.9519 * CHOOSE(CONTROL!$C$9, $D$9, 100%, $F$9) + CHOOSE(CONTROL!$C$27, 0.0021, 0)</f>
        <v>39.954000000000001</v>
      </c>
      <c r="J237" s="17">
        <f>39.9519 * CHOOSE(CONTROL!$C$9, $D$9, 100%, $F$9) + CHOOSE(CONTROL!$C$27, 0.0021, 0)</f>
        <v>39.954000000000001</v>
      </c>
      <c r="K237" s="17">
        <f>39.9519 * CHOOSE(CONTROL!$C$9, $D$9, 100%, $F$9) + CHOOSE(CONTROL!$C$27, 0.0021, 0)</f>
        <v>39.954000000000001</v>
      </c>
      <c r="L237" s="17"/>
    </row>
    <row r="238" spans="1:12" ht="15" x14ac:dyDescent="0.2">
      <c r="A238" s="16">
        <v>48153</v>
      </c>
      <c r="B238" s="17">
        <f>40.4722 * CHOOSE(CONTROL!$C$9, $D$9, 100%, $F$9) + CHOOSE(CONTROL!$C$27, 0.0021, 0)</f>
        <v>40.474299999999999</v>
      </c>
      <c r="C238" s="17">
        <f>40.0399 * CHOOSE(CONTROL!$C$9, $D$9, 100%, $F$9) + CHOOSE(CONTROL!$C$27, 0.0021, 0)</f>
        <v>40.042000000000002</v>
      </c>
      <c r="D238" s="17">
        <f>40.0399 * CHOOSE(CONTROL!$C$9, $D$9, 100%, $F$9) + CHOOSE(CONTROL!$C$27, 0.0021, 0)</f>
        <v>40.042000000000002</v>
      </c>
      <c r="E238" s="17">
        <f>39.9033 * CHOOSE(CONTROL!$C$9, $D$9, 100%, $F$9) + CHOOSE(CONTROL!$C$27, 0.0021, 0)</f>
        <v>39.9054</v>
      </c>
      <c r="F238" s="17">
        <f>39.9033 * CHOOSE(CONTROL!$C$9, $D$9, 100%, $F$9) + CHOOSE(CONTROL!$C$27, 0.0021, 0)</f>
        <v>39.9054</v>
      </c>
      <c r="G238" s="17">
        <f>40.1746 * CHOOSE(CONTROL!$C$9, $D$9, 100%, $F$9) + CHOOSE(CONTROL!$C$27, 0.0021, 0)</f>
        <v>40.176699999999997</v>
      </c>
      <c r="H238" s="17">
        <f>40.0399 * CHOOSE(CONTROL!$C$9, $D$9, 100%, $F$9) + CHOOSE(CONTROL!$C$27, 0.0021, 0)</f>
        <v>40.042000000000002</v>
      </c>
      <c r="I238" s="17">
        <f>40.0399 * CHOOSE(CONTROL!$C$9, $D$9, 100%, $F$9) + CHOOSE(CONTROL!$C$27, 0.0021, 0)</f>
        <v>40.042000000000002</v>
      </c>
      <c r="J238" s="17">
        <f>40.0399 * CHOOSE(CONTROL!$C$9, $D$9, 100%, $F$9) + CHOOSE(CONTROL!$C$27, 0.0021, 0)</f>
        <v>40.042000000000002</v>
      </c>
      <c r="K238" s="17">
        <f>40.0399 * CHOOSE(CONTROL!$C$9, $D$9, 100%, $F$9) + CHOOSE(CONTROL!$C$27, 0.0021, 0)</f>
        <v>40.042000000000002</v>
      </c>
      <c r="L238" s="17"/>
    </row>
    <row r="239" spans="1:12" ht="15" x14ac:dyDescent="0.2">
      <c r="A239" s="16">
        <v>48183</v>
      </c>
      <c r="B239" s="17">
        <f>39.7235 * CHOOSE(CONTROL!$C$9, $D$9, 100%, $F$9) + CHOOSE(CONTROL!$C$27, 0.0021, 0)</f>
        <v>39.7256</v>
      </c>
      <c r="C239" s="17">
        <f>39.2913 * CHOOSE(CONTROL!$C$9, $D$9, 100%, $F$9) + CHOOSE(CONTROL!$C$27, 0.0021, 0)</f>
        <v>39.293399999999998</v>
      </c>
      <c r="D239" s="17">
        <f>39.2913 * CHOOSE(CONTROL!$C$9, $D$9, 100%, $F$9) + CHOOSE(CONTROL!$C$27, 0.0021, 0)</f>
        <v>39.293399999999998</v>
      </c>
      <c r="E239" s="17">
        <f>39.1546 * CHOOSE(CONTROL!$C$9, $D$9, 100%, $F$9) + CHOOSE(CONTROL!$C$27, 0.0021, 0)</f>
        <v>39.156700000000001</v>
      </c>
      <c r="F239" s="17">
        <f>39.1546 * CHOOSE(CONTROL!$C$9, $D$9, 100%, $F$9) + CHOOSE(CONTROL!$C$27, 0.0021, 0)</f>
        <v>39.156700000000001</v>
      </c>
      <c r="G239" s="17">
        <f>39.426 * CHOOSE(CONTROL!$C$9, $D$9, 100%, $F$9) + CHOOSE(CONTROL!$C$27, 0.0021, 0)</f>
        <v>39.428100000000001</v>
      </c>
      <c r="H239" s="17">
        <f>39.2913 * CHOOSE(CONTROL!$C$9, $D$9, 100%, $F$9) + CHOOSE(CONTROL!$C$27, 0.0021, 0)</f>
        <v>39.293399999999998</v>
      </c>
      <c r="I239" s="17">
        <f>39.2913 * CHOOSE(CONTROL!$C$9, $D$9, 100%, $F$9) + CHOOSE(CONTROL!$C$27, 0.0021, 0)</f>
        <v>39.293399999999998</v>
      </c>
      <c r="J239" s="17">
        <f>39.2913 * CHOOSE(CONTROL!$C$9, $D$9, 100%, $F$9) + CHOOSE(CONTROL!$C$27, 0.0021, 0)</f>
        <v>39.293399999999998</v>
      </c>
      <c r="K239" s="17">
        <f>39.2913 * CHOOSE(CONTROL!$C$9, $D$9, 100%, $F$9) + CHOOSE(CONTROL!$C$27, 0.0021, 0)</f>
        <v>39.293399999999998</v>
      </c>
      <c r="L239" s="17"/>
    </row>
    <row r="240" spans="1:12" ht="15" x14ac:dyDescent="0.2">
      <c r="A240" s="16">
        <v>48214</v>
      </c>
      <c r="B240" s="17">
        <f>39.2504 * CHOOSE(CONTROL!$C$9, $D$9, 100%, $F$9) + CHOOSE(CONTROL!$C$27, 0.0021, 0)</f>
        <v>39.252499999999998</v>
      </c>
      <c r="C240" s="17">
        <f>38.8181 * CHOOSE(CONTROL!$C$9, $D$9, 100%, $F$9) + CHOOSE(CONTROL!$C$27, 0.0021, 0)</f>
        <v>38.8202</v>
      </c>
      <c r="D240" s="17">
        <f>38.8181 * CHOOSE(CONTROL!$C$9, $D$9, 100%, $F$9) + CHOOSE(CONTROL!$C$27, 0.0021, 0)</f>
        <v>38.8202</v>
      </c>
      <c r="E240" s="17">
        <f>38.6815 * CHOOSE(CONTROL!$C$9, $D$9, 100%, $F$9) + CHOOSE(CONTROL!$C$27, 0.0021, 0)</f>
        <v>38.683599999999998</v>
      </c>
      <c r="F240" s="17">
        <f>38.6815 * CHOOSE(CONTROL!$C$9, $D$9, 100%, $F$9) + CHOOSE(CONTROL!$C$27, 0.0021, 0)</f>
        <v>38.683599999999998</v>
      </c>
      <c r="G240" s="17">
        <f>38.9529 * CHOOSE(CONTROL!$C$9, $D$9, 100%, $F$9) + CHOOSE(CONTROL!$C$27, 0.0021, 0)</f>
        <v>38.954999999999998</v>
      </c>
      <c r="H240" s="17">
        <f>38.8181 * CHOOSE(CONTROL!$C$9, $D$9, 100%, $F$9) + CHOOSE(CONTROL!$C$27, 0.0021, 0)</f>
        <v>38.8202</v>
      </c>
      <c r="I240" s="17">
        <f>38.8181 * CHOOSE(CONTROL!$C$9, $D$9, 100%, $F$9) + CHOOSE(CONTROL!$C$27, 0.0021, 0)</f>
        <v>38.8202</v>
      </c>
      <c r="J240" s="17">
        <f>38.8181 * CHOOSE(CONTROL!$C$9, $D$9, 100%, $F$9) + CHOOSE(CONTROL!$C$27, 0.0021, 0)</f>
        <v>38.8202</v>
      </c>
      <c r="K240" s="17">
        <f>38.8181 * CHOOSE(CONTROL!$C$9, $D$9, 100%, $F$9) + CHOOSE(CONTROL!$C$27, 0.0021, 0)</f>
        <v>38.8202</v>
      </c>
      <c r="L240" s="17"/>
    </row>
    <row r="241" spans="1:12" ht="15" x14ac:dyDescent="0.2">
      <c r="A241" s="16">
        <v>48245</v>
      </c>
      <c r="B241" s="17">
        <f>38.205 * CHOOSE(CONTROL!$C$9, $D$9, 100%, $F$9) + CHOOSE(CONTROL!$C$27, 0.0021, 0)</f>
        <v>38.207099999999997</v>
      </c>
      <c r="C241" s="17">
        <f>37.7728 * CHOOSE(CONTROL!$C$9, $D$9, 100%, $F$9) + CHOOSE(CONTROL!$C$27, 0.0021, 0)</f>
        <v>37.774899999999995</v>
      </c>
      <c r="D241" s="17">
        <f>37.7728 * CHOOSE(CONTROL!$C$9, $D$9, 100%, $F$9) + CHOOSE(CONTROL!$C$27, 0.0021, 0)</f>
        <v>37.774899999999995</v>
      </c>
      <c r="E241" s="17">
        <f>37.6361 * CHOOSE(CONTROL!$C$9, $D$9, 100%, $F$9) + CHOOSE(CONTROL!$C$27, 0.0021, 0)</f>
        <v>37.638199999999998</v>
      </c>
      <c r="F241" s="17">
        <f>37.6361 * CHOOSE(CONTROL!$C$9, $D$9, 100%, $F$9) + CHOOSE(CONTROL!$C$27, 0.0021, 0)</f>
        <v>37.638199999999998</v>
      </c>
      <c r="G241" s="17">
        <f>37.9075 * CHOOSE(CONTROL!$C$9, $D$9, 100%, $F$9) + CHOOSE(CONTROL!$C$27, 0.0021, 0)</f>
        <v>37.909599999999998</v>
      </c>
      <c r="H241" s="17">
        <f>37.7728 * CHOOSE(CONTROL!$C$9, $D$9, 100%, $F$9) + CHOOSE(CONTROL!$C$27, 0.0021, 0)</f>
        <v>37.774899999999995</v>
      </c>
      <c r="I241" s="17">
        <f>37.7728 * CHOOSE(CONTROL!$C$9, $D$9, 100%, $F$9) + CHOOSE(CONTROL!$C$27, 0.0021, 0)</f>
        <v>37.774899999999995</v>
      </c>
      <c r="J241" s="17">
        <f>37.7728 * CHOOSE(CONTROL!$C$9, $D$9, 100%, $F$9) + CHOOSE(CONTROL!$C$27, 0.0021, 0)</f>
        <v>37.774899999999995</v>
      </c>
      <c r="K241" s="17">
        <f>37.7728 * CHOOSE(CONTROL!$C$9, $D$9, 100%, $F$9) + CHOOSE(CONTROL!$C$27, 0.0021, 0)</f>
        <v>37.774899999999995</v>
      </c>
      <c r="L241" s="17"/>
    </row>
    <row r="242" spans="1:12" ht="15" x14ac:dyDescent="0.2">
      <c r="A242" s="16">
        <v>48274</v>
      </c>
      <c r="B242" s="17">
        <f>37.7735 * CHOOSE(CONTROL!$C$9, $D$9, 100%, $F$9) + CHOOSE(CONTROL!$C$27, 0.0021, 0)</f>
        <v>37.775599999999997</v>
      </c>
      <c r="C242" s="17">
        <f>37.3412 * CHOOSE(CONTROL!$C$9, $D$9, 100%, $F$9) + CHOOSE(CONTROL!$C$27, 0.0021, 0)</f>
        <v>37.343299999999999</v>
      </c>
      <c r="D242" s="17">
        <f>37.3412 * CHOOSE(CONTROL!$C$9, $D$9, 100%, $F$9) + CHOOSE(CONTROL!$C$27, 0.0021, 0)</f>
        <v>37.343299999999999</v>
      </c>
      <c r="E242" s="17">
        <f>37.2046 * CHOOSE(CONTROL!$C$9, $D$9, 100%, $F$9) + CHOOSE(CONTROL!$C$27, 0.0021, 0)</f>
        <v>37.206699999999998</v>
      </c>
      <c r="F242" s="17">
        <f>37.2046 * CHOOSE(CONTROL!$C$9, $D$9, 100%, $F$9) + CHOOSE(CONTROL!$C$27, 0.0021, 0)</f>
        <v>37.206699999999998</v>
      </c>
      <c r="G242" s="17">
        <f>37.476 * CHOOSE(CONTROL!$C$9, $D$9, 100%, $F$9) + CHOOSE(CONTROL!$C$27, 0.0021, 0)</f>
        <v>37.478099999999998</v>
      </c>
      <c r="H242" s="17">
        <f>37.3412 * CHOOSE(CONTROL!$C$9, $D$9, 100%, $F$9) + CHOOSE(CONTROL!$C$27, 0.0021, 0)</f>
        <v>37.343299999999999</v>
      </c>
      <c r="I242" s="17">
        <f>37.3412 * CHOOSE(CONTROL!$C$9, $D$9, 100%, $F$9) + CHOOSE(CONTROL!$C$27, 0.0021, 0)</f>
        <v>37.343299999999999</v>
      </c>
      <c r="J242" s="17">
        <f>37.3412 * CHOOSE(CONTROL!$C$9, $D$9, 100%, $F$9) + CHOOSE(CONTROL!$C$27, 0.0021, 0)</f>
        <v>37.343299999999999</v>
      </c>
      <c r="K242" s="17">
        <f>37.3412 * CHOOSE(CONTROL!$C$9, $D$9, 100%, $F$9) + CHOOSE(CONTROL!$C$27, 0.0021, 0)</f>
        <v>37.343299999999999</v>
      </c>
      <c r="L242" s="17"/>
    </row>
    <row r="243" spans="1:12" ht="15" x14ac:dyDescent="0.2">
      <c r="A243" s="16">
        <v>48305</v>
      </c>
      <c r="B243" s="17">
        <f>37.2582 * CHOOSE(CONTROL!$C$9, $D$9, 100%, $F$9) + CHOOSE(CONTROL!$C$27, 0.0021, 0)</f>
        <v>37.260300000000001</v>
      </c>
      <c r="C243" s="17">
        <f>36.826 * CHOOSE(CONTROL!$C$9, $D$9, 100%, $F$9) + CHOOSE(CONTROL!$C$27, 0.0021, 0)</f>
        <v>36.828099999999999</v>
      </c>
      <c r="D243" s="17">
        <f>36.826 * CHOOSE(CONTROL!$C$9, $D$9, 100%, $F$9) + CHOOSE(CONTROL!$C$27, 0.0021, 0)</f>
        <v>36.828099999999999</v>
      </c>
      <c r="E243" s="17">
        <f>36.6893 * CHOOSE(CONTROL!$C$9, $D$9, 100%, $F$9) + CHOOSE(CONTROL!$C$27, 0.0021, 0)</f>
        <v>36.691400000000002</v>
      </c>
      <c r="F243" s="17">
        <f>36.6893 * CHOOSE(CONTROL!$C$9, $D$9, 100%, $F$9) + CHOOSE(CONTROL!$C$27, 0.0021, 0)</f>
        <v>36.691400000000002</v>
      </c>
      <c r="G243" s="17">
        <f>36.9607 * CHOOSE(CONTROL!$C$9, $D$9, 100%, $F$9) + CHOOSE(CONTROL!$C$27, 0.0021, 0)</f>
        <v>36.962800000000001</v>
      </c>
      <c r="H243" s="17">
        <f>36.826 * CHOOSE(CONTROL!$C$9, $D$9, 100%, $F$9) + CHOOSE(CONTROL!$C$27, 0.0021, 0)</f>
        <v>36.828099999999999</v>
      </c>
      <c r="I243" s="17">
        <f>36.826 * CHOOSE(CONTROL!$C$9, $D$9, 100%, $F$9) + CHOOSE(CONTROL!$C$27, 0.0021, 0)</f>
        <v>36.828099999999999</v>
      </c>
      <c r="J243" s="17">
        <f>36.826 * CHOOSE(CONTROL!$C$9, $D$9, 100%, $F$9) + CHOOSE(CONTROL!$C$27, 0.0021, 0)</f>
        <v>36.828099999999999</v>
      </c>
      <c r="K243" s="17">
        <f>36.826 * CHOOSE(CONTROL!$C$9, $D$9, 100%, $F$9) + CHOOSE(CONTROL!$C$27, 0.0021, 0)</f>
        <v>36.828099999999999</v>
      </c>
      <c r="L243" s="17"/>
    </row>
    <row r="244" spans="1:12" ht="15" x14ac:dyDescent="0.2">
      <c r="A244" s="16">
        <v>48335</v>
      </c>
      <c r="B244" s="17">
        <f>37.9925 * CHOOSE(CONTROL!$C$9, $D$9, 100%, $F$9) + CHOOSE(CONTROL!$C$27, 0.0021, 0)</f>
        <v>37.994599999999998</v>
      </c>
      <c r="C244" s="17">
        <f>37.5603 * CHOOSE(CONTROL!$C$9, $D$9, 100%, $F$9) + CHOOSE(CONTROL!$C$27, 0.0021, 0)</f>
        <v>37.562399999999997</v>
      </c>
      <c r="D244" s="17">
        <f>37.5603 * CHOOSE(CONTROL!$C$9, $D$9, 100%, $F$9) + CHOOSE(CONTROL!$C$27, 0.0021, 0)</f>
        <v>37.562399999999997</v>
      </c>
      <c r="E244" s="17">
        <f>37.4236 * CHOOSE(CONTROL!$C$9, $D$9, 100%, $F$9) + CHOOSE(CONTROL!$C$27, 0.0021, 0)</f>
        <v>37.425699999999999</v>
      </c>
      <c r="F244" s="17">
        <f>37.4236 * CHOOSE(CONTROL!$C$9, $D$9, 100%, $F$9) + CHOOSE(CONTROL!$C$27, 0.0021, 0)</f>
        <v>37.425699999999999</v>
      </c>
      <c r="G244" s="17">
        <f>37.695 * CHOOSE(CONTROL!$C$9, $D$9, 100%, $F$9) + CHOOSE(CONTROL!$C$27, 0.0021, 0)</f>
        <v>37.697099999999999</v>
      </c>
      <c r="H244" s="17">
        <f>37.5603 * CHOOSE(CONTROL!$C$9, $D$9, 100%, $F$9) + CHOOSE(CONTROL!$C$27, 0.0021, 0)</f>
        <v>37.562399999999997</v>
      </c>
      <c r="I244" s="17">
        <f>37.5603 * CHOOSE(CONTROL!$C$9, $D$9, 100%, $F$9) + CHOOSE(CONTROL!$C$27, 0.0021, 0)</f>
        <v>37.562399999999997</v>
      </c>
      <c r="J244" s="17">
        <f>37.5603 * CHOOSE(CONTROL!$C$9, $D$9, 100%, $F$9) + CHOOSE(CONTROL!$C$27, 0.0021, 0)</f>
        <v>37.562399999999997</v>
      </c>
      <c r="K244" s="17">
        <f>37.5603 * CHOOSE(CONTROL!$C$9, $D$9, 100%, $F$9) + CHOOSE(CONTROL!$C$27, 0.0021, 0)</f>
        <v>37.562399999999997</v>
      </c>
      <c r="L244" s="17"/>
    </row>
    <row r="245" spans="1:12" ht="15" x14ac:dyDescent="0.2">
      <c r="A245" s="16">
        <v>48366</v>
      </c>
      <c r="B245" s="17">
        <f>38.4323 * CHOOSE(CONTROL!$C$9, $D$9, 100%, $F$9) + CHOOSE(CONTROL!$C$27, 0.0021, 0)</f>
        <v>38.434399999999997</v>
      </c>
      <c r="C245" s="17">
        <f>38.0001 * CHOOSE(CONTROL!$C$9, $D$9, 100%, $F$9) + CHOOSE(CONTROL!$C$27, 0.0021, 0)</f>
        <v>38.002200000000002</v>
      </c>
      <c r="D245" s="17">
        <f>38.0001 * CHOOSE(CONTROL!$C$9, $D$9, 100%, $F$9) + CHOOSE(CONTROL!$C$27, 0.0021, 0)</f>
        <v>38.002200000000002</v>
      </c>
      <c r="E245" s="17">
        <f>37.8634 * CHOOSE(CONTROL!$C$9, $D$9, 100%, $F$9) + CHOOSE(CONTROL!$C$27, 0.0021, 0)</f>
        <v>37.865499999999997</v>
      </c>
      <c r="F245" s="17">
        <f>37.8634 * CHOOSE(CONTROL!$C$9, $D$9, 100%, $F$9) + CHOOSE(CONTROL!$C$27, 0.0021, 0)</f>
        <v>37.865499999999997</v>
      </c>
      <c r="G245" s="17">
        <f>38.1348 * CHOOSE(CONTROL!$C$9, $D$9, 100%, $F$9) + CHOOSE(CONTROL!$C$27, 0.0021, 0)</f>
        <v>38.136899999999997</v>
      </c>
      <c r="H245" s="17">
        <f>38.0001 * CHOOSE(CONTROL!$C$9, $D$9, 100%, $F$9) + CHOOSE(CONTROL!$C$27, 0.0021, 0)</f>
        <v>38.002200000000002</v>
      </c>
      <c r="I245" s="17">
        <f>38.0001 * CHOOSE(CONTROL!$C$9, $D$9, 100%, $F$9) + CHOOSE(CONTROL!$C$27, 0.0021, 0)</f>
        <v>38.002200000000002</v>
      </c>
      <c r="J245" s="17">
        <f>38.0001 * CHOOSE(CONTROL!$C$9, $D$9, 100%, $F$9) + CHOOSE(CONTROL!$C$27, 0.0021, 0)</f>
        <v>38.002200000000002</v>
      </c>
      <c r="K245" s="17">
        <f>38.0001 * CHOOSE(CONTROL!$C$9, $D$9, 100%, $F$9) + CHOOSE(CONTROL!$C$27, 0.0021, 0)</f>
        <v>38.002200000000002</v>
      </c>
      <c r="L245" s="17"/>
    </row>
    <row r="246" spans="1:12" ht="15" x14ac:dyDescent="0.2">
      <c r="A246" s="16">
        <v>48396</v>
      </c>
      <c r="B246" s="17">
        <f>39.1579 * CHOOSE(CONTROL!$C$9, $D$9, 100%, $F$9) + CHOOSE(CONTROL!$C$27, 0.0021, 0)</f>
        <v>39.159999999999997</v>
      </c>
      <c r="C246" s="17">
        <f>38.7256 * CHOOSE(CONTROL!$C$9, $D$9, 100%, $F$9) + CHOOSE(CONTROL!$C$27, 0.0021, 0)</f>
        <v>38.727699999999999</v>
      </c>
      <c r="D246" s="17">
        <f>38.7256 * CHOOSE(CONTROL!$C$9, $D$9, 100%, $F$9) + CHOOSE(CONTROL!$C$27, 0.0021, 0)</f>
        <v>38.727699999999999</v>
      </c>
      <c r="E246" s="17">
        <f>38.589 * CHOOSE(CONTROL!$C$9, $D$9, 100%, $F$9) + CHOOSE(CONTROL!$C$27, 0.0021, 0)</f>
        <v>38.591099999999997</v>
      </c>
      <c r="F246" s="17">
        <f>38.589 * CHOOSE(CONTROL!$C$9, $D$9, 100%, $F$9) + CHOOSE(CONTROL!$C$27, 0.0021, 0)</f>
        <v>38.591099999999997</v>
      </c>
      <c r="G246" s="17">
        <f>38.8603 * CHOOSE(CONTROL!$C$9, $D$9, 100%, $F$9) + CHOOSE(CONTROL!$C$27, 0.0021, 0)</f>
        <v>38.862400000000001</v>
      </c>
      <c r="H246" s="17">
        <f>38.7256 * CHOOSE(CONTROL!$C$9, $D$9, 100%, $F$9) + CHOOSE(CONTROL!$C$27, 0.0021, 0)</f>
        <v>38.727699999999999</v>
      </c>
      <c r="I246" s="17">
        <f>38.7256 * CHOOSE(CONTROL!$C$9, $D$9, 100%, $F$9) + CHOOSE(CONTROL!$C$27, 0.0021, 0)</f>
        <v>38.727699999999999</v>
      </c>
      <c r="J246" s="17">
        <f>38.7256 * CHOOSE(CONTROL!$C$9, $D$9, 100%, $F$9) + CHOOSE(CONTROL!$C$27, 0.0021, 0)</f>
        <v>38.727699999999999</v>
      </c>
      <c r="K246" s="17">
        <f>38.7256 * CHOOSE(CONTROL!$C$9, $D$9, 100%, $F$9) + CHOOSE(CONTROL!$C$27, 0.0021, 0)</f>
        <v>38.727699999999999</v>
      </c>
      <c r="L246" s="17"/>
    </row>
    <row r="247" spans="1:12" ht="15" x14ac:dyDescent="0.2">
      <c r="A247" s="16">
        <v>48427</v>
      </c>
      <c r="B247" s="17">
        <f>39.3793 * CHOOSE(CONTROL!$C$9, $D$9, 100%, $F$9) + CHOOSE(CONTROL!$C$27, 0.0021, 0)</f>
        <v>39.381399999999999</v>
      </c>
      <c r="C247" s="17">
        <f>38.9471 * CHOOSE(CONTROL!$C$9, $D$9, 100%, $F$9) + CHOOSE(CONTROL!$C$27, 0.0021, 0)</f>
        <v>38.949199999999998</v>
      </c>
      <c r="D247" s="17">
        <f>38.9471 * CHOOSE(CONTROL!$C$9, $D$9, 100%, $F$9) + CHOOSE(CONTROL!$C$27, 0.0021, 0)</f>
        <v>38.949199999999998</v>
      </c>
      <c r="E247" s="17">
        <f>38.8104 * CHOOSE(CONTROL!$C$9, $D$9, 100%, $F$9) + CHOOSE(CONTROL!$C$27, 0.0021, 0)</f>
        <v>38.8125</v>
      </c>
      <c r="F247" s="17">
        <f>38.8104 * CHOOSE(CONTROL!$C$9, $D$9, 100%, $F$9) + CHOOSE(CONTROL!$C$27, 0.0021, 0)</f>
        <v>38.8125</v>
      </c>
      <c r="G247" s="17">
        <f>39.0818 * CHOOSE(CONTROL!$C$9, $D$9, 100%, $F$9) + CHOOSE(CONTROL!$C$27, 0.0021, 0)</f>
        <v>39.0839</v>
      </c>
      <c r="H247" s="17">
        <f>38.9471 * CHOOSE(CONTROL!$C$9, $D$9, 100%, $F$9) + CHOOSE(CONTROL!$C$27, 0.0021, 0)</f>
        <v>38.949199999999998</v>
      </c>
      <c r="I247" s="17">
        <f>38.9471 * CHOOSE(CONTROL!$C$9, $D$9, 100%, $F$9) + CHOOSE(CONTROL!$C$27, 0.0021, 0)</f>
        <v>38.949199999999998</v>
      </c>
      <c r="J247" s="17">
        <f>38.9471 * CHOOSE(CONTROL!$C$9, $D$9, 100%, $F$9) + CHOOSE(CONTROL!$C$27, 0.0021, 0)</f>
        <v>38.949199999999998</v>
      </c>
      <c r="K247" s="17">
        <f>38.9471 * CHOOSE(CONTROL!$C$9, $D$9, 100%, $F$9) + CHOOSE(CONTROL!$C$27, 0.0021, 0)</f>
        <v>38.949199999999998</v>
      </c>
      <c r="L247" s="17"/>
    </row>
    <row r="248" spans="1:12" ht="15" x14ac:dyDescent="0.2">
      <c r="A248" s="16">
        <v>48458</v>
      </c>
      <c r="B248" s="17">
        <f>40.1335 * CHOOSE(CONTROL!$C$9, $D$9, 100%, $F$9) + CHOOSE(CONTROL!$C$27, 0.0021, 0)</f>
        <v>40.135599999999997</v>
      </c>
      <c r="C248" s="17">
        <f>39.7013 * CHOOSE(CONTROL!$C$9, $D$9, 100%, $F$9) + CHOOSE(CONTROL!$C$27, 0.0021, 0)</f>
        <v>39.703400000000002</v>
      </c>
      <c r="D248" s="17">
        <f>39.7013 * CHOOSE(CONTROL!$C$9, $D$9, 100%, $F$9) + CHOOSE(CONTROL!$C$27, 0.0021, 0)</f>
        <v>39.703400000000002</v>
      </c>
      <c r="E248" s="17">
        <f>39.5646 * CHOOSE(CONTROL!$C$9, $D$9, 100%, $F$9) + CHOOSE(CONTROL!$C$27, 0.0021, 0)</f>
        <v>39.566699999999997</v>
      </c>
      <c r="F248" s="17">
        <f>39.5646 * CHOOSE(CONTROL!$C$9, $D$9, 100%, $F$9) + CHOOSE(CONTROL!$C$27, 0.0021, 0)</f>
        <v>39.566699999999997</v>
      </c>
      <c r="G248" s="17">
        <f>39.836 * CHOOSE(CONTROL!$C$9, $D$9, 100%, $F$9) + CHOOSE(CONTROL!$C$27, 0.0021, 0)</f>
        <v>39.838099999999997</v>
      </c>
      <c r="H248" s="17">
        <f>39.7013 * CHOOSE(CONTROL!$C$9, $D$9, 100%, $F$9) + CHOOSE(CONTROL!$C$27, 0.0021, 0)</f>
        <v>39.703400000000002</v>
      </c>
      <c r="I248" s="17">
        <f>39.7013 * CHOOSE(CONTROL!$C$9, $D$9, 100%, $F$9) + CHOOSE(CONTROL!$C$27, 0.0021, 0)</f>
        <v>39.703400000000002</v>
      </c>
      <c r="J248" s="17">
        <f>39.7013 * CHOOSE(CONTROL!$C$9, $D$9, 100%, $F$9) + CHOOSE(CONTROL!$C$27, 0.0021, 0)</f>
        <v>39.703400000000002</v>
      </c>
      <c r="K248" s="17">
        <f>39.7013 * CHOOSE(CONTROL!$C$9, $D$9, 100%, $F$9) + CHOOSE(CONTROL!$C$27, 0.0021, 0)</f>
        <v>39.703400000000002</v>
      </c>
      <c r="L248" s="17"/>
    </row>
    <row r="249" spans="1:12" ht="15" x14ac:dyDescent="0.2">
      <c r="A249" s="16">
        <v>48488</v>
      </c>
      <c r="B249" s="17">
        <f>41.0881 * CHOOSE(CONTROL!$C$9, $D$9, 100%, $F$9) + CHOOSE(CONTROL!$C$27, 0.0021, 0)</f>
        <v>41.090199999999996</v>
      </c>
      <c r="C249" s="17">
        <f>40.6559 * CHOOSE(CONTROL!$C$9, $D$9, 100%, $F$9) + CHOOSE(CONTROL!$C$27, 0.0021, 0)</f>
        <v>40.658000000000001</v>
      </c>
      <c r="D249" s="17">
        <f>40.6559 * CHOOSE(CONTROL!$C$9, $D$9, 100%, $F$9) + CHOOSE(CONTROL!$C$27, 0.0021, 0)</f>
        <v>40.658000000000001</v>
      </c>
      <c r="E249" s="17">
        <f>40.5192 * CHOOSE(CONTROL!$C$9, $D$9, 100%, $F$9) + CHOOSE(CONTROL!$C$27, 0.0021, 0)</f>
        <v>40.521299999999997</v>
      </c>
      <c r="F249" s="17">
        <f>40.5192 * CHOOSE(CONTROL!$C$9, $D$9, 100%, $F$9) + CHOOSE(CONTROL!$C$27, 0.0021, 0)</f>
        <v>40.521299999999997</v>
      </c>
      <c r="G249" s="17">
        <f>40.7906 * CHOOSE(CONTROL!$C$9, $D$9, 100%, $F$9) + CHOOSE(CONTROL!$C$27, 0.0021, 0)</f>
        <v>40.792699999999996</v>
      </c>
      <c r="H249" s="17">
        <f>40.6559 * CHOOSE(CONTROL!$C$9, $D$9, 100%, $F$9) + CHOOSE(CONTROL!$C$27, 0.0021, 0)</f>
        <v>40.658000000000001</v>
      </c>
      <c r="I249" s="17">
        <f>40.6559 * CHOOSE(CONTROL!$C$9, $D$9, 100%, $F$9) + CHOOSE(CONTROL!$C$27, 0.0021, 0)</f>
        <v>40.658000000000001</v>
      </c>
      <c r="J249" s="17">
        <f>40.6559 * CHOOSE(CONTROL!$C$9, $D$9, 100%, $F$9) + CHOOSE(CONTROL!$C$27, 0.0021, 0)</f>
        <v>40.658000000000001</v>
      </c>
      <c r="K249" s="17">
        <f>40.6559 * CHOOSE(CONTROL!$C$9, $D$9, 100%, $F$9) + CHOOSE(CONTROL!$C$27, 0.0021, 0)</f>
        <v>40.658000000000001</v>
      </c>
      <c r="L249" s="17"/>
    </row>
    <row r="250" spans="1:12" ht="15" x14ac:dyDescent="0.2">
      <c r="A250" s="16">
        <v>48519</v>
      </c>
      <c r="B250" s="17">
        <f>41.1778 * CHOOSE(CONTROL!$C$9, $D$9, 100%, $F$9) + CHOOSE(CONTROL!$C$27, 0.0021, 0)</f>
        <v>41.179899999999996</v>
      </c>
      <c r="C250" s="17">
        <f>40.7455 * CHOOSE(CONTROL!$C$9, $D$9, 100%, $F$9) + CHOOSE(CONTROL!$C$27, 0.0021, 0)</f>
        <v>40.747599999999998</v>
      </c>
      <c r="D250" s="17">
        <f>40.7455 * CHOOSE(CONTROL!$C$9, $D$9, 100%, $F$9) + CHOOSE(CONTROL!$C$27, 0.0021, 0)</f>
        <v>40.747599999999998</v>
      </c>
      <c r="E250" s="17">
        <f>40.6089 * CHOOSE(CONTROL!$C$9, $D$9, 100%, $F$9) + CHOOSE(CONTROL!$C$27, 0.0021, 0)</f>
        <v>40.610999999999997</v>
      </c>
      <c r="F250" s="17">
        <f>40.6089 * CHOOSE(CONTROL!$C$9, $D$9, 100%, $F$9) + CHOOSE(CONTROL!$C$27, 0.0021, 0)</f>
        <v>40.610999999999997</v>
      </c>
      <c r="G250" s="17">
        <f>40.8802 * CHOOSE(CONTROL!$C$9, $D$9, 100%, $F$9) + CHOOSE(CONTROL!$C$27, 0.0021, 0)</f>
        <v>40.882300000000001</v>
      </c>
      <c r="H250" s="17">
        <f>40.7455 * CHOOSE(CONTROL!$C$9, $D$9, 100%, $F$9) + CHOOSE(CONTROL!$C$27, 0.0021, 0)</f>
        <v>40.747599999999998</v>
      </c>
      <c r="I250" s="17">
        <f>40.7455 * CHOOSE(CONTROL!$C$9, $D$9, 100%, $F$9) + CHOOSE(CONTROL!$C$27, 0.0021, 0)</f>
        <v>40.747599999999998</v>
      </c>
      <c r="J250" s="17">
        <f>40.7455 * CHOOSE(CONTROL!$C$9, $D$9, 100%, $F$9) + CHOOSE(CONTROL!$C$27, 0.0021, 0)</f>
        <v>40.747599999999998</v>
      </c>
      <c r="K250" s="17">
        <f>40.7455 * CHOOSE(CONTROL!$C$9, $D$9, 100%, $F$9) + CHOOSE(CONTROL!$C$27, 0.0021, 0)</f>
        <v>40.747599999999998</v>
      </c>
      <c r="L250" s="17"/>
    </row>
    <row r="251" spans="1:12" ht="15" x14ac:dyDescent="0.2">
      <c r="A251" s="16">
        <v>48549</v>
      </c>
      <c r="B251" s="17">
        <f>40.4153 * CHOOSE(CONTROL!$C$9, $D$9, 100%, $F$9) + CHOOSE(CONTROL!$C$27, 0.0021, 0)</f>
        <v>40.417400000000001</v>
      </c>
      <c r="C251" s="17">
        <f>39.9831 * CHOOSE(CONTROL!$C$9, $D$9, 100%, $F$9) + CHOOSE(CONTROL!$C$27, 0.0021, 0)</f>
        <v>39.985199999999999</v>
      </c>
      <c r="D251" s="17">
        <f>39.9831 * CHOOSE(CONTROL!$C$9, $D$9, 100%, $F$9) + CHOOSE(CONTROL!$C$27, 0.0021, 0)</f>
        <v>39.985199999999999</v>
      </c>
      <c r="E251" s="17">
        <f>39.8464 * CHOOSE(CONTROL!$C$9, $D$9, 100%, $F$9) + CHOOSE(CONTROL!$C$27, 0.0021, 0)</f>
        <v>39.848500000000001</v>
      </c>
      <c r="F251" s="17">
        <f>39.8464 * CHOOSE(CONTROL!$C$9, $D$9, 100%, $F$9) + CHOOSE(CONTROL!$C$27, 0.0021, 0)</f>
        <v>39.848500000000001</v>
      </c>
      <c r="G251" s="17">
        <f>40.1178 * CHOOSE(CONTROL!$C$9, $D$9, 100%, $F$9) + CHOOSE(CONTROL!$C$27, 0.0021, 0)</f>
        <v>40.119900000000001</v>
      </c>
      <c r="H251" s="17">
        <f>39.9831 * CHOOSE(CONTROL!$C$9, $D$9, 100%, $F$9) + CHOOSE(CONTROL!$C$27, 0.0021, 0)</f>
        <v>39.985199999999999</v>
      </c>
      <c r="I251" s="17">
        <f>39.9831 * CHOOSE(CONTROL!$C$9, $D$9, 100%, $F$9) + CHOOSE(CONTROL!$C$27, 0.0021, 0)</f>
        <v>39.985199999999999</v>
      </c>
      <c r="J251" s="17">
        <f>39.9831 * CHOOSE(CONTROL!$C$9, $D$9, 100%, $F$9) + CHOOSE(CONTROL!$C$27, 0.0021, 0)</f>
        <v>39.985199999999999</v>
      </c>
      <c r="K251" s="17">
        <f>39.9831 * CHOOSE(CONTROL!$C$9, $D$9, 100%, $F$9) + CHOOSE(CONTROL!$C$27, 0.0021, 0)</f>
        <v>39.985199999999999</v>
      </c>
      <c r="L251" s="17"/>
    </row>
    <row r="252" spans="1:12" ht="15" x14ac:dyDescent="0.2">
      <c r="A252" s="16">
        <v>48580</v>
      </c>
      <c r="B252" s="17">
        <f>39.9334 * CHOOSE(CONTROL!$C$9, $D$9, 100%, $F$9) + CHOOSE(CONTROL!$C$27, 0.0021, 0)</f>
        <v>39.935499999999998</v>
      </c>
      <c r="C252" s="17">
        <f>39.5012 * CHOOSE(CONTROL!$C$9, $D$9, 100%, $F$9) + CHOOSE(CONTROL!$C$27, 0.0021, 0)</f>
        <v>39.503299999999996</v>
      </c>
      <c r="D252" s="17">
        <f>39.5012 * CHOOSE(CONTROL!$C$9, $D$9, 100%, $F$9) + CHOOSE(CONTROL!$C$27, 0.0021, 0)</f>
        <v>39.503299999999996</v>
      </c>
      <c r="E252" s="17">
        <f>39.3645 * CHOOSE(CONTROL!$C$9, $D$9, 100%, $F$9) + CHOOSE(CONTROL!$C$27, 0.0021, 0)</f>
        <v>39.366599999999998</v>
      </c>
      <c r="F252" s="17">
        <f>39.3645 * CHOOSE(CONTROL!$C$9, $D$9, 100%, $F$9) + CHOOSE(CONTROL!$C$27, 0.0021, 0)</f>
        <v>39.366599999999998</v>
      </c>
      <c r="G252" s="17">
        <f>39.6359 * CHOOSE(CONTROL!$C$9, $D$9, 100%, $F$9) + CHOOSE(CONTROL!$C$27, 0.0021, 0)</f>
        <v>39.637999999999998</v>
      </c>
      <c r="H252" s="17">
        <f>39.5012 * CHOOSE(CONTROL!$C$9, $D$9, 100%, $F$9) + CHOOSE(CONTROL!$C$27, 0.0021, 0)</f>
        <v>39.503299999999996</v>
      </c>
      <c r="I252" s="17">
        <f>39.5012 * CHOOSE(CONTROL!$C$9, $D$9, 100%, $F$9) + CHOOSE(CONTROL!$C$27, 0.0021, 0)</f>
        <v>39.503299999999996</v>
      </c>
      <c r="J252" s="17">
        <f>39.5012 * CHOOSE(CONTROL!$C$9, $D$9, 100%, $F$9) + CHOOSE(CONTROL!$C$27, 0.0021, 0)</f>
        <v>39.503299999999996</v>
      </c>
      <c r="K252" s="17">
        <f>39.5012 * CHOOSE(CONTROL!$C$9, $D$9, 100%, $F$9) + CHOOSE(CONTROL!$C$27, 0.0021, 0)</f>
        <v>39.503299999999996</v>
      </c>
      <c r="L252" s="17"/>
    </row>
    <row r="253" spans="1:12" ht="15" x14ac:dyDescent="0.2">
      <c r="A253" s="16">
        <v>48611</v>
      </c>
      <c r="B253" s="17">
        <f>38.8687 * CHOOSE(CONTROL!$C$9, $D$9, 100%, $F$9) + CHOOSE(CONTROL!$C$27, 0.0021, 0)</f>
        <v>38.870799999999996</v>
      </c>
      <c r="C253" s="17">
        <f>38.4365 * CHOOSE(CONTROL!$C$9, $D$9, 100%, $F$9) + CHOOSE(CONTROL!$C$27, 0.0021, 0)</f>
        <v>38.438600000000001</v>
      </c>
      <c r="D253" s="17">
        <f>38.4365 * CHOOSE(CONTROL!$C$9, $D$9, 100%, $F$9) + CHOOSE(CONTROL!$C$27, 0.0021, 0)</f>
        <v>38.438600000000001</v>
      </c>
      <c r="E253" s="17">
        <f>38.2998 * CHOOSE(CONTROL!$C$9, $D$9, 100%, $F$9) + CHOOSE(CONTROL!$C$27, 0.0021, 0)</f>
        <v>38.301899999999996</v>
      </c>
      <c r="F253" s="17">
        <f>38.2998 * CHOOSE(CONTROL!$C$9, $D$9, 100%, $F$9) + CHOOSE(CONTROL!$C$27, 0.0021, 0)</f>
        <v>38.301899999999996</v>
      </c>
      <c r="G253" s="17">
        <f>38.5712 * CHOOSE(CONTROL!$C$9, $D$9, 100%, $F$9) + CHOOSE(CONTROL!$C$27, 0.0021, 0)</f>
        <v>38.573299999999996</v>
      </c>
      <c r="H253" s="17">
        <f>38.4365 * CHOOSE(CONTROL!$C$9, $D$9, 100%, $F$9) + CHOOSE(CONTROL!$C$27, 0.0021, 0)</f>
        <v>38.438600000000001</v>
      </c>
      <c r="I253" s="17">
        <f>38.4365 * CHOOSE(CONTROL!$C$9, $D$9, 100%, $F$9) + CHOOSE(CONTROL!$C$27, 0.0021, 0)</f>
        <v>38.438600000000001</v>
      </c>
      <c r="J253" s="17">
        <f>38.4365 * CHOOSE(CONTROL!$C$9, $D$9, 100%, $F$9) + CHOOSE(CONTROL!$C$27, 0.0021, 0)</f>
        <v>38.438600000000001</v>
      </c>
      <c r="K253" s="17">
        <f>38.4365 * CHOOSE(CONTROL!$C$9, $D$9, 100%, $F$9) + CHOOSE(CONTROL!$C$27, 0.0021, 0)</f>
        <v>38.438600000000001</v>
      </c>
      <c r="L253" s="17"/>
    </row>
    <row r="254" spans="1:12" ht="15" x14ac:dyDescent="0.2">
      <c r="A254" s="16">
        <v>48639</v>
      </c>
      <c r="B254" s="17">
        <f>38.4292 * CHOOSE(CONTROL!$C$9, $D$9, 100%, $F$9) + CHOOSE(CONTROL!$C$27, 0.0021, 0)</f>
        <v>38.4313</v>
      </c>
      <c r="C254" s="17">
        <f>37.997 * CHOOSE(CONTROL!$C$9, $D$9, 100%, $F$9) + CHOOSE(CONTROL!$C$27, 0.0021, 0)</f>
        <v>37.999099999999999</v>
      </c>
      <c r="D254" s="17">
        <f>37.997 * CHOOSE(CONTROL!$C$9, $D$9, 100%, $F$9) + CHOOSE(CONTROL!$C$27, 0.0021, 0)</f>
        <v>37.999099999999999</v>
      </c>
      <c r="E254" s="17">
        <f>37.8603 * CHOOSE(CONTROL!$C$9, $D$9, 100%, $F$9) + CHOOSE(CONTROL!$C$27, 0.0021, 0)</f>
        <v>37.862400000000001</v>
      </c>
      <c r="F254" s="17">
        <f>37.8603 * CHOOSE(CONTROL!$C$9, $D$9, 100%, $F$9) + CHOOSE(CONTROL!$C$27, 0.0021, 0)</f>
        <v>37.862400000000001</v>
      </c>
      <c r="G254" s="17">
        <f>38.1317 * CHOOSE(CONTROL!$C$9, $D$9, 100%, $F$9) + CHOOSE(CONTROL!$C$27, 0.0021, 0)</f>
        <v>38.133800000000001</v>
      </c>
      <c r="H254" s="17">
        <f>37.997 * CHOOSE(CONTROL!$C$9, $D$9, 100%, $F$9) + CHOOSE(CONTROL!$C$27, 0.0021, 0)</f>
        <v>37.999099999999999</v>
      </c>
      <c r="I254" s="17">
        <f>37.997 * CHOOSE(CONTROL!$C$9, $D$9, 100%, $F$9) + CHOOSE(CONTROL!$C$27, 0.0021, 0)</f>
        <v>37.999099999999999</v>
      </c>
      <c r="J254" s="17">
        <f>37.997 * CHOOSE(CONTROL!$C$9, $D$9, 100%, $F$9) + CHOOSE(CONTROL!$C$27, 0.0021, 0)</f>
        <v>37.999099999999999</v>
      </c>
      <c r="K254" s="17">
        <f>37.997 * CHOOSE(CONTROL!$C$9, $D$9, 100%, $F$9) + CHOOSE(CONTROL!$C$27, 0.0021, 0)</f>
        <v>37.999099999999999</v>
      </c>
      <c r="L254" s="17"/>
    </row>
    <row r="255" spans="1:12" ht="15" x14ac:dyDescent="0.2">
      <c r="A255" s="16">
        <v>48670</v>
      </c>
      <c r="B255" s="17">
        <f>37.9044 * CHOOSE(CONTROL!$C$9, $D$9, 100%, $F$9) + CHOOSE(CONTROL!$C$27, 0.0021, 0)</f>
        <v>37.906500000000001</v>
      </c>
      <c r="C255" s="17">
        <f>37.4722 * CHOOSE(CONTROL!$C$9, $D$9, 100%, $F$9) + CHOOSE(CONTROL!$C$27, 0.0021, 0)</f>
        <v>37.474299999999999</v>
      </c>
      <c r="D255" s="17">
        <f>37.4722 * CHOOSE(CONTROL!$C$9, $D$9, 100%, $F$9) + CHOOSE(CONTROL!$C$27, 0.0021, 0)</f>
        <v>37.474299999999999</v>
      </c>
      <c r="E255" s="17">
        <f>37.3355 * CHOOSE(CONTROL!$C$9, $D$9, 100%, $F$9) + CHOOSE(CONTROL!$C$27, 0.0021, 0)</f>
        <v>37.337600000000002</v>
      </c>
      <c r="F255" s="17">
        <f>37.3355 * CHOOSE(CONTROL!$C$9, $D$9, 100%, $F$9) + CHOOSE(CONTROL!$C$27, 0.0021, 0)</f>
        <v>37.337600000000002</v>
      </c>
      <c r="G255" s="17">
        <f>37.6069 * CHOOSE(CONTROL!$C$9, $D$9, 100%, $F$9) + CHOOSE(CONTROL!$C$27, 0.0021, 0)</f>
        <v>37.609000000000002</v>
      </c>
      <c r="H255" s="17">
        <f>37.4722 * CHOOSE(CONTROL!$C$9, $D$9, 100%, $F$9) + CHOOSE(CONTROL!$C$27, 0.0021, 0)</f>
        <v>37.474299999999999</v>
      </c>
      <c r="I255" s="17">
        <f>37.4722 * CHOOSE(CONTROL!$C$9, $D$9, 100%, $F$9) + CHOOSE(CONTROL!$C$27, 0.0021, 0)</f>
        <v>37.474299999999999</v>
      </c>
      <c r="J255" s="17">
        <f>37.4722 * CHOOSE(CONTROL!$C$9, $D$9, 100%, $F$9) + CHOOSE(CONTROL!$C$27, 0.0021, 0)</f>
        <v>37.474299999999999</v>
      </c>
      <c r="K255" s="17">
        <f>37.4722 * CHOOSE(CONTROL!$C$9, $D$9, 100%, $F$9) + CHOOSE(CONTROL!$C$27, 0.0021, 0)</f>
        <v>37.474299999999999</v>
      </c>
      <c r="L255" s="17"/>
    </row>
    <row r="256" spans="1:12" ht="15" x14ac:dyDescent="0.2">
      <c r="A256" s="16">
        <v>48700</v>
      </c>
      <c r="B256" s="17">
        <f>38.6523 * CHOOSE(CONTROL!$C$9, $D$9, 100%, $F$9) + CHOOSE(CONTROL!$C$27, 0.0021, 0)</f>
        <v>38.654399999999995</v>
      </c>
      <c r="C256" s="17">
        <f>38.22 * CHOOSE(CONTROL!$C$9, $D$9, 100%, $F$9) + CHOOSE(CONTROL!$C$27, 0.0021, 0)</f>
        <v>38.222099999999998</v>
      </c>
      <c r="D256" s="17">
        <f>38.22 * CHOOSE(CONTROL!$C$9, $D$9, 100%, $F$9) + CHOOSE(CONTROL!$C$27, 0.0021, 0)</f>
        <v>38.222099999999998</v>
      </c>
      <c r="E256" s="17">
        <f>38.0834 * CHOOSE(CONTROL!$C$9, $D$9, 100%, $F$9) + CHOOSE(CONTROL!$C$27, 0.0021, 0)</f>
        <v>38.085499999999996</v>
      </c>
      <c r="F256" s="17">
        <f>38.0834 * CHOOSE(CONTROL!$C$9, $D$9, 100%, $F$9) + CHOOSE(CONTROL!$C$27, 0.0021, 0)</f>
        <v>38.085499999999996</v>
      </c>
      <c r="G256" s="17">
        <f>38.3548 * CHOOSE(CONTROL!$C$9, $D$9, 100%, $F$9) + CHOOSE(CONTROL!$C$27, 0.0021, 0)</f>
        <v>38.356899999999996</v>
      </c>
      <c r="H256" s="17">
        <f>38.22 * CHOOSE(CONTROL!$C$9, $D$9, 100%, $F$9) + CHOOSE(CONTROL!$C$27, 0.0021, 0)</f>
        <v>38.222099999999998</v>
      </c>
      <c r="I256" s="17">
        <f>38.22 * CHOOSE(CONTROL!$C$9, $D$9, 100%, $F$9) + CHOOSE(CONTROL!$C$27, 0.0021, 0)</f>
        <v>38.222099999999998</v>
      </c>
      <c r="J256" s="17">
        <f>38.22 * CHOOSE(CONTROL!$C$9, $D$9, 100%, $F$9) + CHOOSE(CONTROL!$C$27, 0.0021, 0)</f>
        <v>38.222099999999998</v>
      </c>
      <c r="K256" s="17">
        <f>38.22 * CHOOSE(CONTROL!$C$9, $D$9, 100%, $F$9) + CHOOSE(CONTROL!$C$27, 0.0021, 0)</f>
        <v>38.222099999999998</v>
      </c>
      <c r="L256" s="17"/>
    </row>
    <row r="257" spans="1:12" ht="15" x14ac:dyDescent="0.2">
      <c r="A257" s="16">
        <v>48731</v>
      </c>
      <c r="B257" s="17">
        <f>39.1002 * CHOOSE(CONTROL!$C$9, $D$9, 100%, $F$9) + CHOOSE(CONTROL!$C$27, 0.0021, 0)</f>
        <v>39.1023</v>
      </c>
      <c r="C257" s="17">
        <f>38.668 * CHOOSE(CONTROL!$C$9, $D$9, 100%, $F$9) + CHOOSE(CONTROL!$C$27, 0.0021, 0)</f>
        <v>38.670099999999998</v>
      </c>
      <c r="D257" s="17">
        <f>38.668 * CHOOSE(CONTROL!$C$9, $D$9, 100%, $F$9) + CHOOSE(CONTROL!$C$27, 0.0021, 0)</f>
        <v>38.670099999999998</v>
      </c>
      <c r="E257" s="17">
        <f>38.5313 * CHOOSE(CONTROL!$C$9, $D$9, 100%, $F$9) + CHOOSE(CONTROL!$C$27, 0.0021, 0)</f>
        <v>38.5334</v>
      </c>
      <c r="F257" s="17">
        <f>38.5313 * CHOOSE(CONTROL!$C$9, $D$9, 100%, $F$9) + CHOOSE(CONTROL!$C$27, 0.0021, 0)</f>
        <v>38.5334</v>
      </c>
      <c r="G257" s="17">
        <f>38.8027 * CHOOSE(CONTROL!$C$9, $D$9, 100%, $F$9) + CHOOSE(CONTROL!$C$27, 0.0021, 0)</f>
        <v>38.8048</v>
      </c>
      <c r="H257" s="17">
        <f>38.668 * CHOOSE(CONTROL!$C$9, $D$9, 100%, $F$9) + CHOOSE(CONTROL!$C$27, 0.0021, 0)</f>
        <v>38.670099999999998</v>
      </c>
      <c r="I257" s="17">
        <f>38.668 * CHOOSE(CONTROL!$C$9, $D$9, 100%, $F$9) + CHOOSE(CONTROL!$C$27, 0.0021, 0)</f>
        <v>38.670099999999998</v>
      </c>
      <c r="J257" s="17">
        <f>38.668 * CHOOSE(CONTROL!$C$9, $D$9, 100%, $F$9) + CHOOSE(CONTROL!$C$27, 0.0021, 0)</f>
        <v>38.670099999999998</v>
      </c>
      <c r="K257" s="17">
        <f>38.668 * CHOOSE(CONTROL!$C$9, $D$9, 100%, $F$9) + CHOOSE(CONTROL!$C$27, 0.0021, 0)</f>
        <v>38.670099999999998</v>
      </c>
      <c r="L257" s="17"/>
    </row>
    <row r="258" spans="1:12" ht="15" x14ac:dyDescent="0.2">
      <c r="A258" s="16">
        <v>48761</v>
      </c>
      <c r="B258" s="17">
        <f>39.8392 * CHOOSE(CONTROL!$C$9, $D$9, 100%, $F$9) + CHOOSE(CONTROL!$C$27, 0.0021, 0)</f>
        <v>39.841299999999997</v>
      </c>
      <c r="C258" s="17">
        <f>39.4069 * CHOOSE(CONTROL!$C$9, $D$9, 100%, $F$9) + CHOOSE(CONTROL!$C$27, 0.0021, 0)</f>
        <v>39.408999999999999</v>
      </c>
      <c r="D258" s="17">
        <f>39.4069 * CHOOSE(CONTROL!$C$9, $D$9, 100%, $F$9) + CHOOSE(CONTROL!$C$27, 0.0021, 0)</f>
        <v>39.408999999999999</v>
      </c>
      <c r="E258" s="17">
        <f>39.2703 * CHOOSE(CONTROL!$C$9, $D$9, 100%, $F$9) + CHOOSE(CONTROL!$C$27, 0.0021, 0)</f>
        <v>39.272399999999998</v>
      </c>
      <c r="F258" s="17">
        <f>39.2703 * CHOOSE(CONTROL!$C$9, $D$9, 100%, $F$9) + CHOOSE(CONTROL!$C$27, 0.0021, 0)</f>
        <v>39.272399999999998</v>
      </c>
      <c r="G258" s="17">
        <f>39.5417 * CHOOSE(CONTROL!$C$9, $D$9, 100%, $F$9) + CHOOSE(CONTROL!$C$27, 0.0021, 0)</f>
        <v>39.543799999999997</v>
      </c>
      <c r="H258" s="17">
        <f>39.4069 * CHOOSE(CONTROL!$C$9, $D$9, 100%, $F$9) + CHOOSE(CONTROL!$C$27, 0.0021, 0)</f>
        <v>39.408999999999999</v>
      </c>
      <c r="I258" s="17">
        <f>39.4069 * CHOOSE(CONTROL!$C$9, $D$9, 100%, $F$9) + CHOOSE(CONTROL!$C$27, 0.0021, 0)</f>
        <v>39.408999999999999</v>
      </c>
      <c r="J258" s="17">
        <f>39.4069 * CHOOSE(CONTROL!$C$9, $D$9, 100%, $F$9) + CHOOSE(CONTROL!$C$27, 0.0021, 0)</f>
        <v>39.408999999999999</v>
      </c>
      <c r="K258" s="17">
        <f>39.4069 * CHOOSE(CONTROL!$C$9, $D$9, 100%, $F$9) + CHOOSE(CONTROL!$C$27, 0.0021, 0)</f>
        <v>39.408999999999999</v>
      </c>
      <c r="L258" s="17"/>
    </row>
    <row r="259" spans="1:12" ht="15" x14ac:dyDescent="0.2">
      <c r="A259" s="16">
        <v>48792</v>
      </c>
      <c r="B259" s="17">
        <f>40.0647 * CHOOSE(CONTROL!$C$9, $D$9, 100%, $F$9) + CHOOSE(CONTROL!$C$27, 0.0021, 0)</f>
        <v>40.066800000000001</v>
      </c>
      <c r="C259" s="17">
        <f>39.6325 * CHOOSE(CONTROL!$C$9, $D$9, 100%, $F$9) + CHOOSE(CONTROL!$C$27, 0.0021, 0)</f>
        <v>39.634599999999999</v>
      </c>
      <c r="D259" s="17">
        <f>39.6325 * CHOOSE(CONTROL!$C$9, $D$9, 100%, $F$9) + CHOOSE(CONTROL!$C$27, 0.0021, 0)</f>
        <v>39.634599999999999</v>
      </c>
      <c r="E259" s="17">
        <f>39.4958 * CHOOSE(CONTROL!$C$9, $D$9, 100%, $F$9) + CHOOSE(CONTROL!$C$27, 0.0021, 0)</f>
        <v>39.497900000000001</v>
      </c>
      <c r="F259" s="17">
        <f>39.4958 * CHOOSE(CONTROL!$C$9, $D$9, 100%, $F$9) + CHOOSE(CONTROL!$C$27, 0.0021, 0)</f>
        <v>39.497900000000001</v>
      </c>
      <c r="G259" s="17">
        <f>39.7672 * CHOOSE(CONTROL!$C$9, $D$9, 100%, $F$9) + CHOOSE(CONTROL!$C$27, 0.0021, 0)</f>
        <v>39.769300000000001</v>
      </c>
      <c r="H259" s="17">
        <f>39.6325 * CHOOSE(CONTROL!$C$9, $D$9, 100%, $F$9) + CHOOSE(CONTROL!$C$27, 0.0021, 0)</f>
        <v>39.634599999999999</v>
      </c>
      <c r="I259" s="17">
        <f>39.6325 * CHOOSE(CONTROL!$C$9, $D$9, 100%, $F$9) + CHOOSE(CONTROL!$C$27, 0.0021, 0)</f>
        <v>39.634599999999999</v>
      </c>
      <c r="J259" s="17">
        <f>39.6325 * CHOOSE(CONTROL!$C$9, $D$9, 100%, $F$9) + CHOOSE(CONTROL!$C$27, 0.0021, 0)</f>
        <v>39.634599999999999</v>
      </c>
      <c r="K259" s="17">
        <f>39.6325 * CHOOSE(CONTROL!$C$9, $D$9, 100%, $F$9) + CHOOSE(CONTROL!$C$27, 0.0021, 0)</f>
        <v>39.634599999999999</v>
      </c>
      <c r="L259" s="17"/>
    </row>
    <row r="260" spans="1:12" ht="15" x14ac:dyDescent="0.2">
      <c r="A260" s="16">
        <v>48823</v>
      </c>
      <c r="B260" s="17">
        <f>40.8328 * CHOOSE(CONTROL!$C$9, $D$9, 100%, $F$9) + CHOOSE(CONTROL!$C$27, 0.0021, 0)</f>
        <v>40.834899999999998</v>
      </c>
      <c r="C260" s="17">
        <f>40.4006 * CHOOSE(CONTROL!$C$9, $D$9, 100%, $F$9) + CHOOSE(CONTROL!$C$27, 0.0021, 0)</f>
        <v>40.402699999999996</v>
      </c>
      <c r="D260" s="17">
        <f>40.4006 * CHOOSE(CONTROL!$C$9, $D$9, 100%, $F$9) + CHOOSE(CONTROL!$C$27, 0.0021, 0)</f>
        <v>40.402699999999996</v>
      </c>
      <c r="E260" s="17">
        <f>40.2639 * CHOOSE(CONTROL!$C$9, $D$9, 100%, $F$9) + CHOOSE(CONTROL!$C$27, 0.0021, 0)</f>
        <v>40.265999999999998</v>
      </c>
      <c r="F260" s="17">
        <f>40.2639 * CHOOSE(CONTROL!$C$9, $D$9, 100%, $F$9) + CHOOSE(CONTROL!$C$27, 0.0021, 0)</f>
        <v>40.265999999999998</v>
      </c>
      <c r="G260" s="17">
        <f>40.5353 * CHOOSE(CONTROL!$C$9, $D$9, 100%, $F$9) + CHOOSE(CONTROL!$C$27, 0.0021, 0)</f>
        <v>40.537399999999998</v>
      </c>
      <c r="H260" s="17">
        <f>40.4006 * CHOOSE(CONTROL!$C$9, $D$9, 100%, $F$9) + CHOOSE(CONTROL!$C$27, 0.0021, 0)</f>
        <v>40.402699999999996</v>
      </c>
      <c r="I260" s="17">
        <f>40.4006 * CHOOSE(CONTROL!$C$9, $D$9, 100%, $F$9) + CHOOSE(CONTROL!$C$27, 0.0021, 0)</f>
        <v>40.402699999999996</v>
      </c>
      <c r="J260" s="17">
        <f>40.4006 * CHOOSE(CONTROL!$C$9, $D$9, 100%, $F$9) + CHOOSE(CONTROL!$C$27, 0.0021, 0)</f>
        <v>40.402699999999996</v>
      </c>
      <c r="K260" s="17">
        <f>40.4006 * CHOOSE(CONTROL!$C$9, $D$9, 100%, $F$9) + CHOOSE(CONTROL!$C$27, 0.0021, 0)</f>
        <v>40.402699999999996</v>
      </c>
      <c r="L260" s="17"/>
    </row>
    <row r="261" spans="1:12" ht="15" x14ac:dyDescent="0.2">
      <c r="A261" s="16">
        <v>48853</v>
      </c>
      <c r="B261" s="17">
        <f>41.8051 * CHOOSE(CONTROL!$C$9, $D$9, 100%, $F$9) + CHOOSE(CONTROL!$C$27, 0.0021, 0)</f>
        <v>41.807200000000002</v>
      </c>
      <c r="C261" s="17">
        <f>41.3729 * CHOOSE(CONTROL!$C$9, $D$9, 100%, $F$9) + CHOOSE(CONTROL!$C$27, 0.0021, 0)</f>
        <v>41.375</v>
      </c>
      <c r="D261" s="17">
        <f>41.3729 * CHOOSE(CONTROL!$C$9, $D$9, 100%, $F$9) + CHOOSE(CONTROL!$C$27, 0.0021, 0)</f>
        <v>41.375</v>
      </c>
      <c r="E261" s="17">
        <f>41.2362 * CHOOSE(CONTROL!$C$9, $D$9, 100%, $F$9) + CHOOSE(CONTROL!$C$27, 0.0021, 0)</f>
        <v>41.238299999999995</v>
      </c>
      <c r="F261" s="17">
        <f>41.2362 * CHOOSE(CONTROL!$C$9, $D$9, 100%, $F$9) + CHOOSE(CONTROL!$C$27, 0.0021, 0)</f>
        <v>41.238299999999995</v>
      </c>
      <c r="G261" s="17">
        <f>41.5076 * CHOOSE(CONTROL!$C$9, $D$9, 100%, $F$9) + CHOOSE(CONTROL!$C$27, 0.0021, 0)</f>
        <v>41.509699999999995</v>
      </c>
      <c r="H261" s="17">
        <f>41.3729 * CHOOSE(CONTROL!$C$9, $D$9, 100%, $F$9) + CHOOSE(CONTROL!$C$27, 0.0021, 0)</f>
        <v>41.375</v>
      </c>
      <c r="I261" s="17">
        <f>41.3729 * CHOOSE(CONTROL!$C$9, $D$9, 100%, $F$9) + CHOOSE(CONTROL!$C$27, 0.0021, 0)</f>
        <v>41.375</v>
      </c>
      <c r="J261" s="17">
        <f>41.3729 * CHOOSE(CONTROL!$C$9, $D$9, 100%, $F$9) + CHOOSE(CONTROL!$C$27, 0.0021, 0)</f>
        <v>41.375</v>
      </c>
      <c r="K261" s="17">
        <f>41.3729 * CHOOSE(CONTROL!$C$9, $D$9, 100%, $F$9) + CHOOSE(CONTROL!$C$27, 0.0021, 0)</f>
        <v>41.375</v>
      </c>
      <c r="L261" s="17"/>
    </row>
    <row r="262" spans="1:12" ht="15" x14ac:dyDescent="0.2">
      <c r="A262" s="16">
        <v>48884</v>
      </c>
      <c r="B262" s="17">
        <f>41.8964 * CHOOSE(CONTROL!$C$9, $D$9, 100%, $F$9) + CHOOSE(CONTROL!$C$27, 0.0021, 0)</f>
        <v>41.898499999999999</v>
      </c>
      <c r="C262" s="17">
        <f>41.4641 * CHOOSE(CONTROL!$C$9, $D$9, 100%, $F$9) + CHOOSE(CONTROL!$C$27, 0.0021, 0)</f>
        <v>41.466200000000001</v>
      </c>
      <c r="D262" s="17">
        <f>41.4641 * CHOOSE(CONTROL!$C$9, $D$9, 100%, $F$9) + CHOOSE(CONTROL!$C$27, 0.0021, 0)</f>
        <v>41.466200000000001</v>
      </c>
      <c r="E262" s="17">
        <f>41.3275 * CHOOSE(CONTROL!$C$9, $D$9, 100%, $F$9) + CHOOSE(CONTROL!$C$27, 0.0021, 0)</f>
        <v>41.329599999999999</v>
      </c>
      <c r="F262" s="17">
        <f>41.3275 * CHOOSE(CONTROL!$C$9, $D$9, 100%, $F$9) + CHOOSE(CONTROL!$C$27, 0.0021, 0)</f>
        <v>41.329599999999999</v>
      </c>
      <c r="G262" s="17">
        <f>41.5989 * CHOOSE(CONTROL!$C$9, $D$9, 100%, $F$9) + CHOOSE(CONTROL!$C$27, 0.0021, 0)</f>
        <v>41.600999999999999</v>
      </c>
      <c r="H262" s="17">
        <f>41.4641 * CHOOSE(CONTROL!$C$9, $D$9, 100%, $F$9) + CHOOSE(CONTROL!$C$27, 0.0021, 0)</f>
        <v>41.466200000000001</v>
      </c>
      <c r="I262" s="17">
        <f>41.4641 * CHOOSE(CONTROL!$C$9, $D$9, 100%, $F$9) + CHOOSE(CONTROL!$C$27, 0.0021, 0)</f>
        <v>41.466200000000001</v>
      </c>
      <c r="J262" s="17">
        <f>41.4641 * CHOOSE(CONTROL!$C$9, $D$9, 100%, $F$9) + CHOOSE(CONTROL!$C$27, 0.0021, 0)</f>
        <v>41.466200000000001</v>
      </c>
      <c r="K262" s="17">
        <f>41.4641 * CHOOSE(CONTROL!$C$9, $D$9, 100%, $F$9) + CHOOSE(CONTROL!$C$27, 0.0021, 0)</f>
        <v>41.466200000000001</v>
      </c>
      <c r="L262" s="17"/>
    </row>
    <row r="263" spans="1:12" ht="15" x14ac:dyDescent="0.2">
      <c r="A263" s="16">
        <v>48914</v>
      </c>
      <c r="B263" s="17">
        <f>41.1198 * CHOOSE(CONTROL!$C$9, $D$9, 100%, $F$9) + CHOOSE(CONTROL!$C$27, 0.0021, 0)</f>
        <v>41.121899999999997</v>
      </c>
      <c r="C263" s="17">
        <f>40.6876 * CHOOSE(CONTROL!$C$9, $D$9, 100%, $F$9) + CHOOSE(CONTROL!$C$27, 0.0021, 0)</f>
        <v>40.689700000000002</v>
      </c>
      <c r="D263" s="17">
        <f>40.6876 * CHOOSE(CONTROL!$C$9, $D$9, 100%, $F$9) + CHOOSE(CONTROL!$C$27, 0.0021, 0)</f>
        <v>40.689700000000002</v>
      </c>
      <c r="E263" s="17">
        <f>40.5509 * CHOOSE(CONTROL!$C$9, $D$9, 100%, $F$9) + CHOOSE(CONTROL!$C$27, 0.0021, 0)</f>
        <v>40.552999999999997</v>
      </c>
      <c r="F263" s="17">
        <f>40.5509 * CHOOSE(CONTROL!$C$9, $D$9, 100%, $F$9) + CHOOSE(CONTROL!$C$27, 0.0021, 0)</f>
        <v>40.552999999999997</v>
      </c>
      <c r="G263" s="17">
        <f>40.8223 * CHOOSE(CONTROL!$C$9, $D$9, 100%, $F$9) + CHOOSE(CONTROL!$C$27, 0.0021, 0)</f>
        <v>40.824399999999997</v>
      </c>
      <c r="H263" s="17">
        <f>40.6876 * CHOOSE(CONTROL!$C$9, $D$9, 100%, $F$9) + CHOOSE(CONTROL!$C$27, 0.0021, 0)</f>
        <v>40.689700000000002</v>
      </c>
      <c r="I263" s="17">
        <f>40.6876 * CHOOSE(CONTROL!$C$9, $D$9, 100%, $F$9) + CHOOSE(CONTROL!$C$27, 0.0021, 0)</f>
        <v>40.689700000000002</v>
      </c>
      <c r="J263" s="17">
        <f>40.6876 * CHOOSE(CONTROL!$C$9, $D$9, 100%, $F$9) + CHOOSE(CONTROL!$C$27, 0.0021, 0)</f>
        <v>40.689700000000002</v>
      </c>
      <c r="K263" s="17">
        <f>40.6876 * CHOOSE(CONTROL!$C$9, $D$9, 100%, $F$9) + CHOOSE(CONTROL!$C$27, 0.0021, 0)</f>
        <v>40.689700000000002</v>
      </c>
      <c r="L263" s="17"/>
    </row>
    <row r="264" spans="1:12" ht="15" x14ac:dyDescent="0.2">
      <c r="A264" s="16">
        <v>48945</v>
      </c>
      <c r="B264" s="17">
        <f>40.629 * CHOOSE(CONTROL!$C$9, $D$9, 100%, $F$9) + CHOOSE(CONTROL!$C$27, 0.0021, 0)</f>
        <v>40.631099999999996</v>
      </c>
      <c r="C264" s="17">
        <f>40.1968 * CHOOSE(CONTROL!$C$9, $D$9, 100%, $F$9) + CHOOSE(CONTROL!$C$27, 0.0021, 0)</f>
        <v>40.198900000000002</v>
      </c>
      <c r="D264" s="17">
        <f>40.1968 * CHOOSE(CONTROL!$C$9, $D$9, 100%, $F$9) + CHOOSE(CONTROL!$C$27, 0.0021, 0)</f>
        <v>40.198900000000002</v>
      </c>
      <c r="E264" s="17">
        <f>40.0601 * CHOOSE(CONTROL!$C$9, $D$9, 100%, $F$9) + CHOOSE(CONTROL!$C$27, 0.0021, 0)</f>
        <v>40.062199999999997</v>
      </c>
      <c r="F264" s="17">
        <f>40.0601 * CHOOSE(CONTROL!$C$9, $D$9, 100%, $F$9) + CHOOSE(CONTROL!$C$27, 0.0021, 0)</f>
        <v>40.062199999999997</v>
      </c>
      <c r="G264" s="17">
        <f>40.3315 * CHOOSE(CONTROL!$C$9, $D$9, 100%, $F$9) + CHOOSE(CONTROL!$C$27, 0.0021, 0)</f>
        <v>40.333599999999997</v>
      </c>
      <c r="H264" s="17">
        <f>40.1968 * CHOOSE(CONTROL!$C$9, $D$9, 100%, $F$9) + CHOOSE(CONTROL!$C$27, 0.0021, 0)</f>
        <v>40.198900000000002</v>
      </c>
      <c r="I264" s="17">
        <f>40.1968 * CHOOSE(CONTROL!$C$9, $D$9, 100%, $F$9) + CHOOSE(CONTROL!$C$27, 0.0021, 0)</f>
        <v>40.198900000000002</v>
      </c>
      <c r="J264" s="17">
        <f>40.1968 * CHOOSE(CONTROL!$C$9, $D$9, 100%, $F$9) + CHOOSE(CONTROL!$C$27, 0.0021, 0)</f>
        <v>40.198900000000002</v>
      </c>
      <c r="K264" s="17">
        <f>40.1968 * CHOOSE(CONTROL!$C$9, $D$9, 100%, $F$9) + CHOOSE(CONTROL!$C$27, 0.0021, 0)</f>
        <v>40.198900000000002</v>
      </c>
      <c r="L264" s="17"/>
    </row>
    <row r="265" spans="1:12" ht="15" x14ac:dyDescent="0.2">
      <c r="A265" s="16">
        <v>48976</v>
      </c>
      <c r="B265" s="17">
        <f>39.5447 * CHOOSE(CONTROL!$C$9, $D$9, 100%, $F$9) + CHOOSE(CONTROL!$C$27, 0.0021, 0)</f>
        <v>39.546799999999998</v>
      </c>
      <c r="C265" s="17">
        <f>39.1124 * CHOOSE(CONTROL!$C$9, $D$9, 100%, $F$9) + CHOOSE(CONTROL!$C$27, 0.0021, 0)</f>
        <v>39.1145</v>
      </c>
      <c r="D265" s="17">
        <f>39.1124 * CHOOSE(CONTROL!$C$9, $D$9, 100%, $F$9) + CHOOSE(CONTROL!$C$27, 0.0021, 0)</f>
        <v>39.1145</v>
      </c>
      <c r="E265" s="17">
        <f>38.9758 * CHOOSE(CONTROL!$C$9, $D$9, 100%, $F$9) + CHOOSE(CONTROL!$C$27, 0.0021, 0)</f>
        <v>38.977899999999998</v>
      </c>
      <c r="F265" s="17">
        <f>38.9758 * CHOOSE(CONTROL!$C$9, $D$9, 100%, $F$9) + CHOOSE(CONTROL!$C$27, 0.0021, 0)</f>
        <v>38.977899999999998</v>
      </c>
      <c r="G265" s="17">
        <f>39.2471 * CHOOSE(CONTROL!$C$9, $D$9, 100%, $F$9) + CHOOSE(CONTROL!$C$27, 0.0021, 0)</f>
        <v>39.249200000000002</v>
      </c>
      <c r="H265" s="17">
        <f>39.1124 * CHOOSE(CONTROL!$C$9, $D$9, 100%, $F$9) + CHOOSE(CONTROL!$C$27, 0.0021, 0)</f>
        <v>39.1145</v>
      </c>
      <c r="I265" s="17">
        <f>39.1124 * CHOOSE(CONTROL!$C$9, $D$9, 100%, $F$9) + CHOOSE(CONTROL!$C$27, 0.0021, 0)</f>
        <v>39.1145</v>
      </c>
      <c r="J265" s="17">
        <f>39.1124 * CHOOSE(CONTROL!$C$9, $D$9, 100%, $F$9) + CHOOSE(CONTROL!$C$27, 0.0021, 0)</f>
        <v>39.1145</v>
      </c>
      <c r="K265" s="17">
        <f>39.1124 * CHOOSE(CONTROL!$C$9, $D$9, 100%, $F$9) + CHOOSE(CONTROL!$C$27, 0.0021, 0)</f>
        <v>39.1145</v>
      </c>
      <c r="L265" s="17"/>
    </row>
    <row r="266" spans="1:12" ht="15" x14ac:dyDescent="0.2">
      <c r="A266" s="16">
        <v>49004</v>
      </c>
      <c r="B266" s="17">
        <f>39.097 * CHOOSE(CONTROL!$C$9, $D$9, 100%, $F$9) + CHOOSE(CONTROL!$C$27, 0.0021, 0)</f>
        <v>39.0991</v>
      </c>
      <c r="C266" s="17">
        <f>38.6648 * CHOOSE(CONTROL!$C$9, $D$9, 100%, $F$9) + CHOOSE(CONTROL!$C$27, 0.0021, 0)</f>
        <v>38.666899999999998</v>
      </c>
      <c r="D266" s="17">
        <f>38.6648 * CHOOSE(CONTROL!$C$9, $D$9, 100%, $F$9) + CHOOSE(CONTROL!$C$27, 0.0021, 0)</f>
        <v>38.666899999999998</v>
      </c>
      <c r="E266" s="17">
        <f>38.5281 * CHOOSE(CONTROL!$C$9, $D$9, 100%, $F$9) + CHOOSE(CONTROL!$C$27, 0.0021, 0)</f>
        <v>38.530200000000001</v>
      </c>
      <c r="F266" s="17">
        <f>38.5281 * CHOOSE(CONTROL!$C$9, $D$9, 100%, $F$9) + CHOOSE(CONTROL!$C$27, 0.0021, 0)</f>
        <v>38.530200000000001</v>
      </c>
      <c r="G266" s="17">
        <f>38.7995 * CHOOSE(CONTROL!$C$9, $D$9, 100%, $F$9) + CHOOSE(CONTROL!$C$27, 0.0021, 0)</f>
        <v>38.801600000000001</v>
      </c>
      <c r="H266" s="17">
        <f>38.6648 * CHOOSE(CONTROL!$C$9, $D$9, 100%, $F$9) + CHOOSE(CONTROL!$C$27, 0.0021, 0)</f>
        <v>38.666899999999998</v>
      </c>
      <c r="I266" s="17">
        <f>38.6648 * CHOOSE(CONTROL!$C$9, $D$9, 100%, $F$9) + CHOOSE(CONTROL!$C$27, 0.0021, 0)</f>
        <v>38.666899999999998</v>
      </c>
      <c r="J266" s="17">
        <f>38.6648 * CHOOSE(CONTROL!$C$9, $D$9, 100%, $F$9) + CHOOSE(CONTROL!$C$27, 0.0021, 0)</f>
        <v>38.666899999999998</v>
      </c>
      <c r="K266" s="17">
        <f>38.6648 * CHOOSE(CONTROL!$C$9, $D$9, 100%, $F$9) + CHOOSE(CONTROL!$C$27, 0.0021, 0)</f>
        <v>38.666899999999998</v>
      </c>
      <c r="L266" s="17"/>
    </row>
    <row r="267" spans="1:12" ht="15" x14ac:dyDescent="0.2">
      <c r="A267" s="16">
        <v>49035</v>
      </c>
      <c r="B267" s="17">
        <f>38.5626 * CHOOSE(CONTROL!$C$9, $D$9, 100%, $F$9) + CHOOSE(CONTROL!$C$27, 0.0021, 0)</f>
        <v>38.564700000000002</v>
      </c>
      <c r="C267" s="17">
        <f>38.1303 * CHOOSE(CONTROL!$C$9, $D$9, 100%, $F$9) + CHOOSE(CONTROL!$C$27, 0.0021, 0)</f>
        <v>38.132399999999997</v>
      </c>
      <c r="D267" s="17">
        <f>38.1303 * CHOOSE(CONTROL!$C$9, $D$9, 100%, $F$9) + CHOOSE(CONTROL!$C$27, 0.0021, 0)</f>
        <v>38.132399999999997</v>
      </c>
      <c r="E267" s="17">
        <f>37.9937 * CHOOSE(CONTROL!$C$9, $D$9, 100%, $F$9) + CHOOSE(CONTROL!$C$27, 0.0021, 0)</f>
        <v>37.995799999999996</v>
      </c>
      <c r="F267" s="17">
        <f>37.9937 * CHOOSE(CONTROL!$C$9, $D$9, 100%, $F$9) + CHOOSE(CONTROL!$C$27, 0.0021, 0)</f>
        <v>37.995799999999996</v>
      </c>
      <c r="G267" s="17">
        <f>38.265 * CHOOSE(CONTROL!$C$9, $D$9, 100%, $F$9) + CHOOSE(CONTROL!$C$27, 0.0021, 0)</f>
        <v>38.267099999999999</v>
      </c>
      <c r="H267" s="17">
        <f>38.1303 * CHOOSE(CONTROL!$C$9, $D$9, 100%, $F$9) + CHOOSE(CONTROL!$C$27, 0.0021, 0)</f>
        <v>38.132399999999997</v>
      </c>
      <c r="I267" s="17">
        <f>38.1303 * CHOOSE(CONTROL!$C$9, $D$9, 100%, $F$9) + CHOOSE(CONTROL!$C$27, 0.0021, 0)</f>
        <v>38.132399999999997</v>
      </c>
      <c r="J267" s="17">
        <f>38.1303 * CHOOSE(CONTROL!$C$9, $D$9, 100%, $F$9) + CHOOSE(CONTROL!$C$27, 0.0021, 0)</f>
        <v>38.132399999999997</v>
      </c>
      <c r="K267" s="17">
        <f>38.1303 * CHOOSE(CONTROL!$C$9, $D$9, 100%, $F$9) + CHOOSE(CONTROL!$C$27, 0.0021, 0)</f>
        <v>38.132399999999997</v>
      </c>
      <c r="L267" s="17"/>
    </row>
    <row r="268" spans="1:12" ht="15" x14ac:dyDescent="0.2">
      <c r="A268" s="16">
        <v>49065</v>
      </c>
      <c r="B268" s="17">
        <f>39.3243 * CHOOSE(CONTROL!$C$9, $D$9, 100%, $F$9) + CHOOSE(CONTROL!$C$27, 0.0021, 0)</f>
        <v>39.3264</v>
      </c>
      <c r="C268" s="17">
        <f>38.892 * CHOOSE(CONTROL!$C$9, $D$9, 100%, $F$9) + CHOOSE(CONTROL!$C$27, 0.0021, 0)</f>
        <v>38.894100000000002</v>
      </c>
      <c r="D268" s="17">
        <f>38.892 * CHOOSE(CONTROL!$C$9, $D$9, 100%, $F$9) + CHOOSE(CONTROL!$C$27, 0.0021, 0)</f>
        <v>38.894100000000002</v>
      </c>
      <c r="E268" s="17">
        <f>38.7553 * CHOOSE(CONTROL!$C$9, $D$9, 100%, $F$9) + CHOOSE(CONTROL!$C$27, 0.0021, 0)</f>
        <v>38.757399999999997</v>
      </c>
      <c r="F268" s="17">
        <f>38.7553 * CHOOSE(CONTROL!$C$9, $D$9, 100%, $F$9) + CHOOSE(CONTROL!$C$27, 0.0021, 0)</f>
        <v>38.757399999999997</v>
      </c>
      <c r="G268" s="17">
        <f>39.0267 * CHOOSE(CONTROL!$C$9, $D$9, 100%, $F$9) + CHOOSE(CONTROL!$C$27, 0.0021, 0)</f>
        <v>39.028799999999997</v>
      </c>
      <c r="H268" s="17">
        <f>38.892 * CHOOSE(CONTROL!$C$9, $D$9, 100%, $F$9) + CHOOSE(CONTROL!$C$27, 0.0021, 0)</f>
        <v>38.894100000000002</v>
      </c>
      <c r="I268" s="17">
        <f>38.892 * CHOOSE(CONTROL!$C$9, $D$9, 100%, $F$9) + CHOOSE(CONTROL!$C$27, 0.0021, 0)</f>
        <v>38.894100000000002</v>
      </c>
      <c r="J268" s="17">
        <f>38.892 * CHOOSE(CONTROL!$C$9, $D$9, 100%, $F$9) + CHOOSE(CONTROL!$C$27, 0.0021, 0)</f>
        <v>38.894100000000002</v>
      </c>
      <c r="K268" s="17">
        <f>38.892 * CHOOSE(CONTROL!$C$9, $D$9, 100%, $F$9) + CHOOSE(CONTROL!$C$27, 0.0021, 0)</f>
        <v>38.894100000000002</v>
      </c>
      <c r="L268" s="17"/>
    </row>
    <row r="269" spans="1:12" ht="15" x14ac:dyDescent="0.2">
      <c r="A269" s="16">
        <v>49096</v>
      </c>
      <c r="B269" s="17">
        <f>39.7805 * CHOOSE(CONTROL!$C$9, $D$9, 100%, $F$9) + CHOOSE(CONTROL!$C$27, 0.0021, 0)</f>
        <v>39.782600000000002</v>
      </c>
      <c r="C269" s="17">
        <f>39.3482 * CHOOSE(CONTROL!$C$9, $D$9, 100%, $F$9) + CHOOSE(CONTROL!$C$27, 0.0021, 0)</f>
        <v>39.350299999999997</v>
      </c>
      <c r="D269" s="17">
        <f>39.3482 * CHOOSE(CONTROL!$C$9, $D$9, 100%, $F$9) + CHOOSE(CONTROL!$C$27, 0.0021, 0)</f>
        <v>39.350299999999997</v>
      </c>
      <c r="E269" s="17">
        <f>39.2116 * CHOOSE(CONTROL!$C$9, $D$9, 100%, $F$9) + CHOOSE(CONTROL!$C$27, 0.0021, 0)</f>
        <v>39.213699999999996</v>
      </c>
      <c r="F269" s="17">
        <f>39.2116 * CHOOSE(CONTROL!$C$9, $D$9, 100%, $F$9) + CHOOSE(CONTROL!$C$27, 0.0021, 0)</f>
        <v>39.213699999999996</v>
      </c>
      <c r="G269" s="17">
        <f>39.4829 * CHOOSE(CONTROL!$C$9, $D$9, 100%, $F$9) + CHOOSE(CONTROL!$C$27, 0.0021, 0)</f>
        <v>39.484999999999999</v>
      </c>
      <c r="H269" s="17">
        <f>39.3482 * CHOOSE(CONTROL!$C$9, $D$9, 100%, $F$9) + CHOOSE(CONTROL!$C$27, 0.0021, 0)</f>
        <v>39.350299999999997</v>
      </c>
      <c r="I269" s="17">
        <f>39.3482 * CHOOSE(CONTROL!$C$9, $D$9, 100%, $F$9) + CHOOSE(CONTROL!$C$27, 0.0021, 0)</f>
        <v>39.350299999999997</v>
      </c>
      <c r="J269" s="17">
        <f>39.3482 * CHOOSE(CONTROL!$C$9, $D$9, 100%, $F$9) + CHOOSE(CONTROL!$C$27, 0.0021, 0)</f>
        <v>39.350299999999997</v>
      </c>
      <c r="K269" s="17">
        <f>39.3482 * CHOOSE(CONTROL!$C$9, $D$9, 100%, $F$9) + CHOOSE(CONTROL!$C$27, 0.0021, 0)</f>
        <v>39.350299999999997</v>
      </c>
      <c r="L269" s="17"/>
    </row>
    <row r="270" spans="1:12" ht="15" x14ac:dyDescent="0.2">
      <c r="A270" s="16">
        <v>49126</v>
      </c>
      <c r="B270" s="17">
        <f>40.5331 * CHOOSE(CONTROL!$C$9, $D$9, 100%, $F$9) + CHOOSE(CONTROL!$C$27, 0.0021, 0)</f>
        <v>40.535199999999996</v>
      </c>
      <c r="C270" s="17">
        <f>40.1008 * CHOOSE(CONTROL!$C$9, $D$9, 100%, $F$9) + CHOOSE(CONTROL!$C$27, 0.0021, 0)</f>
        <v>40.102899999999998</v>
      </c>
      <c r="D270" s="17">
        <f>40.1008 * CHOOSE(CONTROL!$C$9, $D$9, 100%, $F$9) + CHOOSE(CONTROL!$C$27, 0.0021, 0)</f>
        <v>40.102899999999998</v>
      </c>
      <c r="E270" s="17">
        <f>39.9642 * CHOOSE(CONTROL!$C$9, $D$9, 100%, $F$9) + CHOOSE(CONTROL!$C$27, 0.0021, 0)</f>
        <v>39.966299999999997</v>
      </c>
      <c r="F270" s="17">
        <f>39.9642 * CHOOSE(CONTROL!$C$9, $D$9, 100%, $F$9) + CHOOSE(CONTROL!$C$27, 0.0021, 0)</f>
        <v>39.966299999999997</v>
      </c>
      <c r="G270" s="17">
        <f>40.2355 * CHOOSE(CONTROL!$C$9, $D$9, 100%, $F$9) + CHOOSE(CONTROL!$C$27, 0.0021, 0)</f>
        <v>40.2376</v>
      </c>
      <c r="H270" s="17">
        <f>40.1008 * CHOOSE(CONTROL!$C$9, $D$9, 100%, $F$9) + CHOOSE(CONTROL!$C$27, 0.0021, 0)</f>
        <v>40.102899999999998</v>
      </c>
      <c r="I270" s="17">
        <f>40.1008 * CHOOSE(CONTROL!$C$9, $D$9, 100%, $F$9) + CHOOSE(CONTROL!$C$27, 0.0021, 0)</f>
        <v>40.102899999999998</v>
      </c>
      <c r="J270" s="17">
        <f>40.1008 * CHOOSE(CONTROL!$C$9, $D$9, 100%, $F$9) + CHOOSE(CONTROL!$C$27, 0.0021, 0)</f>
        <v>40.102899999999998</v>
      </c>
      <c r="K270" s="17">
        <f>40.1008 * CHOOSE(CONTROL!$C$9, $D$9, 100%, $F$9) + CHOOSE(CONTROL!$C$27, 0.0021, 0)</f>
        <v>40.102899999999998</v>
      </c>
      <c r="L270" s="17"/>
    </row>
    <row r="271" spans="1:12" ht="15" x14ac:dyDescent="0.2">
      <c r="A271" s="16">
        <v>49157</v>
      </c>
      <c r="B271" s="17">
        <f>40.7628 * CHOOSE(CONTROL!$C$9, $D$9, 100%, $F$9) + CHOOSE(CONTROL!$C$27, 0.0021, 0)</f>
        <v>40.764899999999997</v>
      </c>
      <c r="C271" s="17">
        <f>40.3305 * CHOOSE(CONTROL!$C$9, $D$9, 100%, $F$9) + CHOOSE(CONTROL!$C$27, 0.0021, 0)</f>
        <v>40.332599999999999</v>
      </c>
      <c r="D271" s="17">
        <f>40.3305 * CHOOSE(CONTROL!$C$9, $D$9, 100%, $F$9) + CHOOSE(CONTROL!$C$27, 0.0021, 0)</f>
        <v>40.332599999999999</v>
      </c>
      <c r="E271" s="17">
        <f>40.1939 * CHOOSE(CONTROL!$C$9, $D$9, 100%, $F$9) + CHOOSE(CONTROL!$C$27, 0.0021, 0)</f>
        <v>40.195999999999998</v>
      </c>
      <c r="F271" s="17">
        <f>40.1939 * CHOOSE(CONTROL!$C$9, $D$9, 100%, $F$9) + CHOOSE(CONTROL!$C$27, 0.0021, 0)</f>
        <v>40.195999999999998</v>
      </c>
      <c r="G271" s="17">
        <f>40.4653 * CHOOSE(CONTROL!$C$9, $D$9, 100%, $F$9) + CHOOSE(CONTROL!$C$27, 0.0021, 0)</f>
        <v>40.467399999999998</v>
      </c>
      <c r="H271" s="17">
        <f>40.3305 * CHOOSE(CONTROL!$C$9, $D$9, 100%, $F$9) + CHOOSE(CONTROL!$C$27, 0.0021, 0)</f>
        <v>40.332599999999999</v>
      </c>
      <c r="I271" s="17">
        <f>40.3305 * CHOOSE(CONTROL!$C$9, $D$9, 100%, $F$9) + CHOOSE(CONTROL!$C$27, 0.0021, 0)</f>
        <v>40.332599999999999</v>
      </c>
      <c r="J271" s="17">
        <f>40.3305 * CHOOSE(CONTROL!$C$9, $D$9, 100%, $F$9) + CHOOSE(CONTROL!$C$27, 0.0021, 0)</f>
        <v>40.332599999999999</v>
      </c>
      <c r="K271" s="17">
        <f>40.3305 * CHOOSE(CONTROL!$C$9, $D$9, 100%, $F$9) + CHOOSE(CONTROL!$C$27, 0.0021, 0)</f>
        <v>40.332599999999999</v>
      </c>
      <c r="L271" s="17"/>
    </row>
    <row r="272" spans="1:12" ht="15" x14ac:dyDescent="0.2">
      <c r="A272" s="16">
        <v>49188</v>
      </c>
      <c r="B272" s="17">
        <f>41.5451 * CHOOSE(CONTROL!$C$9, $D$9, 100%, $F$9) + CHOOSE(CONTROL!$C$27, 0.0021, 0)</f>
        <v>41.547199999999997</v>
      </c>
      <c r="C272" s="17">
        <f>41.1128 * CHOOSE(CONTROL!$C$9, $D$9, 100%, $F$9) + CHOOSE(CONTROL!$C$27, 0.0021, 0)</f>
        <v>41.114899999999999</v>
      </c>
      <c r="D272" s="17">
        <f>41.1128 * CHOOSE(CONTROL!$C$9, $D$9, 100%, $F$9) + CHOOSE(CONTROL!$C$27, 0.0021, 0)</f>
        <v>41.114899999999999</v>
      </c>
      <c r="E272" s="17">
        <f>40.9762 * CHOOSE(CONTROL!$C$9, $D$9, 100%, $F$9) + CHOOSE(CONTROL!$C$27, 0.0021, 0)</f>
        <v>40.978299999999997</v>
      </c>
      <c r="F272" s="17">
        <f>40.9762 * CHOOSE(CONTROL!$C$9, $D$9, 100%, $F$9) + CHOOSE(CONTROL!$C$27, 0.0021, 0)</f>
        <v>40.978299999999997</v>
      </c>
      <c r="G272" s="17">
        <f>41.2476 * CHOOSE(CONTROL!$C$9, $D$9, 100%, $F$9) + CHOOSE(CONTROL!$C$27, 0.0021, 0)</f>
        <v>41.249699999999997</v>
      </c>
      <c r="H272" s="17">
        <f>41.1128 * CHOOSE(CONTROL!$C$9, $D$9, 100%, $F$9) + CHOOSE(CONTROL!$C$27, 0.0021, 0)</f>
        <v>41.114899999999999</v>
      </c>
      <c r="I272" s="17">
        <f>41.1128 * CHOOSE(CONTROL!$C$9, $D$9, 100%, $F$9) + CHOOSE(CONTROL!$C$27, 0.0021, 0)</f>
        <v>41.114899999999999</v>
      </c>
      <c r="J272" s="17">
        <f>41.1128 * CHOOSE(CONTROL!$C$9, $D$9, 100%, $F$9) + CHOOSE(CONTROL!$C$27, 0.0021, 0)</f>
        <v>41.114899999999999</v>
      </c>
      <c r="K272" s="17">
        <f>41.1128 * CHOOSE(CONTROL!$C$9, $D$9, 100%, $F$9) + CHOOSE(CONTROL!$C$27, 0.0021, 0)</f>
        <v>41.114899999999999</v>
      </c>
      <c r="L272" s="17"/>
    </row>
    <row r="273" spans="1:12" ht="15" x14ac:dyDescent="0.2">
      <c r="A273" s="16">
        <v>49218</v>
      </c>
      <c r="B273" s="17">
        <f>42.5353 * CHOOSE(CONTROL!$C$9, $D$9, 100%, $F$9) + CHOOSE(CONTROL!$C$27, 0.0021, 0)</f>
        <v>42.537399999999998</v>
      </c>
      <c r="C273" s="17">
        <f>42.1031 * CHOOSE(CONTROL!$C$9, $D$9, 100%, $F$9) + CHOOSE(CONTROL!$C$27, 0.0021, 0)</f>
        <v>42.105199999999996</v>
      </c>
      <c r="D273" s="17">
        <f>42.1031 * CHOOSE(CONTROL!$C$9, $D$9, 100%, $F$9) + CHOOSE(CONTROL!$C$27, 0.0021, 0)</f>
        <v>42.105199999999996</v>
      </c>
      <c r="E273" s="17">
        <f>41.9664 * CHOOSE(CONTROL!$C$9, $D$9, 100%, $F$9) + CHOOSE(CONTROL!$C$27, 0.0021, 0)</f>
        <v>41.968499999999999</v>
      </c>
      <c r="F273" s="17">
        <f>41.9664 * CHOOSE(CONTROL!$C$9, $D$9, 100%, $F$9) + CHOOSE(CONTROL!$C$27, 0.0021, 0)</f>
        <v>41.968499999999999</v>
      </c>
      <c r="G273" s="17">
        <f>42.2378 * CHOOSE(CONTROL!$C$9, $D$9, 100%, $F$9) + CHOOSE(CONTROL!$C$27, 0.0021, 0)</f>
        <v>42.239899999999999</v>
      </c>
      <c r="H273" s="17">
        <f>42.1031 * CHOOSE(CONTROL!$C$9, $D$9, 100%, $F$9) + CHOOSE(CONTROL!$C$27, 0.0021, 0)</f>
        <v>42.105199999999996</v>
      </c>
      <c r="I273" s="17">
        <f>42.1031 * CHOOSE(CONTROL!$C$9, $D$9, 100%, $F$9) + CHOOSE(CONTROL!$C$27, 0.0021, 0)</f>
        <v>42.105199999999996</v>
      </c>
      <c r="J273" s="17">
        <f>42.1031 * CHOOSE(CONTROL!$C$9, $D$9, 100%, $F$9) + CHOOSE(CONTROL!$C$27, 0.0021, 0)</f>
        <v>42.105199999999996</v>
      </c>
      <c r="K273" s="17">
        <f>42.1031 * CHOOSE(CONTROL!$C$9, $D$9, 100%, $F$9) + CHOOSE(CONTROL!$C$27, 0.0021, 0)</f>
        <v>42.105199999999996</v>
      </c>
      <c r="L273" s="17"/>
    </row>
    <row r="274" spans="1:12" ht="15" x14ac:dyDescent="0.2">
      <c r="A274" s="16">
        <v>49249</v>
      </c>
      <c r="B274" s="17">
        <f>42.6283 * CHOOSE(CONTROL!$C$9, $D$9, 100%, $F$9) + CHOOSE(CONTROL!$C$27, 0.0021, 0)</f>
        <v>42.630400000000002</v>
      </c>
      <c r="C274" s="17">
        <f>42.1961 * CHOOSE(CONTROL!$C$9, $D$9, 100%, $F$9) + CHOOSE(CONTROL!$C$27, 0.0021, 0)</f>
        <v>42.1982</v>
      </c>
      <c r="D274" s="17">
        <f>42.1961 * CHOOSE(CONTROL!$C$9, $D$9, 100%, $F$9) + CHOOSE(CONTROL!$C$27, 0.0021, 0)</f>
        <v>42.1982</v>
      </c>
      <c r="E274" s="17">
        <f>42.0594 * CHOOSE(CONTROL!$C$9, $D$9, 100%, $F$9) + CHOOSE(CONTROL!$C$27, 0.0021, 0)</f>
        <v>42.061499999999995</v>
      </c>
      <c r="F274" s="17">
        <f>42.0594 * CHOOSE(CONTROL!$C$9, $D$9, 100%, $F$9) + CHOOSE(CONTROL!$C$27, 0.0021, 0)</f>
        <v>42.061499999999995</v>
      </c>
      <c r="G274" s="17">
        <f>42.3308 * CHOOSE(CONTROL!$C$9, $D$9, 100%, $F$9) + CHOOSE(CONTROL!$C$27, 0.0021, 0)</f>
        <v>42.332900000000002</v>
      </c>
      <c r="H274" s="17">
        <f>42.1961 * CHOOSE(CONTROL!$C$9, $D$9, 100%, $F$9) + CHOOSE(CONTROL!$C$27, 0.0021, 0)</f>
        <v>42.1982</v>
      </c>
      <c r="I274" s="17">
        <f>42.1961 * CHOOSE(CONTROL!$C$9, $D$9, 100%, $F$9) + CHOOSE(CONTROL!$C$27, 0.0021, 0)</f>
        <v>42.1982</v>
      </c>
      <c r="J274" s="17">
        <f>42.1961 * CHOOSE(CONTROL!$C$9, $D$9, 100%, $F$9) + CHOOSE(CONTROL!$C$27, 0.0021, 0)</f>
        <v>42.1982</v>
      </c>
      <c r="K274" s="17">
        <f>42.1961 * CHOOSE(CONTROL!$C$9, $D$9, 100%, $F$9) + CHOOSE(CONTROL!$C$27, 0.0021, 0)</f>
        <v>42.1982</v>
      </c>
      <c r="L274" s="17"/>
    </row>
    <row r="275" spans="1:12" ht="15" x14ac:dyDescent="0.2">
      <c r="A275" s="16">
        <v>49279</v>
      </c>
      <c r="B275" s="17">
        <f>41.8374 * CHOOSE(CONTROL!$C$9, $D$9, 100%, $F$9) + CHOOSE(CONTROL!$C$27, 0.0021, 0)</f>
        <v>41.839500000000001</v>
      </c>
      <c r="C275" s="17">
        <f>41.4052 * CHOOSE(CONTROL!$C$9, $D$9, 100%, $F$9) + CHOOSE(CONTROL!$C$27, 0.0021, 0)</f>
        <v>41.407299999999999</v>
      </c>
      <c r="D275" s="17">
        <f>41.4052 * CHOOSE(CONTROL!$C$9, $D$9, 100%, $F$9) + CHOOSE(CONTROL!$C$27, 0.0021, 0)</f>
        <v>41.407299999999999</v>
      </c>
      <c r="E275" s="17">
        <f>41.2685 * CHOOSE(CONTROL!$C$9, $D$9, 100%, $F$9) + CHOOSE(CONTROL!$C$27, 0.0021, 0)</f>
        <v>41.270600000000002</v>
      </c>
      <c r="F275" s="17">
        <f>41.2685 * CHOOSE(CONTROL!$C$9, $D$9, 100%, $F$9) + CHOOSE(CONTROL!$C$27, 0.0021, 0)</f>
        <v>41.270600000000002</v>
      </c>
      <c r="G275" s="17">
        <f>41.5399 * CHOOSE(CONTROL!$C$9, $D$9, 100%, $F$9) + CHOOSE(CONTROL!$C$27, 0.0021, 0)</f>
        <v>41.542000000000002</v>
      </c>
      <c r="H275" s="17">
        <f>41.4052 * CHOOSE(CONTROL!$C$9, $D$9, 100%, $F$9) + CHOOSE(CONTROL!$C$27, 0.0021, 0)</f>
        <v>41.407299999999999</v>
      </c>
      <c r="I275" s="17">
        <f>41.4052 * CHOOSE(CONTROL!$C$9, $D$9, 100%, $F$9) + CHOOSE(CONTROL!$C$27, 0.0021, 0)</f>
        <v>41.407299999999999</v>
      </c>
      <c r="J275" s="17">
        <f>41.4052 * CHOOSE(CONTROL!$C$9, $D$9, 100%, $F$9) + CHOOSE(CONTROL!$C$27, 0.0021, 0)</f>
        <v>41.407299999999999</v>
      </c>
      <c r="K275" s="17">
        <f>41.4052 * CHOOSE(CONTROL!$C$9, $D$9, 100%, $F$9) + CHOOSE(CONTROL!$C$27, 0.0021, 0)</f>
        <v>41.407299999999999</v>
      </c>
      <c r="L275" s="17"/>
    </row>
    <row r="276" spans="1:12" ht="15" x14ac:dyDescent="0.2">
      <c r="A276" s="16">
        <v>49310</v>
      </c>
      <c r="B276" s="17">
        <f>41.3375 * CHOOSE(CONTROL!$C$9, $D$9, 100%, $F$9) + CHOOSE(CONTROL!$C$27, 0.0021, 0)</f>
        <v>41.339599999999997</v>
      </c>
      <c r="C276" s="17">
        <f>40.9053 * CHOOSE(CONTROL!$C$9, $D$9, 100%, $F$9) + CHOOSE(CONTROL!$C$27, 0.0021, 0)</f>
        <v>40.907399999999996</v>
      </c>
      <c r="D276" s="17">
        <f>40.9053 * CHOOSE(CONTROL!$C$9, $D$9, 100%, $F$9) + CHOOSE(CONTROL!$C$27, 0.0021, 0)</f>
        <v>40.907399999999996</v>
      </c>
      <c r="E276" s="17">
        <f>40.7686 * CHOOSE(CONTROL!$C$9, $D$9, 100%, $F$9) + CHOOSE(CONTROL!$C$27, 0.0021, 0)</f>
        <v>40.770699999999998</v>
      </c>
      <c r="F276" s="17">
        <f>40.7686 * CHOOSE(CONTROL!$C$9, $D$9, 100%, $F$9) + CHOOSE(CONTROL!$C$27, 0.0021, 0)</f>
        <v>40.770699999999998</v>
      </c>
      <c r="G276" s="17">
        <f>41.04 * CHOOSE(CONTROL!$C$9, $D$9, 100%, $F$9) + CHOOSE(CONTROL!$C$27, 0.0021, 0)</f>
        <v>41.042099999999998</v>
      </c>
      <c r="H276" s="17">
        <f>40.9053 * CHOOSE(CONTROL!$C$9, $D$9, 100%, $F$9) + CHOOSE(CONTROL!$C$27, 0.0021, 0)</f>
        <v>40.907399999999996</v>
      </c>
      <c r="I276" s="17">
        <f>40.9053 * CHOOSE(CONTROL!$C$9, $D$9, 100%, $F$9) + CHOOSE(CONTROL!$C$27, 0.0021, 0)</f>
        <v>40.907399999999996</v>
      </c>
      <c r="J276" s="17">
        <f>40.9053 * CHOOSE(CONTROL!$C$9, $D$9, 100%, $F$9) + CHOOSE(CONTROL!$C$27, 0.0021, 0)</f>
        <v>40.907399999999996</v>
      </c>
      <c r="K276" s="17">
        <f>40.9053 * CHOOSE(CONTROL!$C$9, $D$9, 100%, $F$9) + CHOOSE(CONTROL!$C$27, 0.0021, 0)</f>
        <v>40.907399999999996</v>
      </c>
      <c r="L276" s="17"/>
    </row>
    <row r="277" spans="1:12" ht="15" x14ac:dyDescent="0.2">
      <c r="A277" s="16">
        <v>49341</v>
      </c>
      <c r="B277" s="17">
        <f>40.2331 * CHOOSE(CONTROL!$C$9, $D$9, 100%, $F$9) + CHOOSE(CONTROL!$C$27, 0.0021, 0)</f>
        <v>40.235199999999999</v>
      </c>
      <c r="C277" s="17">
        <f>39.8009 * CHOOSE(CONTROL!$C$9, $D$9, 100%, $F$9) + CHOOSE(CONTROL!$C$27, 0.0021, 0)</f>
        <v>39.802999999999997</v>
      </c>
      <c r="D277" s="17">
        <f>39.8009 * CHOOSE(CONTROL!$C$9, $D$9, 100%, $F$9) + CHOOSE(CONTROL!$C$27, 0.0021, 0)</f>
        <v>39.802999999999997</v>
      </c>
      <c r="E277" s="17">
        <f>39.6642 * CHOOSE(CONTROL!$C$9, $D$9, 100%, $F$9) + CHOOSE(CONTROL!$C$27, 0.0021, 0)</f>
        <v>39.6663</v>
      </c>
      <c r="F277" s="17">
        <f>39.6642 * CHOOSE(CONTROL!$C$9, $D$9, 100%, $F$9) + CHOOSE(CONTROL!$C$27, 0.0021, 0)</f>
        <v>39.6663</v>
      </c>
      <c r="G277" s="17">
        <f>39.9356 * CHOOSE(CONTROL!$C$9, $D$9, 100%, $F$9) + CHOOSE(CONTROL!$C$27, 0.0021, 0)</f>
        <v>39.9377</v>
      </c>
      <c r="H277" s="17">
        <f>39.8009 * CHOOSE(CONTROL!$C$9, $D$9, 100%, $F$9) + CHOOSE(CONTROL!$C$27, 0.0021, 0)</f>
        <v>39.802999999999997</v>
      </c>
      <c r="I277" s="17">
        <f>39.8009 * CHOOSE(CONTROL!$C$9, $D$9, 100%, $F$9) + CHOOSE(CONTROL!$C$27, 0.0021, 0)</f>
        <v>39.802999999999997</v>
      </c>
      <c r="J277" s="17">
        <f>39.8009 * CHOOSE(CONTROL!$C$9, $D$9, 100%, $F$9) + CHOOSE(CONTROL!$C$27, 0.0021, 0)</f>
        <v>39.802999999999997</v>
      </c>
      <c r="K277" s="17">
        <f>39.8009 * CHOOSE(CONTROL!$C$9, $D$9, 100%, $F$9) + CHOOSE(CONTROL!$C$27, 0.0021, 0)</f>
        <v>39.802999999999997</v>
      </c>
      <c r="L277" s="17"/>
    </row>
    <row r="278" spans="1:12" ht="15" x14ac:dyDescent="0.2">
      <c r="A278" s="16">
        <v>49369</v>
      </c>
      <c r="B278" s="17">
        <f>39.7772 * CHOOSE(CONTROL!$C$9, $D$9, 100%, $F$9) + CHOOSE(CONTROL!$C$27, 0.0021, 0)</f>
        <v>39.779299999999999</v>
      </c>
      <c r="C278" s="17">
        <f>39.345 * CHOOSE(CONTROL!$C$9, $D$9, 100%, $F$9) + CHOOSE(CONTROL!$C$27, 0.0021, 0)</f>
        <v>39.347099999999998</v>
      </c>
      <c r="D278" s="17">
        <f>39.345 * CHOOSE(CONTROL!$C$9, $D$9, 100%, $F$9) + CHOOSE(CONTROL!$C$27, 0.0021, 0)</f>
        <v>39.347099999999998</v>
      </c>
      <c r="E278" s="17">
        <f>39.2083 * CHOOSE(CONTROL!$C$9, $D$9, 100%, $F$9) + CHOOSE(CONTROL!$C$27, 0.0021, 0)</f>
        <v>39.2104</v>
      </c>
      <c r="F278" s="17">
        <f>39.2083 * CHOOSE(CONTROL!$C$9, $D$9, 100%, $F$9) + CHOOSE(CONTROL!$C$27, 0.0021, 0)</f>
        <v>39.2104</v>
      </c>
      <c r="G278" s="17">
        <f>39.4797 * CHOOSE(CONTROL!$C$9, $D$9, 100%, $F$9) + CHOOSE(CONTROL!$C$27, 0.0021, 0)</f>
        <v>39.4818</v>
      </c>
      <c r="H278" s="17">
        <f>39.345 * CHOOSE(CONTROL!$C$9, $D$9, 100%, $F$9) + CHOOSE(CONTROL!$C$27, 0.0021, 0)</f>
        <v>39.347099999999998</v>
      </c>
      <c r="I278" s="17">
        <f>39.345 * CHOOSE(CONTROL!$C$9, $D$9, 100%, $F$9) + CHOOSE(CONTROL!$C$27, 0.0021, 0)</f>
        <v>39.347099999999998</v>
      </c>
      <c r="J278" s="17">
        <f>39.345 * CHOOSE(CONTROL!$C$9, $D$9, 100%, $F$9) + CHOOSE(CONTROL!$C$27, 0.0021, 0)</f>
        <v>39.347099999999998</v>
      </c>
      <c r="K278" s="17">
        <f>39.345 * CHOOSE(CONTROL!$C$9, $D$9, 100%, $F$9) + CHOOSE(CONTROL!$C$27, 0.0021, 0)</f>
        <v>39.347099999999998</v>
      </c>
      <c r="L278" s="17"/>
    </row>
    <row r="279" spans="1:12" ht="15" x14ac:dyDescent="0.2">
      <c r="A279" s="16">
        <v>49400</v>
      </c>
      <c r="B279" s="17">
        <f>39.2329 * CHOOSE(CONTROL!$C$9, $D$9, 100%, $F$9) + CHOOSE(CONTROL!$C$27, 0.0021, 0)</f>
        <v>39.234999999999999</v>
      </c>
      <c r="C279" s="17">
        <f>38.8006 * CHOOSE(CONTROL!$C$9, $D$9, 100%, $F$9) + CHOOSE(CONTROL!$C$27, 0.0021, 0)</f>
        <v>38.802700000000002</v>
      </c>
      <c r="D279" s="17">
        <f>38.8006 * CHOOSE(CONTROL!$C$9, $D$9, 100%, $F$9) + CHOOSE(CONTROL!$C$27, 0.0021, 0)</f>
        <v>38.802700000000002</v>
      </c>
      <c r="E279" s="17">
        <f>38.664 * CHOOSE(CONTROL!$C$9, $D$9, 100%, $F$9) + CHOOSE(CONTROL!$C$27, 0.0021, 0)</f>
        <v>38.6661</v>
      </c>
      <c r="F279" s="17">
        <f>38.664 * CHOOSE(CONTROL!$C$9, $D$9, 100%, $F$9) + CHOOSE(CONTROL!$C$27, 0.0021, 0)</f>
        <v>38.6661</v>
      </c>
      <c r="G279" s="17">
        <f>38.9353 * CHOOSE(CONTROL!$C$9, $D$9, 100%, $F$9) + CHOOSE(CONTROL!$C$27, 0.0021, 0)</f>
        <v>38.937399999999997</v>
      </c>
      <c r="H279" s="17">
        <f>38.8006 * CHOOSE(CONTROL!$C$9, $D$9, 100%, $F$9) + CHOOSE(CONTROL!$C$27, 0.0021, 0)</f>
        <v>38.802700000000002</v>
      </c>
      <c r="I279" s="17">
        <f>38.8006 * CHOOSE(CONTROL!$C$9, $D$9, 100%, $F$9) + CHOOSE(CONTROL!$C$27, 0.0021, 0)</f>
        <v>38.802700000000002</v>
      </c>
      <c r="J279" s="17">
        <f>38.8006 * CHOOSE(CONTROL!$C$9, $D$9, 100%, $F$9) + CHOOSE(CONTROL!$C$27, 0.0021, 0)</f>
        <v>38.802700000000002</v>
      </c>
      <c r="K279" s="17">
        <f>38.8006 * CHOOSE(CONTROL!$C$9, $D$9, 100%, $F$9) + CHOOSE(CONTROL!$C$27, 0.0021, 0)</f>
        <v>38.802700000000002</v>
      </c>
      <c r="L279" s="17"/>
    </row>
    <row r="280" spans="1:12" ht="15" x14ac:dyDescent="0.2">
      <c r="A280" s="16">
        <v>49430</v>
      </c>
      <c r="B280" s="17">
        <f>40.0086 * CHOOSE(CONTROL!$C$9, $D$9, 100%, $F$9) + CHOOSE(CONTROL!$C$27, 0.0021, 0)</f>
        <v>40.0107</v>
      </c>
      <c r="C280" s="17">
        <f>39.5764 * CHOOSE(CONTROL!$C$9, $D$9, 100%, $F$9) + CHOOSE(CONTROL!$C$27, 0.0021, 0)</f>
        <v>39.578499999999998</v>
      </c>
      <c r="D280" s="17">
        <f>39.5764 * CHOOSE(CONTROL!$C$9, $D$9, 100%, $F$9) + CHOOSE(CONTROL!$C$27, 0.0021, 0)</f>
        <v>39.578499999999998</v>
      </c>
      <c r="E280" s="17">
        <f>39.4397 * CHOOSE(CONTROL!$C$9, $D$9, 100%, $F$9) + CHOOSE(CONTROL!$C$27, 0.0021, 0)</f>
        <v>39.441800000000001</v>
      </c>
      <c r="F280" s="17">
        <f>39.4397 * CHOOSE(CONTROL!$C$9, $D$9, 100%, $F$9) + CHOOSE(CONTROL!$C$27, 0.0021, 0)</f>
        <v>39.441800000000001</v>
      </c>
      <c r="G280" s="17">
        <f>39.7111 * CHOOSE(CONTROL!$C$9, $D$9, 100%, $F$9) + CHOOSE(CONTROL!$C$27, 0.0021, 0)</f>
        <v>39.713200000000001</v>
      </c>
      <c r="H280" s="17">
        <f>39.5764 * CHOOSE(CONTROL!$C$9, $D$9, 100%, $F$9) + CHOOSE(CONTROL!$C$27, 0.0021, 0)</f>
        <v>39.578499999999998</v>
      </c>
      <c r="I280" s="17">
        <f>39.5764 * CHOOSE(CONTROL!$C$9, $D$9, 100%, $F$9) + CHOOSE(CONTROL!$C$27, 0.0021, 0)</f>
        <v>39.578499999999998</v>
      </c>
      <c r="J280" s="17">
        <f>39.5764 * CHOOSE(CONTROL!$C$9, $D$9, 100%, $F$9) + CHOOSE(CONTROL!$C$27, 0.0021, 0)</f>
        <v>39.578499999999998</v>
      </c>
      <c r="K280" s="17">
        <f>39.5764 * CHOOSE(CONTROL!$C$9, $D$9, 100%, $F$9) + CHOOSE(CONTROL!$C$27, 0.0021, 0)</f>
        <v>39.578499999999998</v>
      </c>
      <c r="L280" s="17"/>
    </row>
    <row r="281" spans="1:12" ht="15" x14ac:dyDescent="0.2">
      <c r="A281" s="15">
        <v>49461</v>
      </c>
      <c r="B281" s="17">
        <f>40.4733 * CHOOSE(CONTROL!$C$9, $D$9, 100%, $F$9) + CHOOSE(CONTROL!$C$27, 0.0021, 0)</f>
        <v>40.4754</v>
      </c>
      <c r="C281" s="17">
        <f>40.041 * CHOOSE(CONTROL!$C$9, $D$9, 100%, $F$9) + CHOOSE(CONTROL!$C$27, 0.0021, 0)</f>
        <v>40.043099999999995</v>
      </c>
      <c r="D281" s="17">
        <f>40.041 * CHOOSE(CONTROL!$C$9, $D$9, 100%, $F$9) + CHOOSE(CONTROL!$C$27, 0.0021, 0)</f>
        <v>40.043099999999995</v>
      </c>
      <c r="E281" s="17">
        <f>39.9044 * CHOOSE(CONTROL!$C$9, $D$9, 100%, $F$9) + CHOOSE(CONTROL!$C$27, 0.0021, 0)</f>
        <v>39.906500000000001</v>
      </c>
      <c r="F281" s="17">
        <f>39.9044 * CHOOSE(CONTROL!$C$9, $D$9, 100%, $F$9) + CHOOSE(CONTROL!$C$27, 0.0021, 0)</f>
        <v>39.906500000000001</v>
      </c>
      <c r="G281" s="17">
        <f>40.1758 * CHOOSE(CONTROL!$C$9, $D$9, 100%, $F$9) + CHOOSE(CONTROL!$C$27, 0.0021, 0)</f>
        <v>40.177900000000001</v>
      </c>
      <c r="H281" s="17">
        <f>40.041 * CHOOSE(CONTROL!$C$9, $D$9, 100%, $F$9) + CHOOSE(CONTROL!$C$27, 0.0021, 0)</f>
        <v>40.043099999999995</v>
      </c>
      <c r="I281" s="17">
        <f>40.041 * CHOOSE(CONTROL!$C$9, $D$9, 100%, $F$9) + CHOOSE(CONTROL!$C$27, 0.0021, 0)</f>
        <v>40.043099999999995</v>
      </c>
      <c r="J281" s="17">
        <f>40.041 * CHOOSE(CONTROL!$C$9, $D$9, 100%, $F$9) + CHOOSE(CONTROL!$C$27, 0.0021, 0)</f>
        <v>40.043099999999995</v>
      </c>
      <c r="K281" s="17">
        <f>40.041 * CHOOSE(CONTROL!$C$9, $D$9, 100%, $F$9) + CHOOSE(CONTROL!$C$27, 0.0021, 0)</f>
        <v>40.043099999999995</v>
      </c>
      <c r="L281" s="17"/>
    </row>
    <row r="282" spans="1:12" ht="15" x14ac:dyDescent="0.2">
      <c r="A282" s="15">
        <v>49491</v>
      </c>
      <c r="B282" s="17">
        <f>41.2398 * CHOOSE(CONTROL!$C$9, $D$9, 100%, $F$9) + CHOOSE(CONTROL!$C$27, 0.0021, 0)</f>
        <v>41.241900000000001</v>
      </c>
      <c r="C282" s="17">
        <f>40.8075 * CHOOSE(CONTROL!$C$9, $D$9, 100%, $F$9) + CHOOSE(CONTROL!$C$27, 0.0021, 0)</f>
        <v>40.809599999999996</v>
      </c>
      <c r="D282" s="17">
        <f>40.8075 * CHOOSE(CONTROL!$C$9, $D$9, 100%, $F$9) + CHOOSE(CONTROL!$C$27, 0.0021, 0)</f>
        <v>40.809599999999996</v>
      </c>
      <c r="E282" s="17">
        <f>40.6709 * CHOOSE(CONTROL!$C$9, $D$9, 100%, $F$9) + CHOOSE(CONTROL!$C$27, 0.0021, 0)</f>
        <v>40.673000000000002</v>
      </c>
      <c r="F282" s="17">
        <f>40.6709 * CHOOSE(CONTROL!$C$9, $D$9, 100%, $F$9) + CHOOSE(CONTROL!$C$27, 0.0021, 0)</f>
        <v>40.673000000000002</v>
      </c>
      <c r="G282" s="17">
        <f>40.9423 * CHOOSE(CONTROL!$C$9, $D$9, 100%, $F$9) + CHOOSE(CONTROL!$C$27, 0.0021, 0)</f>
        <v>40.944400000000002</v>
      </c>
      <c r="H282" s="17">
        <f>40.8075 * CHOOSE(CONTROL!$C$9, $D$9, 100%, $F$9) + CHOOSE(CONTROL!$C$27, 0.0021, 0)</f>
        <v>40.809599999999996</v>
      </c>
      <c r="I282" s="17">
        <f>40.8075 * CHOOSE(CONTROL!$C$9, $D$9, 100%, $F$9) + CHOOSE(CONTROL!$C$27, 0.0021, 0)</f>
        <v>40.809599999999996</v>
      </c>
      <c r="J282" s="17">
        <f>40.8075 * CHOOSE(CONTROL!$C$9, $D$9, 100%, $F$9) + CHOOSE(CONTROL!$C$27, 0.0021, 0)</f>
        <v>40.809599999999996</v>
      </c>
      <c r="K282" s="17">
        <f>40.8075 * CHOOSE(CONTROL!$C$9, $D$9, 100%, $F$9) + CHOOSE(CONTROL!$C$27, 0.0021, 0)</f>
        <v>40.809599999999996</v>
      </c>
      <c r="L282" s="17"/>
    </row>
    <row r="283" spans="1:12" ht="15" x14ac:dyDescent="0.2">
      <c r="A283" s="15">
        <v>49522</v>
      </c>
      <c r="B283" s="17">
        <f>41.4738 * CHOOSE(CONTROL!$C$9, $D$9, 100%, $F$9) + CHOOSE(CONTROL!$C$27, 0.0021, 0)</f>
        <v>41.475899999999996</v>
      </c>
      <c r="C283" s="17">
        <f>41.0415 * CHOOSE(CONTROL!$C$9, $D$9, 100%, $F$9) + CHOOSE(CONTROL!$C$27, 0.0021, 0)</f>
        <v>41.043599999999998</v>
      </c>
      <c r="D283" s="17">
        <f>41.0415 * CHOOSE(CONTROL!$C$9, $D$9, 100%, $F$9) + CHOOSE(CONTROL!$C$27, 0.0021, 0)</f>
        <v>41.043599999999998</v>
      </c>
      <c r="E283" s="17">
        <f>40.9048 * CHOOSE(CONTROL!$C$9, $D$9, 100%, $F$9) + CHOOSE(CONTROL!$C$27, 0.0021, 0)</f>
        <v>40.9069</v>
      </c>
      <c r="F283" s="17">
        <f>40.9048 * CHOOSE(CONTROL!$C$9, $D$9, 100%, $F$9) + CHOOSE(CONTROL!$C$27, 0.0021, 0)</f>
        <v>40.9069</v>
      </c>
      <c r="G283" s="17">
        <f>41.1762 * CHOOSE(CONTROL!$C$9, $D$9, 100%, $F$9) + CHOOSE(CONTROL!$C$27, 0.0021, 0)</f>
        <v>41.1783</v>
      </c>
      <c r="H283" s="17">
        <f>41.0415 * CHOOSE(CONTROL!$C$9, $D$9, 100%, $F$9) + CHOOSE(CONTROL!$C$27, 0.0021, 0)</f>
        <v>41.043599999999998</v>
      </c>
      <c r="I283" s="17">
        <f>41.0415 * CHOOSE(CONTROL!$C$9, $D$9, 100%, $F$9) + CHOOSE(CONTROL!$C$27, 0.0021, 0)</f>
        <v>41.043599999999998</v>
      </c>
      <c r="J283" s="17">
        <f>41.0415 * CHOOSE(CONTROL!$C$9, $D$9, 100%, $F$9) + CHOOSE(CONTROL!$C$27, 0.0021, 0)</f>
        <v>41.043599999999998</v>
      </c>
      <c r="K283" s="17">
        <f>41.0415 * CHOOSE(CONTROL!$C$9, $D$9, 100%, $F$9) + CHOOSE(CONTROL!$C$27, 0.0021, 0)</f>
        <v>41.043599999999998</v>
      </c>
      <c r="L283" s="17"/>
    </row>
    <row r="284" spans="1:12" ht="15" x14ac:dyDescent="0.2">
      <c r="A284" s="15">
        <v>49553</v>
      </c>
      <c r="B284" s="17">
        <f>42.2705 * CHOOSE(CONTROL!$C$9, $D$9, 100%, $F$9) + CHOOSE(CONTROL!$C$27, 0.0021, 0)</f>
        <v>42.272599999999997</v>
      </c>
      <c r="C284" s="17">
        <f>41.8383 * CHOOSE(CONTROL!$C$9, $D$9, 100%, $F$9) + CHOOSE(CONTROL!$C$27, 0.0021, 0)</f>
        <v>41.840399999999995</v>
      </c>
      <c r="D284" s="17">
        <f>41.8383 * CHOOSE(CONTROL!$C$9, $D$9, 100%, $F$9) + CHOOSE(CONTROL!$C$27, 0.0021, 0)</f>
        <v>41.840399999999995</v>
      </c>
      <c r="E284" s="17">
        <f>41.7016 * CHOOSE(CONTROL!$C$9, $D$9, 100%, $F$9) + CHOOSE(CONTROL!$C$27, 0.0021, 0)</f>
        <v>41.703699999999998</v>
      </c>
      <c r="F284" s="17">
        <f>41.7016 * CHOOSE(CONTROL!$C$9, $D$9, 100%, $F$9) + CHOOSE(CONTROL!$C$27, 0.0021, 0)</f>
        <v>41.703699999999998</v>
      </c>
      <c r="G284" s="17">
        <f>41.973 * CHOOSE(CONTROL!$C$9, $D$9, 100%, $F$9) + CHOOSE(CONTROL!$C$27, 0.0021, 0)</f>
        <v>41.975099999999998</v>
      </c>
      <c r="H284" s="17">
        <f>41.8383 * CHOOSE(CONTROL!$C$9, $D$9, 100%, $F$9) + CHOOSE(CONTROL!$C$27, 0.0021, 0)</f>
        <v>41.840399999999995</v>
      </c>
      <c r="I284" s="17">
        <f>41.8383 * CHOOSE(CONTROL!$C$9, $D$9, 100%, $F$9) + CHOOSE(CONTROL!$C$27, 0.0021, 0)</f>
        <v>41.840399999999995</v>
      </c>
      <c r="J284" s="17">
        <f>41.8383 * CHOOSE(CONTROL!$C$9, $D$9, 100%, $F$9) + CHOOSE(CONTROL!$C$27, 0.0021, 0)</f>
        <v>41.840399999999995</v>
      </c>
      <c r="K284" s="17">
        <f>41.8383 * CHOOSE(CONTROL!$C$9, $D$9, 100%, $F$9) + CHOOSE(CONTROL!$C$27, 0.0021, 0)</f>
        <v>41.840399999999995</v>
      </c>
      <c r="L284" s="17"/>
    </row>
    <row r="285" spans="1:12" ht="15" x14ac:dyDescent="0.2">
      <c r="A285" s="15">
        <v>49583</v>
      </c>
      <c r="B285" s="17">
        <f>43.2791 * CHOOSE(CONTROL!$C$9, $D$9, 100%, $F$9) + CHOOSE(CONTROL!$C$27, 0.0021, 0)</f>
        <v>43.281199999999998</v>
      </c>
      <c r="C285" s="17">
        <f>42.8468 * CHOOSE(CONTROL!$C$9, $D$9, 100%, $F$9) + CHOOSE(CONTROL!$C$27, 0.0021, 0)</f>
        <v>42.8489</v>
      </c>
      <c r="D285" s="17">
        <f>42.8468 * CHOOSE(CONTROL!$C$9, $D$9, 100%, $F$9) + CHOOSE(CONTROL!$C$27, 0.0021, 0)</f>
        <v>42.8489</v>
      </c>
      <c r="E285" s="17">
        <f>42.7102 * CHOOSE(CONTROL!$C$9, $D$9, 100%, $F$9) + CHOOSE(CONTROL!$C$27, 0.0021, 0)</f>
        <v>42.712299999999999</v>
      </c>
      <c r="F285" s="17">
        <f>42.7102 * CHOOSE(CONTROL!$C$9, $D$9, 100%, $F$9) + CHOOSE(CONTROL!$C$27, 0.0021, 0)</f>
        <v>42.712299999999999</v>
      </c>
      <c r="G285" s="17">
        <f>42.9815 * CHOOSE(CONTROL!$C$9, $D$9, 100%, $F$9) + CHOOSE(CONTROL!$C$27, 0.0021, 0)</f>
        <v>42.983599999999996</v>
      </c>
      <c r="H285" s="17">
        <f>42.8468 * CHOOSE(CONTROL!$C$9, $D$9, 100%, $F$9) + CHOOSE(CONTROL!$C$27, 0.0021, 0)</f>
        <v>42.8489</v>
      </c>
      <c r="I285" s="17">
        <f>42.8468 * CHOOSE(CONTROL!$C$9, $D$9, 100%, $F$9) + CHOOSE(CONTROL!$C$27, 0.0021, 0)</f>
        <v>42.8489</v>
      </c>
      <c r="J285" s="17">
        <f>42.8468 * CHOOSE(CONTROL!$C$9, $D$9, 100%, $F$9) + CHOOSE(CONTROL!$C$27, 0.0021, 0)</f>
        <v>42.8489</v>
      </c>
      <c r="K285" s="17">
        <f>42.8468 * CHOOSE(CONTROL!$C$9, $D$9, 100%, $F$9) + CHOOSE(CONTROL!$C$27, 0.0021, 0)</f>
        <v>42.8489</v>
      </c>
      <c r="L285" s="17"/>
    </row>
    <row r="286" spans="1:12" ht="15" x14ac:dyDescent="0.2">
      <c r="A286" s="15">
        <v>49614</v>
      </c>
      <c r="B286" s="17">
        <f>43.3737 * CHOOSE(CONTROL!$C$9, $D$9, 100%, $F$9) + CHOOSE(CONTROL!$C$27, 0.0021, 0)</f>
        <v>43.375799999999998</v>
      </c>
      <c r="C286" s="17">
        <f>42.9415 * CHOOSE(CONTROL!$C$9, $D$9, 100%, $F$9) + CHOOSE(CONTROL!$C$27, 0.0021, 0)</f>
        <v>42.943599999999996</v>
      </c>
      <c r="D286" s="17">
        <f>42.9415 * CHOOSE(CONTROL!$C$9, $D$9, 100%, $F$9) + CHOOSE(CONTROL!$C$27, 0.0021, 0)</f>
        <v>42.943599999999996</v>
      </c>
      <c r="E286" s="17">
        <f>42.8048 * CHOOSE(CONTROL!$C$9, $D$9, 100%, $F$9) + CHOOSE(CONTROL!$C$27, 0.0021, 0)</f>
        <v>42.806899999999999</v>
      </c>
      <c r="F286" s="17">
        <f>42.8048 * CHOOSE(CONTROL!$C$9, $D$9, 100%, $F$9) + CHOOSE(CONTROL!$C$27, 0.0021, 0)</f>
        <v>42.806899999999999</v>
      </c>
      <c r="G286" s="17">
        <f>43.0762 * CHOOSE(CONTROL!$C$9, $D$9, 100%, $F$9) + CHOOSE(CONTROL!$C$27, 0.0021, 0)</f>
        <v>43.078299999999999</v>
      </c>
      <c r="H286" s="17">
        <f>42.9415 * CHOOSE(CONTROL!$C$9, $D$9, 100%, $F$9) + CHOOSE(CONTROL!$C$27, 0.0021, 0)</f>
        <v>42.943599999999996</v>
      </c>
      <c r="I286" s="17">
        <f>42.9415 * CHOOSE(CONTROL!$C$9, $D$9, 100%, $F$9) + CHOOSE(CONTROL!$C$27, 0.0021, 0)</f>
        <v>42.943599999999996</v>
      </c>
      <c r="J286" s="17">
        <f>42.9415 * CHOOSE(CONTROL!$C$9, $D$9, 100%, $F$9) + CHOOSE(CONTROL!$C$27, 0.0021, 0)</f>
        <v>42.943599999999996</v>
      </c>
      <c r="K286" s="17">
        <f>42.9415 * CHOOSE(CONTROL!$C$9, $D$9, 100%, $F$9) + CHOOSE(CONTROL!$C$27, 0.0021, 0)</f>
        <v>42.943599999999996</v>
      </c>
      <c r="L286" s="17"/>
    </row>
    <row r="287" spans="1:12" ht="15" x14ac:dyDescent="0.2">
      <c r="A287" s="15">
        <v>49644</v>
      </c>
      <c r="B287" s="17">
        <f>42.5682 * CHOOSE(CONTROL!$C$9, $D$9, 100%, $F$9) + CHOOSE(CONTROL!$C$27, 0.0021, 0)</f>
        <v>42.570299999999996</v>
      </c>
      <c r="C287" s="17">
        <f>42.136 * CHOOSE(CONTROL!$C$9, $D$9, 100%, $F$9) + CHOOSE(CONTROL!$C$27, 0.0021, 0)</f>
        <v>42.138100000000001</v>
      </c>
      <c r="D287" s="17">
        <f>42.136 * CHOOSE(CONTROL!$C$9, $D$9, 100%, $F$9) + CHOOSE(CONTROL!$C$27, 0.0021, 0)</f>
        <v>42.138100000000001</v>
      </c>
      <c r="E287" s="17">
        <f>41.9993 * CHOOSE(CONTROL!$C$9, $D$9, 100%, $F$9) + CHOOSE(CONTROL!$C$27, 0.0021, 0)</f>
        <v>42.001399999999997</v>
      </c>
      <c r="F287" s="17">
        <f>41.9993 * CHOOSE(CONTROL!$C$9, $D$9, 100%, $F$9) + CHOOSE(CONTROL!$C$27, 0.0021, 0)</f>
        <v>42.001399999999997</v>
      </c>
      <c r="G287" s="17">
        <f>42.2707 * CHOOSE(CONTROL!$C$9, $D$9, 100%, $F$9) + CHOOSE(CONTROL!$C$27, 0.0021, 0)</f>
        <v>42.272799999999997</v>
      </c>
      <c r="H287" s="17">
        <f>42.136 * CHOOSE(CONTROL!$C$9, $D$9, 100%, $F$9) + CHOOSE(CONTROL!$C$27, 0.0021, 0)</f>
        <v>42.138100000000001</v>
      </c>
      <c r="I287" s="17">
        <f>42.136 * CHOOSE(CONTROL!$C$9, $D$9, 100%, $F$9) + CHOOSE(CONTROL!$C$27, 0.0021, 0)</f>
        <v>42.138100000000001</v>
      </c>
      <c r="J287" s="17">
        <f>42.136 * CHOOSE(CONTROL!$C$9, $D$9, 100%, $F$9) + CHOOSE(CONTROL!$C$27, 0.0021, 0)</f>
        <v>42.138100000000001</v>
      </c>
      <c r="K287" s="17">
        <f>42.136 * CHOOSE(CONTROL!$C$9, $D$9, 100%, $F$9) + CHOOSE(CONTROL!$C$27, 0.0021, 0)</f>
        <v>42.138100000000001</v>
      </c>
      <c r="L287" s="17"/>
    </row>
    <row r="288" spans="1:12" ht="15" x14ac:dyDescent="0.2">
      <c r="A288" s="15">
        <v>49675</v>
      </c>
      <c r="B288" s="17">
        <f>42.0591 * CHOOSE(CONTROL!$C$9, $D$9, 100%, $F$9) + CHOOSE(CONTROL!$C$27, 0.0021, 0)</f>
        <v>42.061199999999999</v>
      </c>
      <c r="C288" s="17">
        <f>41.6269 * CHOOSE(CONTROL!$C$9, $D$9, 100%, $F$9) + CHOOSE(CONTROL!$C$27, 0.0021, 0)</f>
        <v>41.628999999999998</v>
      </c>
      <c r="D288" s="17">
        <f>41.6269 * CHOOSE(CONTROL!$C$9, $D$9, 100%, $F$9) + CHOOSE(CONTROL!$C$27, 0.0021, 0)</f>
        <v>41.628999999999998</v>
      </c>
      <c r="E288" s="17">
        <f>41.4902 * CHOOSE(CONTROL!$C$9, $D$9, 100%, $F$9) + CHOOSE(CONTROL!$C$27, 0.0021, 0)</f>
        <v>41.4923</v>
      </c>
      <c r="F288" s="17">
        <f>41.4902 * CHOOSE(CONTROL!$C$9, $D$9, 100%, $F$9) + CHOOSE(CONTROL!$C$27, 0.0021, 0)</f>
        <v>41.4923</v>
      </c>
      <c r="G288" s="17">
        <f>41.7616 * CHOOSE(CONTROL!$C$9, $D$9, 100%, $F$9) + CHOOSE(CONTROL!$C$27, 0.0021, 0)</f>
        <v>41.7637</v>
      </c>
      <c r="H288" s="17">
        <f>41.6269 * CHOOSE(CONTROL!$C$9, $D$9, 100%, $F$9) + CHOOSE(CONTROL!$C$27, 0.0021, 0)</f>
        <v>41.628999999999998</v>
      </c>
      <c r="I288" s="17">
        <f>41.6269 * CHOOSE(CONTROL!$C$9, $D$9, 100%, $F$9) + CHOOSE(CONTROL!$C$27, 0.0021, 0)</f>
        <v>41.628999999999998</v>
      </c>
      <c r="J288" s="17">
        <f>41.6269 * CHOOSE(CONTROL!$C$9, $D$9, 100%, $F$9) + CHOOSE(CONTROL!$C$27, 0.0021, 0)</f>
        <v>41.628999999999998</v>
      </c>
      <c r="K288" s="17">
        <f>41.6269 * CHOOSE(CONTROL!$C$9, $D$9, 100%, $F$9) + CHOOSE(CONTROL!$C$27, 0.0021, 0)</f>
        <v>41.628999999999998</v>
      </c>
      <c r="L288" s="17"/>
    </row>
    <row r="289" spans="1:12" ht="15" x14ac:dyDescent="0.2">
      <c r="A289" s="15">
        <v>49706</v>
      </c>
      <c r="B289" s="17">
        <f>40.9343 * CHOOSE(CONTROL!$C$9, $D$9, 100%, $F$9) + CHOOSE(CONTROL!$C$27, 0.0021, 0)</f>
        <v>40.936399999999999</v>
      </c>
      <c r="C289" s="17">
        <f>40.502 * CHOOSE(CONTROL!$C$9, $D$9, 100%, $F$9) + CHOOSE(CONTROL!$C$27, 0.0021, 0)</f>
        <v>40.504100000000001</v>
      </c>
      <c r="D289" s="17">
        <f>40.502 * CHOOSE(CONTROL!$C$9, $D$9, 100%, $F$9) + CHOOSE(CONTROL!$C$27, 0.0021, 0)</f>
        <v>40.504100000000001</v>
      </c>
      <c r="E289" s="17">
        <f>40.3654 * CHOOSE(CONTROL!$C$9, $D$9, 100%, $F$9) + CHOOSE(CONTROL!$C$27, 0.0021, 0)</f>
        <v>40.3675</v>
      </c>
      <c r="F289" s="17">
        <f>40.3654 * CHOOSE(CONTROL!$C$9, $D$9, 100%, $F$9) + CHOOSE(CONTROL!$C$27, 0.0021, 0)</f>
        <v>40.3675</v>
      </c>
      <c r="G289" s="17">
        <f>40.6368 * CHOOSE(CONTROL!$C$9, $D$9, 100%, $F$9) + CHOOSE(CONTROL!$C$27, 0.0021, 0)</f>
        <v>40.6389</v>
      </c>
      <c r="H289" s="17">
        <f>40.502 * CHOOSE(CONTROL!$C$9, $D$9, 100%, $F$9) + CHOOSE(CONTROL!$C$27, 0.0021, 0)</f>
        <v>40.504100000000001</v>
      </c>
      <c r="I289" s="17">
        <f>40.502 * CHOOSE(CONTROL!$C$9, $D$9, 100%, $F$9) + CHOOSE(CONTROL!$C$27, 0.0021, 0)</f>
        <v>40.504100000000001</v>
      </c>
      <c r="J289" s="17">
        <f>40.502 * CHOOSE(CONTROL!$C$9, $D$9, 100%, $F$9) + CHOOSE(CONTROL!$C$27, 0.0021, 0)</f>
        <v>40.504100000000001</v>
      </c>
      <c r="K289" s="17">
        <f>40.502 * CHOOSE(CONTROL!$C$9, $D$9, 100%, $F$9) + CHOOSE(CONTROL!$C$27, 0.0021, 0)</f>
        <v>40.504100000000001</v>
      </c>
      <c r="L289" s="17"/>
    </row>
    <row r="290" spans="1:12" ht="15" x14ac:dyDescent="0.2">
      <c r="A290" s="15">
        <v>49735</v>
      </c>
      <c r="B290" s="17">
        <f>40.47 * CHOOSE(CONTROL!$C$9, $D$9, 100%, $F$9) + CHOOSE(CONTROL!$C$27, 0.0021, 0)</f>
        <v>40.472099999999998</v>
      </c>
      <c r="C290" s="17">
        <f>40.0377 * CHOOSE(CONTROL!$C$9, $D$9, 100%, $F$9) + CHOOSE(CONTROL!$C$27, 0.0021, 0)</f>
        <v>40.0398</v>
      </c>
      <c r="D290" s="17">
        <f>40.0377 * CHOOSE(CONTROL!$C$9, $D$9, 100%, $F$9) + CHOOSE(CONTROL!$C$27, 0.0021, 0)</f>
        <v>40.0398</v>
      </c>
      <c r="E290" s="17">
        <f>39.9011 * CHOOSE(CONTROL!$C$9, $D$9, 100%, $F$9) + CHOOSE(CONTROL!$C$27, 0.0021, 0)</f>
        <v>39.903199999999998</v>
      </c>
      <c r="F290" s="17">
        <f>39.9011 * CHOOSE(CONTROL!$C$9, $D$9, 100%, $F$9) + CHOOSE(CONTROL!$C$27, 0.0021, 0)</f>
        <v>39.903199999999998</v>
      </c>
      <c r="G290" s="17">
        <f>40.1724 * CHOOSE(CONTROL!$C$9, $D$9, 100%, $F$9) + CHOOSE(CONTROL!$C$27, 0.0021, 0)</f>
        <v>40.174500000000002</v>
      </c>
      <c r="H290" s="17">
        <f>40.0377 * CHOOSE(CONTROL!$C$9, $D$9, 100%, $F$9) + CHOOSE(CONTROL!$C$27, 0.0021, 0)</f>
        <v>40.0398</v>
      </c>
      <c r="I290" s="17">
        <f>40.0377 * CHOOSE(CONTROL!$C$9, $D$9, 100%, $F$9) + CHOOSE(CONTROL!$C$27, 0.0021, 0)</f>
        <v>40.0398</v>
      </c>
      <c r="J290" s="17">
        <f>40.0377 * CHOOSE(CONTROL!$C$9, $D$9, 100%, $F$9) + CHOOSE(CONTROL!$C$27, 0.0021, 0)</f>
        <v>40.0398</v>
      </c>
      <c r="K290" s="17">
        <f>40.0377 * CHOOSE(CONTROL!$C$9, $D$9, 100%, $F$9) + CHOOSE(CONTROL!$C$27, 0.0021, 0)</f>
        <v>40.0398</v>
      </c>
      <c r="L290" s="17"/>
    </row>
    <row r="291" spans="1:12" ht="15" x14ac:dyDescent="0.2">
      <c r="A291" s="15">
        <v>49766</v>
      </c>
      <c r="B291" s="17">
        <f>39.9156 * CHOOSE(CONTROL!$C$9, $D$9, 100%, $F$9) + CHOOSE(CONTROL!$C$27, 0.0021, 0)</f>
        <v>39.917699999999996</v>
      </c>
      <c r="C291" s="17">
        <f>39.4833 * CHOOSE(CONTROL!$C$9, $D$9, 100%, $F$9) + CHOOSE(CONTROL!$C$27, 0.0021, 0)</f>
        <v>39.485399999999998</v>
      </c>
      <c r="D291" s="17">
        <f>39.4833 * CHOOSE(CONTROL!$C$9, $D$9, 100%, $F$9) + CHOOSE(CONTROL!$C$27, 0.0021, 0)</f>
        <v>39.485399999999998</v>
      </c>
      <c r="E291" s="17">
        <f>39.3466 * CHOOSE(CONTROL!$C$9, $D$9, 100%, $F$9) + CHOOSE(CONTROL!$C$27, 0.0021, 0)</f>
        <v>39.348700000000001</v>
      </c>
      <c r="F291" s="17">
        <f>39.3466 * CHOOSE(CONTROL!$C$9, $D$9, 100%, $F$9) + CHOOSE(CONTROL!$C$27, 0.0021, 0)</f>
        <v>39.348700000000001</v>
      </c>
      <c r="G291" s="17">
        <f>39.618 * CHOOSE(CONTROL!$C$9, $D$9, 100%, $F$9) + CHOOSE(CONTROL!$C$27, 0.0021, 0)</f>
        <v>39.620100000000001</v>
      </c>
      <c r="H291" s="17">
        <f>39.4833 * CHOOSE(CONTROL!$C$9, $D$9, 100%, $F$9) + CHOOSE(CONTROL!$C$27, 0.0021, 0)</f>
        <v>39.485399999999998</v>
      </c>
      <c r="I291" s="17">
        <f>39.4833 * CHOOSE(CONTROL!$C$9, $D$9, 100%, $F$9) + CHOOSE(CONTROL!$C$27, 0.0021, 0)</f>
        <v>39.485399999999998</v>
      </c>
      <c r="J291" s="17">
        <f>39.4833 * CHOOSE(CONTROL!$C$9, $D$9, 100%, $F$9) + CHOOSE(CONTROL!$C$27, 0.0021, 0)</f>
        <v>39.485399999999998</v>
      </c>
      <c r="K291" s="17">
        <f>39.4833 * CHOOSE(CONTROL!$C$9, $D$9, 100%, $F$9) + CHOOSE(CONTROL!$C$27, 0.0021, 0)</f>
        <v>39.485399999999998</v>
      </c>
      <c r="L291" s="17"/>
    </row>
    <row r="292" spans="1:12" ht="15" x14ac:dyDescent="0.2">
      <c r="A292" s="15">
        <v>49796</v>
      </c>
      <c r="B292" s="17">
        <f>40.7057 * CHOOSE(CONTROL!$C$9, $D$9, 100%, $F$9) + CHOOSE(CONTROL!$C$27, 0.0021, 0)</f>
        <v>40.707799999999999</v>
      </c>
      <c r="C292" s="17">
        <f>40.2734 * CHOOSE(CONTROL!$C$9, $D$9, 100%, $F$9) + CHOOSE(CONTROL!$C$27, 0.0021, 0)</f>
        <v>40.275500000000001</v>
      </c>
      <c r="D292" s="17">
        <f>40.2734 * CHOOSE(CONTROL!$C$9, $D$9, 100%, $F$9) + CHOOSE(CONTROL!$C$27, 0.0021, 0)</f>
        <v>40.275500000000001</v>
      </c>
      <c r="E292" s="17">
        <f>40.1368 * CHOOSE(CONTROL!$C$9, $D$9, 100%, $F$9) + CHOOSE(CONTROL!$C$27, 0.0021, 0)</f>
        <v>40.1389</v>
      </c>
      <c r="F292" s="17">
        <f>40.1368 * CHOOSE(CONTROL!$C$9, $D$9, 100%, $F$9) + CHOOSE(CONTROL!$C$27, 0.0021, 0)</f>
        <v>40.1389</v>
      </c>
      <c r="G292" s="17">
        <f>40.4081 * CHOOSE(CONTROL!$C$9, $D$9, 100%, $F$9) + CHOOSE(CONTROL!$C$27, 0.0021, 0)</f>
        <v>40.410199999999996</v>
      </c>
      <c r="H292" s="17">
        <f>40.2734 * CHOOSE(CONTROL!$C$9, $D$9, 100%, $F$9) + CHOOSE(CONTROL!$C$27, 0.0021, 0)</f>
        <v>40.275500000000001</v>
      </c>
      <c r="I292" s="17">
        <f>40.2734 * CHOOSE(CONTROL!$C$9, $D$9, 100%, $F$9) + CHOOSE(CONTROL!$C$27, 0.0021, 0)</f>
        <v>40.275500000000001</v>
      </c>
      <c r="J292" s="17">
        <f>40.2734 * CHOOSE(CONTROL!$C$9, $D$9, 100%, $F$9) + CHOOSE(CONTROL!$C$27, 0.0021, 0)</f>
        <v>40.275500000000001</v>
      </c>
      <c r="K292" s="17">
        <f>40.2734 * CHOOSE(CONTROL!$C$9, $D$9, 100%, $F$9) + CHOOSE(CONTROL!$C$27, 0.0021, 0)</f>
        <v>40.275500000000001</v>
      </c>
      <c r="L292" s="17"/>
    </row>
    <row r="293" spans="1:12" ht="15" x14ac:dyDescent="0.2">
      <c r="A293" s="15">
        <v>49827</v>
      </c>
      <c r="B293" s="17">
        <f>41.1789 * CHOOSE(CONTROL!$C$9, $D$9, 100%, $F$9) + CHOOSE(CONTROL!$C$27, 0.0021, 0)</f>
        <v>41.180999999999997</v>
      </c>
      <c r="C293" s="17">
        <f>40.7467 * CHOOSE(CONTROL!$C$9, $D$9, 100%, $F$9) + CHOOSE(CONTROL!$C$27, 0.0021, 0)</f>
        <v>40.748799999999996</v>
      </c>
      <c r="D293" s="17">
        <f>40.7467 * CHOOSE(CONTROL!$C$9, $D$9, 100%, $F$9) + CHOOSE(CONTROL!$C$27, 0.0021, 0)</f>
        <v>40.748799999999996</v>
      </c>
      <c r="E293" s="17">
        <f>40.61 * CHOOSE(CONTROL!$C$9, $D$9, 100%, $F$9) + CHOOSE(CONTROL!$C$27, 0.0021, 0)</f>
        <v>40.612099999999998</v>
      </c>
      <c r="F293" s="17">
        <f>40.61 * CHOOSE(CONTROL!$C$9, $D$9, 100%, $F$9) + CHOOSE(CONTROL!$C$27, 0.0021, 0)</f>
        <v>40.612099999999998</v>
      </c>
      <c r="G293" s="17">
        <f>40.8814 * CHOOSE(CONTROL!$C$9, $D$9, 100%, $F$9) + CHOOSE(CONTROL!$C$27, 0.0021, 0)</f>
        <v>40.883499999999998</v>
      </c>
      <c r="H293" s="17">
        <f>40.7467 * CHOOSE(CONTROL!$C$9, $D$9, 100%, $F$9) + CHOOSE(CONTROL!$C$27, 0.0021, 0)</f>
        <v>40.748799999999996</v>
      </c>
      <c r="I293" s="17">
        <f>40.7467 * CHOOSE(CONTROL!$C$9, $D$9, 100%, $F$9) + CHOOSE(CONTROL!$C$27, 0.0021, 0)</f>
        <v>40.748799999999996</v>
      </c>
      <c r="J293" s="17">
        <f>40.7467 * CHOOSE(CONTROL!$C$9, $D$9, 100%, $F$9) + CHOOSE(CONTROL!$C$27, 0.0021, 0)</f>
        <v>40.748799999999996</v>
      </c>
      <c r="K293" s="17">
        <f>40.7467 * CHOOSE(CONTROL!$C$9, $D$9, 100%, $F$9) + CHOOSE(CONTROL!$C$27, 0.0021, 0)</f>
        <v>40.748799999999996</v>
      </c>
      <c r="L293" s="17"/>
    </row>
    <row r="294" spans="1:12" ht="15" x14ac:dyDescent="0.2">
      <c r="A294" s="15">
        <v>49857</v>
      </c>
      <c r="B294" s="17">
        <f>41.9596 * CHOOSE(CONTROL!$C$9, $D$9, 100%, $F$9) + CHOOSE(CONTROL!$C$27, 0.0021, 0)</f>
        <v>41.9617</v>
      </c>
      <c r="C294" s="17">
        <f>41.5273 * CHOOSE(CONTROL!$C$9, $D$9, 100%, $F$9) + CHOOSE(CONTROL!$C$27, 0.0021, 0)</f>
        <v>41.529399999999995</v>
      </c>
      <c r="D294" s="17">
        <f>41.5273 * CHOOSE(CONTROL!$C$9, $D$9, 100%, $F$9) + CHOOSE(CONTROL!$C$27, 0.0021, 0)</f>
        <v>41.529399999999995</v>
      </c>
      <c r="E294" s="17">
        <f>41.3907 * CHOOSE(CONTROL!$C$9, $D$9, 100%, $F$9) + CHOOSE(CONTROL!$C$27, 0.0021, 0)</f>
        <v>41.392800000000001</v>
      </c>
      <c r="F294" s="17">
        <f>41.3907 * CHOOSE(CONTROL!$C$9, $D$9, 100%, $F$9) + CHOOSE(CONTROL!$C$27, 0.0021, 0)</f>
        <v>41.392800000000001</v>
      </c>
      <c r="G294" s="17">
        <f>41.662 * CHOOSE(CONTROL!$C$9, $D$9, 100%, $F$9) + CHOOSE(CONTROL!$C$27, 0.0021, 0)</f>
        <v>41.664099999999998</v>
      </c>
      <c r="H294" s="17">
        <f>41.5273 * CHOOSE(CONTROL!$C$9, $D$9, 100%, $F$9) + CHOOSE(CONTROL!$C$27, 0.0021, 0)</f>
        <v>41.529399999999995</v>
      </c>
      <c r="I294" s="17">
        <f>41.5273 * CHOOSE(CONTROL!$C$9, $D$9, 100%, $F$9) + CHOOSE(CONTROL!$C$27, 0.0021, 0)</f>
        <v>41.529399999999995</v>
      </c>
      <c r="J294" s="17">
        <f>41.5273 * CHOOSE(CONTROL!$C$9, $D$9, 100%, $F$9) + CHOOSE(CONTROL!$C$27, 0.0021, 0)</f>
        <v>41.529399999999995</v>
      </c>
      <c r="K294" s="17">
        <f>41.5273 * CHOOSE(CONTROL!$C$9, $D$9, 100%, $F$9) + CHOOSE(CONTROL!$C$27, 0.0021, 0)</f>
        <v>41.529399999999995</v>
      </c>
      <c r="L294" s="17"/>
    </row>
    <row r="295" spans="1:12" ht="15" x14ac:dyDescent="0.2">
      <c r="A295" s="15">
        <v>49888</v>
      </c>
      <c r="B295" s="17">
        <f>42.1979 * CHOOSE(CONTROL!$C$9, $D$9, 100%, $F$9) + CHOOSE(CONTROL!$C$27, 0.0021, 0)</f>
        <v>42.199999999999996</v>
      </c>
      <c r="C295" s="17">
        <f>41.7656 * CHOOSE(CONTROL!$C$9, $D$9, 100%, $F$9) + CHOOSE(CONTROL!$C$27, 0.0021, 0)</f>
        <v>41.767699999999998</v>
      </c>
      <c r="D295" s="17">
        <f>41.7656 * CHOOSE(CONTROL!$C$9, $D$9, 100%, $F$9) + CHOOSE(CONTROL!$C$27, 0.0021, 0)</f>
        <v>41.767699999999998</v>
      </c>
      <c r="E295" s="17">
        <f>41.629 * CHOOSE(CONTROL!$C$9, $D$9, 100%, $F$9) + CHOOSE(CONTROL!$C$27, 0.0021, 0)</f>
        <v>41.631099999999996</v>
      </c>
      <c r="F295" s="17">
        <f>41.629 * CHOOSE(CONTROL!$C$9, $D$9, 100%, $F$9) + CHOOSE(CONTROL!$C$27, 0.0021, 0)</f>
        <v>41.631099999999996</v>
      </c>
      <c r="G295" s="17">
        <f>41.9003 * CHOOSE(CONTROL!$C$9, $D$9, 100%, $F$9) + CHOOSE(CONTROL!$C$27, 0.0021, 0)</f>
        <v>41.9024</v>
      </c>
      <c r="H295" s="17">
        <f>41.7656 * CHOOSE(CONTROL!$C$9, $D$9, 100%, $F$9) + CHOOSE(CONTROL!$C$27, 0.0021, 0)</f>
        <v>41.767699999999998</v>
      </c>
      <c r="I295" s="17">
        <f>41.7656 * CHOOSE(CONTROL!$C$9, $D$9, 100%, $F$9) + CHOOSE(CONTROL!$C$27, 0.0021, 0)</f>
        <v>41.767699999999998</v>
      </c>
      <c r="J295" s="17">
        <f>41.7656 * CHOOSE(CONTROL!$C$9, $D$9, 100%, $F$9) + CHOOSE(CONTROL!$C$27, 0.0021, 0)</f>
        <v>41.767699999999998</v>
      </c>
      <c r="K295" s="17">
        <f>41.7656 * CHOOSE(CONTROL!$C$9, $D$9, 100%, $F$9) + CHOOSE(CONTROL!$C$27, 0.0021, 0)</f>
        <v>41.767699999999998</v>
      </c>
      <c r="L295" s="17"/>
    </row>
    <row r="296" spans="1:12" ht="15" x14ac:dyDescent="0.2">
      <c r="A296" s="15">
        <v>49919</v>
      </c>
      <c r="B296" s="17">
        <f>43.0093 * CHOOSE(CONTROL!$C$9, $D$9, 100%, $F$9) + CHOOSE(CONTROL!$C$27, 0.0021, 0)</f>
        <v>43.011400000000002</v>
      </c>
      <c r="C296" s="17">
        <f>42.5771 * CHOOSE(CONTROL!$C$9, $D$9, 100%, $F$9) + CHOOSE(CONTROL!$C$27, 0.0021, 0)</f>
        <v>42.5792</v>
      </c>
      <c r="D296" s="17">
        <f>42.5771 * CHOOSE(CONTROL!$C$9, $D$9, 100%, $F$9) + CHOOSE(CONTROL!$C$27, 0.0021, 0)</f>
        <v>42.5792</v>
      </c>
      <c r="E296" s="17">
        <f>42.4404 * CHOOSE(CONTROL!$C$9, $D$9, 100%, $F$9) + CHOOSE(CONTROL!$C$27, 0.0021, 0)</f>
        <v>42.442499999999995</v>
      </c>
      <c r="F296" s="17">
        <f>42.4404 * CHOOSE(CONTROL!$C$9, $D$9, 100%, $F$9) + CHOOSE(CONTROL!$C$27, 0.0021, 0)</f>
        <v>42.442499999999995</v>
      </c>
      <c r="G296" s="17">
        <f>42.7118 * CHOOSE(CONTROL!$C$9, $D$9, 100%, $F$9) + CHOOSE(CONTROL!$C$27, 0.0021, 0)</f>
        <v>42.713899999999995</v>
      </c>
      <c r="H296" s="17">
        <f>42.5771 * CHOOSE(CONTROL!$C$9, $D$9, 100%, $F$9) + CHOOSE(CONTROL!$C$27, 0.0021, 0)</f>
        <v>42.5792</v>
      </c>
      <c r="I296" s="17">
        <f>42.5771 * CHOOSE(CONTROL!$C$9, $D$9, 100%, $F$9) + CHOOSE(CONTROL!$C$27, 0.0021, 0)</f>
        <v>42.5792</v>
      </c>
      <c r="J296" s="17">
        <f>42.5771 * CHOOSE(CONTROL!$C$9, $D$9, 100%, $F$9) + CHOOSE(CONTROL!$C$27, 0.0021, 0)</f>
        <v>42.5792</v>
      </c>
      <c r="K296" s="17">
        <f>42.5771 * CHOOSE(CONTROL!$C$9, $D$9, 100%, $F$9) + CHOOSE(CONTROL!$C$27, 0.0021, 0)</f>
        <v>42.5792</v>
      </c>
      <c r="L296" s="17"/>
    </row>
    <row r="297" spans="1:12" ht="15" x14ac:dyDescent="0.2">
      <c r="A297" s="15">
        <v>49949</v>
      </c>
      <c r="B297" s="17">
        <f>44.0365 * CHOOSE(CONTROL!$C$9, $D$9, 100%, $F$9) + CHOOSE(CONTROL!$C$27, 0.0021, 0)</f>
        <v>44.038599999999995</v>
      </c>
      <c r="C297" s="17">
        <f>43.6043 * CHOOSE(CONTROL!$C$9, $D$9, 100%, $F$9) + CHOOSE(CONTROL!$C$27, 0.0021, 0)</f>
        <v>43.606400000000001</v>
      </c>
      <c r="D297" s="17">
        <f>43.6043 * CHOOSE(CONTROL!$C$9, $D$9, 100%, $F$9) + CHOOSE(CONTROL!$C$27, 0.0021, 0)</f>
        <v>43.606400000000001</v>
      </c>
      <c r="E297" s="17">
        <f>43.4676 * CHOOSE(CONTROL!$C$9, $D$9, 100%, $F$9) + CHOOSE(CONTROL!$C$27, 0.0021, 0)</f>
        <v>43.469699999999996</v>
      </c>
      <c r="F297" s="17">
        <f>43.4676 * CHOOSE(CONTROL!$C$9, $D$9, 100%, $F$9) + CHOOSE(CONTROL!$C$27, 0.0021, 0)</f>
        <v>43.469699999999996</v>
      </c>
      <c r="G297" s="17">
        <f>43.739 * CHOOSE(CONTROL!$C$9, $D$9, 100%, $F$9) + CHOOSE(CONTROL!$C$27, 0.0021, 0)</f>
        <v>43.741099999999996</v>
      </c>
      <c r="H297" s="17">
        <f>43.6043 * CHOOSE(CONTROL!$C$9, $D$9, 100%, $F$9) + CHOOSE(CONTROL!$C$27, 0.0021, 0)</f>
        <v>43.606400000000001</v>
      </c>
      <c r="I297" s="17">
        <f>43.6043 * CHOOSE(CONTROL!$C$9, $D$9, 100%, $F$9) + CHOOSE(CONTROL!$C$27, 0.0021, 0)</f>
        <v>43.606400000000001</v>
      </c>
      <c r="J297" s="17">
        <f>43.6043 * CHOOSE(CONTROL!$C$9, $D$9, 100%, $F$9) + CHOOSE(CONTROL!$C$27, 0.0021, 0)</f>
        <v>43.606400000000001</v>
      </c>
      <c r="K297" s="17">
        <f>43.6043 * CHOOSE(CONTROL!$C$9, $D$9, 100%, $F$9) + CHOOSE(CONTROL!$C$27, 0.0021, 0)</f>
        <v>43.606400000000001</v>
      </c>
      <c r="L297" s="17"/>
    </row>
    <row r="298" spans="1:12" ht="15" x14ac:dyDescent="0.2">
      <c r="A298" s="15">
        <v>49980</v>
      </c>
      <c r="B298" s="17">
        <f>44.133 * CHOOSE(CONTROL!$C$9, $D$9, 100%, $F$9) + CHOOSE(CONTROL!$C$27, 0.0021, 0)</f>
        <v>44.135100000000001</v>
      </c>
      <c r="C298" s="17">
        <f>43.7007 * CHOOSE(CONTROL!$C$9, $D$9, 100%, $F$9) + CHOOSE(CONTROL!$C$27, 0.0021, 0)</f>
        <v>43.702799999999996</v>
      </c>
      <c r="D298" s="17">
        <f>43.7007 * CHOOSE(CONTROL!$C$9, $D$9, 100%, $F$9) + CHOOSE(CONTROL!$C$27, 0.0021, 0)</f>
        <v>43.702799999999996</v>
      </c>
      <c r="E298" s="17">
        <f>43.564 * CHOOSE(CONTROL!$C$9, $D$9, 100%, $F$9) + CHOOSE(CONTROL!$C$27, 0.0021, 0)</f>
        <v>43.566099999999999</v>
      </c>
      <c r="F298" s="17">
        <f>43.564 * CHOOSE(CONTROL!$C$9, $D$9, 100%, $F$9) + CHOOSE(CONTROL!$C$27, 0.0021, 0)</f>
        <v>43.566099999999999</v>
      </c>
      <c r="G298" s="17">
        <f>43.8354 * CHOOSE(CONTROL!$C$9, $D$9, 100%, $F$9) + CHOOSE(CONTROL!$C$27, 0.0021, 0)</f>
        <v>43.837499999999999</v>
      </c>
      <c r="H298" s="17">
        <f>43.7007 * CHOOSE(CONTROL!$C$9, $D$9, 100%, $F$9) + CHOOSE(CONTROL!$C$27, 0.0021, 0)</f>
        <v>43.702799999999996</v>
      </c>
      <c r="I298" s="17">
        <f>43.7007 * CHOOSE(CONTROL!$C$9, $D$9, 100%, $F$9) + CHOOSE(CONTROL!$C$27, 0.0021, 0)</f>
        <v>43.702799999999996</v>
      </c>
      <c r="J298" s="17">
        <f>43.7007 * CHOOSE(CONTROL!$C$9, $D$9, 100%, $F$9) + CHOOSE(CONTROL!$C$27, 0.0021, 0)</f>
        <v>43.702799999999996</v>
      </c>
      <c r="K298" s="17">
        <f>43.7007 * CHOOSE(CONTROL!$C$9, $D$9, 100%, $F$9) + CHOOSE(CONTROL!$C$27, 0.0021, 0)</f>
        <v>43.702799999999996</v>
      </c>
      <c r="L298" s="17"/>
    </row>
    <row r="299" spans="1:12" ht="15" x14ac:dyDescent="0.2">
      <c r="A299" s="15">
        <v>50010</v>
      </c>
      <c r="B299" s="17">
        <f>43.3126 * CHOOSE(CONTROL!$C$9, $D$9, 100%, $F$9) + CHOOSE(CONTROL!$C$27, 0.0021, 0)</f>
        <v>43.314700000000002</v>
      </c>
      <c r="C299" s="17">
        <f>42.8803 * CHOOSE(CONTROL!$C$9, $D$9, 100%, $F$9) + CHOOSE(CONTROL!$C$27, 0.0021, 0)</f>
        <v>42.882399999999997</v>
      </c>
      <c r="D299" s="17">
        <f>42.8803 * CHOOSE(CONTROL!$C$9, $D$9, 100%, $F$9) + CHOOSE(CONTROL!$C$27, 0.0021, 0)</f>
        <v>42.882399999999997</v>
      </c>
      <c r="E299" s="17">
        <f>42.7437 * CHOOSE(CONTROL!$C$9, $D$9, 100%, $F$9) + CHOOSE(CONTROL!$C$27, 0.0021, 0)</f>
        <v>42.745799999999996</v>
      </c>
      <c r="F299" s="17">
        <f>42.7437 * CHOOSE(CONTROL!$C$9, $D$9, 100%, $F$9) + CHOOSE(CONTROL!$C$27, 0.0021, 0)</f>
        <v>42.745799999999996</v>
      </c>
      <c r="G299" s="17">
        <f>43.015 * CHOOSE(CONTROL!$C$9, $D$9, 100%, $F$9) + CHOOSE(CONTROL!$C$27, 0.0021, 0)</f>
        <v>43.017099999999999</v>
      </c>
      <c r="H299" s="17">
        <f>42.8803 * CHOOSE(CONTROL!$C$9, $D$9, 100%, $F$9) + CHOOSE(CONTROL!$C$27, 0.0021, 0)</f>
        <v>42.882399999999997</v>
      </c>
      <c r="I299" s="17">
        <f>42.8803 * CHOOSE(CONTROL!$C$9, $D$9, 100%, $F$9) + CHOOSE(CONTROL!$C$27, 0.0021, 0)</f>
        <v>42.882399999999997</v>
      </c>
      <c r="J299" s="17">
        <f>42.8803 * CHOOSE(CONTROL!$C$9, $D$9, 100%, $F$9) + CHOOSE(CONTROL!$C$27, 0.0021, 0)</f>
        <v>42.882399999999997</v>
      </c>
      <c r="K299" s="17">
        <f>42.8803 * CHOOSE(CONTROL!$C$9, $D$9, 100%, $F$9) + CHOOSE(CONTROL!$C$27, 0.0021, 0)</f>
        <v>42.882399999999997</v>
      </c>
      <c r="L299" s="17"/>
    </row>
    <row r="300" spans="1:12" ht="15" x14ac:dyDescent="0.2">
      <c r="A300" s="15">
        <v>50041</v>
      </c>
      <c r="B300" s="17">
        <f>42.794 * CHOOSE(CONTROL!$C$9, $D$9, 100%, $F$9) + CHOOSE(CONTROL!$C$27, 0.0021, 0)</f>
        <v>42.796099999999996</v>
      </c>
      <c r="C300" s="17">
        <f>42.3618 * CHOOSE(CONTROL!$C$9, $D$9, 100%, $F$9) + CHOOSE(CONTROL!$C$27, 0.0021, 0)</f>
        <v>42.363900000000001</v>
      </c>
      <c r="D300" s="17">
        <f>42.3618 * CHOOSE(CONTROL!$C$9, $D$9, 100%, $F$9) + CHOOSE(CONTROL!$C$27, 0.0021, 0)</f>
        <v>42.363900000000001</v>
      </c>
      <c r="E300" s="17">
        <f>42.2251 * CHOOSE(CONTROL!$C$9, $D$9, 100%, $F$9) + CHOOSE(CONTROL!$C$27, 0.0021, 0)</f>
        <v>42.227199999999996</v>
      </c>
      <c r="F300" s="17">
        <f>42.2251 * CHOOSE(CONTROL!$C$9, $D$9, 100%, $F$9) + CHOOSE(CONTROL!$C$27, 0.0021, 0)</f>
        <v>42.227199999999996</v>
      </c>
      <c r="G300" s="17">
        <f>42.4965 * CHOOSE(CONTROL!$C$9, $D$9, 100%, $F$9) + CHOOSE(CONTROL!$C$27, 0.0021, 0)</f>
        <v>42.498599999999996</v>
      </c>
      <c r="H300" s="17">
        <f>42.3618 * CHOOSE(CONTROL!$C$9, $D$9, 100%, $F$9) + CHOOSE(CONTROL!$C$27, 0.0021, 0)</f>
        <v>42.363900000000001</v>
      </c>
      <c r="I300" s="17">
        <f>42.3618 * CHOOSE(CONTROL!$C$9, $D$9, 100%, $F$9) + CHOOSE(CONTROL!$C$27, 0.0021, 0)</f>
        <v>42.363900000000001</v>
      </c>
      <c r="J300" s="17">
        <f>42.3618 * CHOOSE(CONTROL!$C$9, $D$9, 100%, $F$9) + CHOOSE(CONTROL!$C$27, 0.0021, 0)</f>
        <v>42.363900000000001</v>
      </c>
      <c r="K300" s="17">
        <f>42.3618 * CHOOSE(CONTROL!$C$9, $D$9, 100%, $F$9) + CHOOSE(CONTROL!$C$27, 0.0021, 0)</f>
        <v>42.363900000000001</v>
      </c>
      <c r="L300" s="17"/>
    </row>
    <row r="301" spans="1:12" ht="15" x14ac:dyDescent="0.2">
      <c r="A301" s="15">
        <v>50072</v>
      </c>
      <c r="B301" s="17">
        <f>41.6484 * CHOOSE(CONTROL!$C$9, $D$9, 100%, $F$9) + CHOOSE(CONTROL!$C$27, 0.0021, 0)</f>
        <v>41.650500000000001</v>
      </c>
      <c r="C301" s="17">
        <f>41.2162 * CHOOSE(CONTROL!$C$9, $D$9, 100%, $F$9) + CHOOSE(CONTROL!$C$27, 0.0021, 0)</f>
        <v>41.218299999999999</v>
      </c>
      <c r="D301" s="17">
        <f>41.2162 * CHOOSE(CONTROL!$C$9, $D$9, 100%, $F$9) + CHOOSE(CONTROL!$C$27, 0.0021, 0)</f>
        <v>41.218299999999999</v>
      </c>
      <c r="E301" s="17">
        <f>41.0795 * CHOOSE(CONTROL!$C$9, $D$9, 100%, $F$9) + CHOOSE(CONTROL!$C$27, 0.0021, 0)</f>
        <v>41.081600000000002</v>
      </c>
      <c r="F301" s="17">
        <f>41.0795 * CHOOSE(CONTROL!$C$9, $D$9, 100%, $F$9) + CHOOSE(CONTROL!$C$27, 0.0021, 0)</f>
        <v>41.081600000000002</v>
      </c>
      <c r="G301" s="17">
        <f>41.3509 * CHOOSE(CONTROL!$C$9, $D$9, 100%, $F$9) + CHOOSE(CONTROL!$C$27, 0.0021, 0)</f>
        <v>41.353000000000002</v>
      </c>
      <c r="H301" s="17">
        <f>41.2162 * CHOOSE(CONTROL!$C$9, $D$9, 100%, $F$9) + CHOOSE(CONTROL!$C$27, 0.0021, 0)</f>
        <v>41.218299999999999</v>
      </c>
      <c r="I301" s="17">
        <f>41.2162 * CHOOSE(CONTROL!$C$9, $D$9, 100%, $F$9) + CHOOSE(CONTROL!$C$27, 0.0021, 0)</f>
        <v>41.218299999999999</v>
      </c>
      <c r="J301" s="17">
        <f>41.2162 * CHOOSE(CONTROL!$C$9, $D$9, 100%, $F$9) + CHOOSE(CONTROL!$C$27, 0.0021, 0)</f>
        <v>41.218299999999999</v>
      </c>
      <c r="K301" s="17">
        <f>41.2162 * CHOOSE(CONTROL!$C$9, $D$9, 100%, $F$9) + CHOOSE(CONTROL!$C$27, 0.0021, 0)</f>
        <v>41.218299999999999</v>
      </c>
      <c r="L301" s="17"/>
    </row>
    <row r="302" spans="1:12" ht="15" x14ac:dyDescent="0.2">
      <c r="A302" s="15">
        <v>50100</v>
      </c>
      <c r="B302" s="17">
        <f>41.1755 * CHOOSE(CONTROL!$C$9, $D$9, 100%, $F$9) + CHOOSE(CONTROL!$C$27, 0.0021, 0)</f>
        <v>41.177599999999998</v>
      </c>
      <c r="C302" s="17">
        <f>40.7433 * CHOOSE(CONTROL!$C$9, $D$9, 100%, $F$9) + CHOOSE(CONTROL!$C$27, 0.0021, 0)</f>
        <v>40.745399999999997</v>
      </c>
      <c r="D302" s="17">
        <f>40.7433 * CHOOSE(CONTROL!$C$9, $D$9, 100%, $F$9) + CHOOSE(CONTROL!$C$27, 0.0021, 0)</f>
        <v>40.745399999999997</v>
      </c>
      <c r="E302" s="17">
        <f>40.6066 * CHOOSE(CONTROL!$C$9, $D$9, 100%, $F$9) + CHOOSE(CONTROL!$C$27, 0.0021, 0)</f>
        <v>40.608699999999999</v>
      </c>
      <c r="F302" s="17">
        <f>40.6066 * CHOOSE(CONTROL!$C$9, $D$9, 100%, $F$9) + CHOOSE(CONTROL!$C$27, 0.0021, 0)</f>
        <v>40.608699999999999</v>
      </c>
      <c r="G302" s="17">
        <f>40.878 * CHOOSE(CONTROL!$C$9, $D$9, 100%, $F$9) + CHOOSE(CONTROL!$C$27, 0.0021, 0)</f>
        <v>40.880099999999999</v>
      </c>
      <c r="H302" s="17">
        <f>40.7433 * CHOOSE(CONTROL!$C$9, $D$9, 100%, $F$9) + CHOOSE(CONTROL!$C$27, 0.0021, 0)</f>
        <v>40.745399999999997</v>
      </c>
      <c r="I302" s="17">
        <f>40.7433 * CHOOSE(CONTROL!$C$9, $D$9, 100%, $F$9) + CHOOSE(CONTROL!$C$27, 0.0021, 0)</f>
        <v>40.745399999999997</v>
      </c>
      <c r="J302" s="17">
        <f>40.7433 * CHOOSE(CONTROL!$C$9, $D$9, 100%, $F$9) + CHOOSE(CONTROL!$C$27, 0.0021, 0)</f>
        <v>40.745399999999997</v>
      </c>
      <c r="K302" s="17">
        <f>40.7433 * CHOOSE(CONTROL!$C$9, $D$9, 100%, $F$9) + CHOOSE(CONTROL!$C$27, 0.0021, 0)</f>
        <v>40.745399999999997</v>
      </c>
      <c r="L302" s="17"/>
    </row>
    <row r="303" spans="1:12" ht="15" x14ac:dyDescent="0.2">
      <c r="A303" s="15">
        <v>50131</v>
      </c>
      <c r="B303" s="17">
        <f>40.6109 * CHOOSE(CONTROL!$C$9, $D$9, 100%, $F$9) + CHOOSE(CONTROL!$C$27, 0.0021, 0)</f>
        <v>40.613</v>
      </c>
      <c r="C303" s="17">
        <f>40.1786 * CHOOSE(CONTROL!$C$9, $D$9, 100%, $F$9) + CHOOSE(CONTROL!$C$27, 0.0021, 0)</f>
        <v>40.180700000000002</v>
      </c>
      <c r="D303" s="17">
        <f>40.1786 * CHOOSE(CONTROL!$C$9, $D$9, 100%, $F$9) + CHOOSE(CONTROL!$C$27, 0.0021, 0)</f>
        <v>40.180700000000002</v>
      </c>
      <c r="E303" s="17">
        <f>40.042 * CHOOSE(CONTROL!$C$9, $D$9, 100%, $F$9) + CHOOSE(CONTROL!$C$27, 0.0021, 0)</f>
        <v>40.0441</v>
      </c>
      <c r="F303" s="17">
        <f>40.042 * CHOOSE(CONTROL!$C$9, $D$9, 100%, $F$9) + CHOOSE(CONTROL!$C$27, 0.0021, 0)</f>
        <v>40.0441</v>
      </c>
      <c r="G303" s="17">
        <f>40.3133 * CHOOSE(CONTROL!$C$9, $D$9, 100%, $F$9) + CHOOSE(CONTROL!$C$27, 0.0021, 0)</f>
        <v>40.315399999999997</v>
      </c>
      <c r="H303" s="17">
        <f>40.1786 * CHOOSE(CONTROL!$C$9, $D$9, 100%, $F$9) + CHOOSE(CONTROL!$C$27, 0.0021, 0)</f>
        <v>40.180700000000002</v>
      </c>
      <c r="I303" s="17">
        <f>40.1786 * CHOOSE(CONTROL!$C$9, $D$9, 100%, $F$9) + CHOOSE(CONTROL!$C$27, 0.0021, 0)</f>
        <v>40.180700000000002</v>
      </c>
      <c r="J303" s="17">
        <f>40.1786 * CHOOSE(CONTROL!$C$9, $D$9, 100%, $F$9) + CHOOSE(CONTROL!$C$27, 0.0021, 0)</f>
        <v>40.180700000000002</v>
      </c>
      <c r="K303" s="17">
        <f>40.1786 * CHOOSE(CONTROL!$C$9, $D$9, 100%, $F$9) + CHOOSE(CONTROL!$C$27, 0.0021, 0)</f>
        <v>40.180700000000002</v>
      </c>
      <c r="L303" s="17"/>
    </row>
    <row r="304" spans="1:12" ht="15" x14ac:dyDescent="0.2">
      <c r="A304" s="15">
        <v>50161</v>
      </c>
      <c r="B304" s="17">
        <f>41.4156 * CHOOSE(CONTROL!$C$9, $D$9, 100%, $F$9) + CHOOSE(CONTROL!$C$27, 0.0021, 0)</f>
        <v>41.417699999999996</v>
      </c>
      <c r="C304" s="17">
        <f>40.9833 * CHOOSE(CONTROL!$C$9, $D$9, 100%, $F$9) + CHOOSE(CONTROL!$C$27, 0.0021, 0)</f>
        <v>40.985399999999998</v>
      </c>
      <c r="D304" s="17">
        <f>40.9833 * CHOOSE(CONTROL!$C$9, $D$9, 100%, $F$9) + CHOOSE(CONTROL!$C$27, 0.0021, 0)</f>
        <v>40.985399999999998</v>
      </c>
      <c r="E304" s="17">
        <f>40.8467 * CHOOSE(CONTROL!$C$9, $D$9, 100%, $F$9) + CHOOSE(CONTROL!$C$27, 0.0021, 0)</f>
        <v>40.848799999999997</v>
      </c>
      <c r="F304" s="17">
        <f>40.8467 * CHOOSE(CONTROL!$C$9, $D$9, 100%, $F$9) + CHOOSE(CONTROL!$C$27, 0.0021, 0)</f>
        <v>40.848799999999997</v>
      </c>
      <c r="G304" s="17">
        <f>41.118 * CHOOSE(CONTROL!$C$9, $D$9, 100%, $F$9) + CHOOSE(CONTROL!$C$27, 0.0021, 0)</f>
        <v>41.120100000000001</v>
      </c>
      <c r="H304" s="17">
        <f>40.9833 * CHOOSE(CONTROL!$C$9, $D$9, 100%, $F$9) + CHOOSE(CONTROL!$C$27, 0.0021, 0)</f>
        <v>40.985399999999998</v>
      </c>
      <c r="I304" s="17">
        <f>40.9833 * CHOOSE(CONTROL!$C$9, $D$9, 100%, $F$9) + CHOOSE(CONTROL!$C$27, 0.0021, 0)</f>
        <v>40.985399999999998</v>
      </c>
      <c r="J304" s="17">
        <f>40.9833 * CHOOSE(CONTROL!$C$9, $D$9, 100%, $F$9) + CHOOSE(CONTROL!$C$27, 0.0021, 0)</f>
        <v>40.985399999999998</v>
      </c>
      <c r="K304" s="17">
        <f>40.9833 * CHOOSE(CONTROL!$C$9, $D$9, 100%, $F$9) + CHOOSE(CONTROL!$C$27, 0.0021, 0)</f>
        <v>40.985399999999998</v>
      </c>
      <c r="L304" s="17"/>
    </row>
    <row r="305" spans="1:12" ht="15" x14ac:dyDescent="0.2">
      <c r="A305" s="15">
        <v>50192</v>
      </c>
      <c r="B305" s="17">
        <f>41.8976 * CHOOSE(CONTROL!$C$9, $D$9, 100%, $F$9) + CHOOSE(CONTROL!$C$27, 0.0021, 0)</f>
        <v>41.899699999999996</v>
      </c>
      <c r="C305" s="17">
        <f>41.4653 * CHOOSE(CONTROL!$C$9, $D$9, 100%, $F$9) + CHOOSE(CONTROL!$C$27, 0.0021, 0)</f>
        <v>41.467399999999998</v>
      </c>
      <c r="D305" s="17">
        <f>41.4653 * CHOOSE(CONTROL!$C$9, $D$9, 100%, $F$9) + CHOOSE(CONTROL!$C$27, 0.0021, 0)</f>
        <v>41.467399999999998</v>
      </c>
      <c r="E305" s="17">
        <f>41.3286 * CHOOSE(CONTROL!$C$9, $D$9, 100%, $F$9) + CHOOSE(CONTROL!$C$27, 0.0021, 0)</f>
        <v>41.3307</v>
      </c>
      <c r="F305" s="17">
        <f>41.3286 * CHOOSE(CONTROL!$C$9, $D$9, 100%, $F$9) + CHOOSE(CONTROL!$C$27, 0.0021, 0)</f>
        <v>41.3307</v>
      </c>
      <c r="G305" s="17">
        <f>41.6 * CHOOSE(CONTROL!$C$9, $D$9, 100%, $F$9) + CHOOSE(CONTROL!$C$27, 0.0021, 0)</f>
        <v>41.6021</v>
      </c>
      <c r="H305" s="17">
        <f>41.4653 * CHOOSE(CONTROL!$C$9, $D$9, 100%, $F$9) + CHOOSE(CONTROL!$C$27, 0.0021, 0)</f>
        <v>41.467399999999998</v>
      </c>
      <c r="I305" s="17">
        <f>41.4653 * CHOOSE(CONTROL!$C$9, $D$9, 100%, $F$9) + CHOOSE(CONTROL!$C$27, 0.0021, 0)</f>
        <v>41.467399999999998</v>
      </c>
      <c r="J305" s="17">
        <f>41.4653 * CHOOSE(CONTROL!$C$9, $D$9, 100%, $F$9) + CHOOSE(CONTROL!$C$27, 0.0021, 0)</f>
        <v>41.467399999999998</v>
      </c>
      <c r="K305" s="17">
        <f>41.4653 * CHOOSE(CONTROL!$C$9, $D$9, 100%, $F$9) + CHOOSE(CONTROL!$C$27, 0.0021, 0)</f>
        <v>41.467399999999998</v>
      </c>
      <c r="L305" s="17"/>
    </row>
    <row r="306" spans="1:12" ht="15" x14ac:dyDescent="0.2">
      <c r="A306" s="15">
        <v>50222</v>
      </c>
      <c r="B306" s="17">
        <f>42.6927 * CHOOSE(CONTROL!$C$9, $D$9, 100%, $F$9) + CHOOSE(CONTROL!$C$27, 0.0021, 0)</f>
        <v>42.694800000000001</v>
      </c>
      <c r="C306" s="17">
        <f>42.2604 * CHOOSE(CONTROL!$C$9, $D$9, 100%, $F$9) + CHOOSE(CONTROL!$C$27, 0.0021, 0)</f>
        <v>42.262499999999996</v>
      </c>
      <c r="D306" s="17">
        <f>42.2604 * CHOOSE(CONTROL!$C$9, $D$9, 100%, $F$9) + CHOOSE(CONTROL!$C$27, 0.0021, 0)</f>
        <v>42.262499999999996</v>
      </c>
      <c r="E306" s="17">
        <f>42.1237 * CHOOSE(CONTROL!$C$9, $D$9, 100%, $F$9) + CHOOSE(CONTROL!$C$27, 0.0021, 0)</f>
        <v>42.125799999999998</v>
      </c>
      <c r="F306" s="17">
        <f>42.1237 * CHOOSE(CONTROL!$C$9, $D$9, 100%, $F$9) + CHOOSE(CONTROL!$C$27, 0.0021, 0)</f>
        <v>42.125799999999998</v>
      </c>
      <c r="G306" s="17">
        <f>42.3951 * CHOOSE(CONTROL!$C$9, $D$9, 100%, $F$9) + CHOOSE(CONTROL!$C$27, 0.0021, 0)</f>
        <v>42.397199999999998</v>
      </c>
      <c r="H306" s="17">
        <f>42.2604 * CHOOSE(CONTROL!$C$9, $D$9, 100%, $F$9) + CHOOSE(CONTROL!$C$27, 0.0021, 0)</f>
        <v>42.262499999999996</v>
      </c>
      <c r="I306" s="17">
        <f>42.2604 * CHOOSE(CONTROL!$C$9, $D$9, 100%, $F$9) + CHOOSE(CONTROL!$C$27, 0.0021, 0)</f>
        <v>42.262499999999996</v>
      </c>
      <c r="J306" s="17">
        <f>42.2604 * CHOOSE(CONTROL!$C$9, $D$9, 100%, $F$9) + CHOOSE(CONTROL!$C$27, 0.0021, 0)</f>
        <v>42.262499999999996</v>
      </c>
      <c r="K306" s="17">
        <f>42.2604 * CHOOSE(CONTROL!$C$9, $D$9, 100%, $F$9) + CHOOSE(CONTROL!$C$27, 0.0021, 0)</f>
        <v>42.262499999999996</v>
      </c>
      <c r="L306" s="17"/>
    </row>
    <row r="307" spans="1:12" ht="15" x14ac:dyDescent="0.2">
      <c r="A307" s="15">
        <v>50253</v>
      </c>
      <c r="B307" s="17">
        <f>42.9353 * CHOOSE(CONTROL!$C$9, $D$9, 100%, $F$9) + CHOOSE(CONTROL!$C$27, 0.0021, 0)</f>
        <v>42.937399999999997</v>
      </c>
      <c r="C307" s="17">
        <f>42.5031 * CHOOSE(CONTROL!$C$9, $D$9, 100%, $F$9) + CHOOSE(CONTROL!$C$27, 0.0021, 0)</f>
        <v>42.505200000000002</v>
      </c>
      <c r="D307" s="17">
        <f>42.5031 * CHOOSE(CONTROL!$C$9, $D$9, 100%, $F$9) + CHOOSE(CONTROL!$C$27, 0.0021, 0)</f>
        <v>42.505200000000002</v>
      </c>
      <c r="E307" s="17">
        <f>42.3664 * CHOOSE(CONTROL!$C$9, $D$9, 100%, $F$9) + CHOOSE(CONTROL!$C$27, 0.0021, 0)</f>
        <v>42.368499999999997</v>
      </c>
      <c r="F307" s="17">
        <f>42.3664 * CHOOSE(CONTROL!$C$9, $D$9, 100%, $F$9) + CHOOSE(CONTROL!$C$27, 0.0021, 0)</f>
        <v>42.368499999999997</v>
      </c>
      <c r="G307" s="17">
        <f>42.6378 * CHOOSE(CONTROL!$C$9, $D$9, 100%, $F$9) + CHOOSE(CONTROL!$C$27, 0.0021, 0)</f>
        <v>42.639899999999997</v>
      </c>
      <c r="H307" s="17">
        <f>42.5031 * CHOOSE(CONTROL!$C$9, $D$9, 100%, $F$9) + CHOOSE(CONTROL!$C$27, 0.0021, 0)</f>
        <v>42.505200000000002</v>
      </c>
      <c r="I307" s="17">
        <f>42.5031 * CHOOSE(CONTROL!$C$9, $D$9, 100%, $F$9) + CHOOSE(CONTROL!$C$27, 0.0021, 0)</f>
        <v>42.505200000000002</v>
      </c>
      <c r="J307" s="17">
        <f>42.5031 * CHOOSE(CONTROL!$C$9, $D$9, 100%, $F$9) + CHOOSE(CONTROL!$C$27, 0.0021, 0)</f>
        <v>42.505200000000002</v>
      </c>
      <c r="K307" s="17">
        <f>42.5031 * CHOOSE(CONTROL!$C$9, $D$9, 100%, $F$9) + CHOOSE(CONTROL!$C$27, 0.0021, 0)</f>
        <v>42.505200000000002</v>
      </c>
      <c r="L307" s="17"/>
    </row>
    <row r="308" spans="1:12" ht="15" x14ac:dyDescent="0.2">
      <c r="A308" s="15">
        <v>50284</v>
      </c>
      <c r="B308" s="17">
        <f>43.7618 * CHOOSE(CONTROL!$C$9, $D$9, 100%, $F$9) + CHOOSE(CONTROL!$C$27, 0.0021, 0)</f>
        <v>43.7639</v>
      </c>
      <c r="C308" s="17">
        <f>43.3296 * CHOOSE(CONTROL!$C$9, $D$9, 100%, $F$9) + CHOOSE(CONTROL!$C$27, 0.0021, 0)</f>
        <v>43.331699999999998</v>
      </c>
      <c r="D308" s="17">
        <f>43.3296 * CHOOSE(CONTROL!$C$9, $D$9, 100%, $F$9) + CHOOSE(CONTROL!$C$27, 0.0021, 0)</f>
        <v>43.331699999999998</v>
      </c>
      <c r="E308" s="17">
        <f>43.1929 * CHOOSE(CONTROL!$C$9, $D$9, 100%, $F$9) + CHOOSE(CONTROL!$C$27, 0.0021, 0)</f>
        <v>43.195</v>
      </c>
      <c r="F308" s="17">
        <f>43.1929 * CHOOSE(CONTROL!$C$9, $D$9, 100%, $F$9) + CHOOSE(CONTROL!$C$27, 0.0021, 0)</f>
        <v>43.195</v>
      </c>
      <c r="G308" s="17">
        <f>43.4643 * CHOOSE(CONTROL!$C$9, $D$9, 100%, $F$9) + CHOOSE(CONTROL!$C$27, 0.0021, 0)</f>
        <v>43.4664</v>
      </c>
      <c r="H308" s="17">
        <f>43.3296 * CHOOSE(CONTROL!$C$9, $D$9, 100%, $F$9) + CHOOSE(CONTROL!$C$27, 0.0021, 0)</f>
        <v>43.331699999999998</v>
      </c>
      <c r="I308" s="17">
        <f>43.3296 * CHOOSE(CONTROL!$C$9, $D$9, 100%, $F$9) + CHOOSE(CONTROL!$C$27, 0.0021, 0)</f>
        <v>43.331699999999998</v>
      </c>
      <c r="J308" s="17">
        <f>43.3296 * CHOOSE(CONTROL!$C$9, $D$9, 100%, $F$9) + CHOOSE(CONTROL!$C$27, 0.0021, 0)</f>
        <v>43.331699999999998</v>
      </c>
      <c r="K308" s="17">
        <f>43.3296 * CHOOSE(CONTROL!$C$9, $D$9, 100%, $F$9) + CHOOSE(CONTROL!$C$27, 0.0021, 0)</f>
        <v>43.331699999999998</v>
      </c>
      <c r="L308" s="17"/>
    </row>
    <row r="309" spans="1:12" ht="15" x14ac:dyDescent="0.2">
      <c r="A309" s="15">
        <v>50314</v>
      </c>
      <c r="B309" s="17">
        <f>44.808 * CHOOSE(CONTROL!$C$9, $D$9, 100%, $F$9) + CHOOSE(CONTROL!$C$27, 0.0021, 0)</f>
        <v>44.810099999999998</v>
      </c>
      <c r="C309" s="17">
        <f>44.3757 * CHOOSE(CONTROL!$C$9, $D$9, 100%, $F$9) + CHOOSE(CONTROL!$C$27, 0.0021, 0)</f>
        <v>44.377800000000001</v>
      </c>
      <c r="D309" s="17">
        <f>44.3757 * CHOOSE(CONTROL!$C$9, $D$9, 100%, $F$9) + CHOOSE(CONTROL!$C$27, 0.0021, 0)</f>
        <v>44.377800000000001</v>
      </c>
      <c r="E309" s="17">
        <f>44.2391 * CHOOSE(CONTROL!$C$9, $D$9, 100%, $F$9) + CHOOSE(CONTROL!$C$27, 0.0021, 0)</f>
        <v>44.241199999999999</v>
      </c>
      <c r="F309" s="17">
        <f>44.2391 * CHOOSE(CONTROL!$C$9, $D$9, 100%, $F$9) + CHOOSE(CONTROL!$C$27, 0.0021, 0)</f>
        <v>44.241199999999999</v>
      </c>
      <c r="G309" s="17">
        <f>44.5105 * CHOOSE(CONTROL!$C$9, $D$9, 100%, $F$9) + CHOOSE(CONTROL!$C$27, 0.0021, 0)</f>
        <v>44.512599999999999</v>
      </c>
      <c r="H309" s="17">
        <f>44.3757 * CHOOSE(CONTROL!$C$9, $D$9, 100%, $F$9) + CHOOSE(CONTROL!$C$27, 0.0021, 0)</f>
        <v>44.377800000000001</v>
      </c>
      <c r="I309" s="17">
        <f>44.3757 * CHOOSE(CONTROL!$C$9, $D$9, 100%, $F$9) + CHOOSE(CONTROL!$C$27, 0.0021, 0)</f>
        <v>44.377800000000001</v>
      </c>
      <c r="J309" s="17">
        <f>44.3757 * CHOOSE(CONTROL!$C$9, $D$9, 100%, $F$9) + CHOOSE(CONTROL!$C$27, 0.0021, 0)</f>
        <v>44.377800000000001</v>
      </c>
      <c r="K309" s="17">
        <f>44.3757 * CHOOSE(CONTROL!$C$9, $D$9, 100%, $F$9) + CHOOSE(CONTROL!$C$27, 0.0021, 0)</f>
        <v>44.377800000000001</v>
      </c>
      <c r="L309" s="17"/>
    </row>
    <row r="310" spans="1:12" ht="15" x14ac:dyDescent="0.2">
      <c r="A310" s="15">
        <v>50345</v>
      </c>
      <c r="B310" s="17">
        <f>44.9062 * CHOOSE(CONTROL!$C$9, $D$9, 100%, $F$9) + CHOOSE(CONTROL!$C$27, 0.0021, 0)</f>
        <v>44.908299999999997</v>
      </c>
      <c r="C310" s="17">
        <f>44.474 * CHOOSE(CONTROL!$C$9, $D$9, 100%, $F$9) + CHOOSE(CONTROL!$C$27, 0.0021, 0)</f>
        <v>44.476099999999995</v>
      </c>
      <c r="D310" s="17">
        <f>44.474 * CHOOSE(CONTROL!$C$9, $D$9, 100%, $F$9) + CHOOSE(CONTROL!$C$27, 0.0021, 0)</f>
        <v>44.476099999999995</v>
      </c>
      <c r="E310" s="17">
        <f>44.3373 * CHOOSE(CONTROL!$C$9, $D$9, 100%, $F$9) + CHOOSE(CONTROL!$C$27, 0.0021, 0)</f>
        <v>44.339399999999998</v>
      </c>
      <c r="F310" s="17">
        <f>44.3373 * CHOOSE(CONTROL!$C$9, $D$9, 100%, $F$9) + CHOOSE(CONTROL!$C$27, 0.0021, 0)</f>
        <v>44.339399999999998</v>
      </c>
      <c r="G310" s="17">
        <f>44.6087 * CHOOSE(CONTROL!$C$9, $D$9, 100%, $F$9) + CHOOSE(CONTROL!$C$27, 0.0021, 0)</f>
        <v>44.610799999999998</v>
      </c>
      <c r="H310" s="17">
        <f>44.474 * CHOOSE(CONTROL!$C$9, $D$9, 100%, $F$9) + CHOOSE(CONTROL!$C$27, 0.0021, 0)</f>
        <v>44.476099999999995</v>
      </c>
      <c r="I310" s="17">
        <f>44.474 * CHOOSE(CONTROL!$C$9, $D$9, 100%, $F$9) + CHOOSE(CONTROL!$C$27, 0.0021, 0)</f>
        <v>44.476099999999995</v>
      </c>
      <c r="J310" s="17">
        <f>44.474 * CHOOSE(CONTROL!$C$9, $D$9, 100%, $F$9) + CHOOSE(CONTROL!$C$27, 0.0021, 0)</f>
        <v>44.476099999999995</v>
      </c>
      <c r="K310" s="17">
        <f>44.474 * CHOOSE(CONTROL!$C$9, $D$9, 100%, $F$9) + CHOOSE(CONTROL!$C$27, 0.0021, 0)</f>
        <v>44.476099999999995</v>
      </c>
      <c r="L310" s="17"/>
    </row>
    <row r="311" spans="1:12" ht="15" x14ac:dyDescent="0.2">
      <c r="A311" s="15">
        <v>50375</v>
      </c>
      <c r="B311" s="17">
        <f>44.0706 * CHOOSE(CONTROL!$C$9, $D$9, 100%, $F$9) + CHOOSE(CONTROL!$C$27, 0.0021, 0)</f>
        <v>44.072699999999998</v>
      </c>
      <c r="C311" s="17">
        <f>43.6384 * CHOOSE(CONTROL!$C$9, $D$9, 100%, $F$9) + CHOOSE(CONTROL!$C$27, 0.0021, 0)</f>
        <v>43.640499999999996</v>
      </c>
      <c r="D311" s="17">
        <f>43.6384 * CHOOSE(CONTROL!$C$9, $D$9, 100%, $F$9) + CHOOSE(CONTROL!$C$27, 0.0021, 0)</f>
        <v>43.640499999999996</v>
      </c>
      <c r="E311" s="17">
        <f>43.5017 * CHOOSE(CONTROL!$C$9, $D$9, 100%, $F$9) + CHOOSE(CONTROL!$C$27, 0.0021, 0)</f>
        <v>43.503799999999998</v>
      </c>
      <c r="F311" s="17">
        <f>43.5017 * CHOOSE(CONTROL!$C$9, $D$9, 100%, $F$9) + CHOOSE(CONTROL!$C$27, 0.0021, 0)</f>
        <v>43.503799999999998</v>
      </c>
      <c r="G311" s="17">
        <f>43.7731 * CHOOSE(CONTROL!$C$9, $D$9, 100%, $F$9) + CHOOSE(CONTROL!$C$27, 0.0021, 0)</f>
        <v>43.775199999999998</v>
      </c>
      <c r="H311" s="17">
        <f>43.6384 * CHOOSE(CONTROL!$C$9, $D$9, 100%, $F$9) + CHOOSE(CONTROL!$C$27, 0.0021, 0)</f>
        <v>43.640499999999996</v>
      </c>
      <c r="I311" s="17">
        <f>43.6384 * CHOOSE(CONTROL!$C$9, $D$9, 100%, $F$9) + CHOOSE(CONTROL!$C$27, 0.0021, 0)</f>
        <v>43.640499999999996</v>
      </c>
      <c r="J311" s="17">
        <f>43.6384 * CHOOSE(CONTROL!$C$9, $D$9, 100%, $F$9) + CHOOSE(CONTROL!$C$27, 0.0021, 0)</f>
        <v>43.640499999999996</v>
      </c>
      <c r="K311" s="17">
        <f>43.6384 * CHOOSE(CONTROL!$C$9, $D$9, 100%, $F$9) + CHOOSE(CONTROL!$C$27, 0.0021, 0)</f>
        <v>43.640499999999996</v>
      </c>
      <c r="L311" s="17"/>
    </row>
    <row r="312" spans="1:12" ht="15.75" x14ac:dyDescent="0.25">
      <c r="A312" s="14">
        <v>50436</v>
      </c>
      <c r="B312" s="17">
        <f>43.5425 * CHOOSE(CONTROL!$C$9, $D$9, 100%, $F$9) + CHOOSE(CONTROL!$C$27, 0.0021, 0)</f>
        <v>43.544599999999996</v>
      </c>
      <c r="C312" s="17">
        <f>43.1103 * CHOOSE(CONTROL!$C$9, $D$9, 100%, $F$9) + CHOOSE(CONTROL!$C$27, 0.0021, 0)</f>
        <v>43.112400000000001</v>
      </c>
      <c r="D312" s="17">
        <f>43.1103 * CHOOSE(CONTROL!$C$9, $D$9, 100%, $F$9) + CHOOSE(CONTROL!$C$27, 0.0021, 0)</f>
        <v>43.112400000000001</v>
      </c>
      <c r="E312" s="17">
        <f>42.9736 * CHOOSE(CONTROL!$C$9, $D$9, 100%, $F$9) + CHOOSE(CONTROL!$C$27, 0.0021, 0)</f>
        <v>42.975699999999996</v>
      </c>
      <c r="F312" s="17">
        <f>42.9736 * CHOOSE(CONTROL!$C$9, $D$9, 100%, $F$9) + CHOOSE(CONTROL!$C$27, 0.0021, 0)</f>
        <v>42.975699999999996</v>
      </c>
      <c r="G312" s="17">
        <f>43.245 * CHOOSE(CONTROL!$C$9, $D$9, 100%, $F$9) + CHOOSE(CONTROL!$C$27, 0.0021, 0)</f>
        <v>43.247099999999996</v>
      </c>
      <c r="H312" s="17">
        <f>43.1103 * CHOOSE(CONTROL!$C$9, $D$9, 100%, $F$9) + CHOOSE(CONTROL!$C$27, 0.0021, 0)</f>
        <v>43.112400000000001</v>
      </c>
      <c r="I312" s="17">
        <f>43.1103 * CHOOSE(CONTROL!$C$9, $D$9, 100%, $F$9) + CHOOSE(CONTROL!$C$27, 0.0021, 0)</f>
        <v>43.112400000000001</v>
      </c>
      <c r="J312" s="17">
        <f>43.1103 * CHOOSE(CONTROL!$C$9, $D$9, 100%, $F$9) + CHOOSE(CONTROL!$C$27, 0.0021, 0)</f>
        <v>43.112400000000001</v>
      </c>
      <c r="K312" s="17">
        <f>43.1103 * CHOOSE(CONTROL!$C$9, $D$9, 100%, $F$9) + CHOOSE(CONTROL!$C$27, 0.0021, 0)</f>
        <v>43.112400000000001</v>
      </c>
      <c r="L312" s="17"/>
    </row>
    <row r="313" spans="1:12" ht="15.75" x14ac:dyDescent="0.25">
      <c r="A313" s="14">
        <v>50464</v>
      </c>
      <c r="B313" s="17">
        <f>42.3758 * CHOOSE(CONTROL!$C$9, $D$9, 100%, $F$9) + CHOOSE(CONTROL!$C$27, 0.0021, 0)</f>
        <v>42.377899999999997</v>
      </c>
      <c r="C313" s="17">
        <f>41.9435 * CHOOSE(CONTROL!$C$9, $D$9, 100%, $F$9) + CHOOSE(CONTROL!$C$27, 0.0021, 0)</f>
        <v>41.945599999999999</v>
      </c>
      <c r="D313" s="17">
        <f>41.9435 * CHOOSE(CONTROL!$C$9, $D$9, 100%, $F$9) + CHOOSE(CONTROL!$C$27, 0.0021, 0)</f>
        <v>41.945599999999999</v>
      </c>
      <c r="E313" s="17">
        <f>41.8068 * CHOOSE(CONTROL!$C$9, $D$9, 100%, $F$9) + CHOOSE(CONTROL!$C$27, 0.0021, 0)</f>
        <v>41.808900000000001</v>
      </c>
      <c r="F313" s="17">
        <f>41.8068 * CHOOSE(CONTROL!$C$9, $D$9, 100%, $F$9) + CHOOSE(CONTROL!$C$27, 0.0021, 0)</f>
        <v>41.808900000000001</v>
      </c>
      <c r="G313" s="17">
        <f>42.0782 * CHOOSE(CONTROL!$C$9, $D$9, 100%, $F$9) + CHOOSE(CONTROL!$C$27, 0.0021, 0)</f>
        <v>42.080300000000001</v>
      </c>
      <c r="H313" s="17">
        <f>41.9435 * CHOOSE(CONTROL!$C$9, $D$9, 100%, $F$9) + CHOOSE(CONTROL!$C$27, 0.0021, 0)</f>
        <v>41.945599999999999</v>
      </c>
      <c r="I313" s="17">
        <f>41.9435 * CHOOSE(CONTROL!$C$9, $D$9, 100%, $F$9) + CHOOSE(CONTROL!$C$27, 0.0021, 0)</f>
        <v>41.945599999999999</v>
      </c>
      <c r="J313" s="17">
        <f>41.9435 * CHOOSE(CONTROL!$C$9, $D$9, 100%, $F$9) + CHOOSE(CONTROL!$C$27, 0.0021, 0)</f>
        <v>41.945599999999999</v>
      </c>
      <c r="K313" s="17">
        <f>41.9435 * CHOOSE(CONTROL!$C$9, $D$9, 100%, $F$9) + CHOOSE(CONTROL!$C$27, 0.0021, 0)</f>
        <v>41.945599999999999</v>
      </c>
      <c r="L313" s="17"/>
    </row>
    <row r="314" spans="1:12" ht="15.75" x14ac:dyDescent="0.25">
      <c r="A314" s="14">
        <v>50495</v>
      </c>
      <c r="B314" s="17">
        <f>41.8941 * CHOOSE(CONTROL!$C$9, $D$9, 100%, $F$9) + CHOOSE(CONTROL!$C$27, 0.0021, 0)</f>
        <v>41.8962</v>
      </c>
      <c r="C314" s="17">
        <f>41.4619 * CHOOSE(CONTROL!$C$9, $D$9, 100%, $F$9) + CHOOSE(CONTROL!$C$27, 0.0021, 0)</f>
        <v>41.463999999999999</v>
      </c>
      <c r="D314" s="17">
        <f>41.4619 * CHOOSE(CONTROL!$C$9, $D$9, 100%, $F$9) + CHOOSE(CONTROL!$C$27, 0.0021, 0)</f>
        <v>41.463999999999999</v>
      </c>
      <c r="E314" s="17">
        <f>41.3252 * CHOOSE(CONTROL!$C$9, $D$9, 100%, $F$9) + CHOOSE(CONTROL!$C$27, 0.0021, 0)</f>
        <v>41.327300000000001</v>
      </c>
      <c r="F314" s="17">
        <f>41.3252 * CHOOSE(CONTROL!$C$9, $D$9, 100%, $F$9) + CHOOSE(CONTROL!$C$27, 0.0021, 0)</f>
        <v>41.327300000000001</v>
      </c>
      <c r="G314" s="17">
        <f>41.5966 * CHOOSE(CONTROL!$C$9, $D$9, 100%, $F$9) + CHOOSE(CONTROL!$C$27, 0.0021, 0)</f>
        <v>41.598700000000001</v>
      </c>
      <c r="H314" s="17">
        <f>41.4619 * CHOOSE(CONTROL!$C$9, $D$9, 100%, $F$9) + CHOOSE(CONTROL!$C$27, 0.0021, 0)</f>
        <v>41.463999999999999</v>
      </c>
      <c r="I314" s="17">
        <f>41.4619 * CHOOSE(CONTROL!$C$9, $D$9, 100%, $F$9) + CHOOSE(CONTROL!$C$27, 0.0021, 0)</f>
        <v>41.463999999999999</v>
      </c>
      <c r="J314" s="17">
        <f>41.4619 * CHOOSE(CONTROL!$C$9, $D$9, 100%, $F$9) + CHOOSE(CONTROL!$C$27, 0.0021, 0)</f>
        <v>41.463999999999999</v>
      </c>
      <c r="K314" s="17">
        <f>41.4619 * CHOOSE(CONTROL!$C$9, $D$9, 100%, $F$9) + CHOOSE(CONTROL!$C$27, 0.0021, 0)</f>
        <v>41.463999999999999</v>
      </c>
      <c r="L314" s="17"/>
    </row>
    <row r="315" spans="1:12" ht="15.75" x14ac:dyDescent="0.25">
      <c r="A315" s="14">
        <v>50525</v>
      </c>
      <c r="B315" s="17">
        <f>41.319 * CHOOSE(CONTROL!$C$9, $D$9, 100%, $F$9) + CHOOSE(CONTROL!$C$27, 0.0021, 0)</f>
        <v>41.321100000000001</v>
      </c>
      <c r="C315" s="17">
        <f>40.8868 * CHOOSE(CONTROL!$C$9, $D$9, 100%, $F$9) + CHOOSE(CONTROL!$C$27, 0.0021, 0)</f>
        <v>40.8889</v>
      </c>
      <c r="D315" s="17">
        <f>40.8868 * CHOOSE(CONTROL!$C$9, $D$9, 100%, $F$9) + CHOOSE(CONTROL!$C$27, 0.0021, 0)</f>
        <v>40.8889</v>
      </c>
      <c r="E315" s="17">
        <f>40.7501 * CHOOSE(CONTROL!$C$9, $D$9, 100%, $F$9) + CHOOSE(CONTROL!$C$27, 0.0021, 0)</f>
        <v>40.752200000000002</v>
      </c>
      <c r="F315" s="17">
        <f>40.7501 * CHOOSE(CONTROL!$C$9, $D$9, 100%, $F$9) + CHOOSE(CONTROL!$C$27, 0.0021, 0)</f>
        <v>40.752200000000002</v>
      </c>
      <c r="G315" s="17">
        <f>41.0215 * CHOOSE(CONTROL!$C$9, $D$9, 100%, $F$9) + CHOOSE(CONTROL!$C$27, 0.0021, 0)</f>
        <v>41.023600000000002</v>
      </c>
      <c r="H315" s="17">
        <f>40.8868 * CHOOSE(CONTROL!$C$9, $D$9, 100%, $F$9) + CHOOSE(CONTROL!$C$27, 0.0021, 0)</f>
        <v>40.8889</v>
      </c>
      <c r="I315" s="17">
        <f>40.8868 * CHOOSE(CONTROL!$C$9, $D$9, 100%, $F$9) + CHOOSE(CONTROL!$C$27, 0.0021, 0)</f>
        <v>40.8889</v>
      </c>
      <c r="J315" s="17">
        <f>40.8868 * CHOOSE(CONTROL!$C$9, $D$9, 100%, $F$9) + CHOOSE(CONTROL!$C$27, 0.0021, 0)</f>
        <v>40.8889</v>
      </c>
      <c r="K315" s="17">
        <f>40.8868 * CHOOSE(CONTROL!$C$9, $D$9, 100%, $F$9) + CHOOSE(CONTROL!$C$27, 0.0021, 0)</f>
        <v>40.8889</v>
      </c>
      <c r="L315" s="17"/>
    </row>
    <row r="316" spans="1:12" ht="15.75" x14ac:dyDescent="0.25">
      <c r="A316" s="14">
        <v>50556</v>
      </c>
      <c r="B316" s="17">
        <f>42.1386 * CHOOSE(CONTROL!$C$9, $D$9, 100%, $F$9) + CHOOSE(CONTROL!$C$27, 0.0021, 0)</f>
        <v>42.140699999999995</v>
      </c>
      <c r="C316" s="17">
        <f>41.7063 * CHOOSE(CONTROL!$C$9, $D$9, 100%, $F$9) + CHOOSE(CONTROL!$C$27, 0.0021, 0)</f>
        <v>41.708399999999997</v>
      </c>
      <c r="D316" s="17">
        <f>41.7063 * CHOOSE(CONTROL!$C$9, $D$9, 100%, $F$9) + CHOOSE(CONTROL!$C$27, 0.0021, 0)</f>
        <v>41.708399999999997</v>
      </c>
      <c r="E316" s="17">
        <f>41.5697 * CHOOSE(CONTROL!$C$9, $D$9, 100%, $F$9) + CHOOSE(CONTROL!$C$27, 0.0021, 0)</f>
        <v>41.571799999999996</v>
      </c>
      <c r="F316" s="17">
        <f>41.5697 * CHOOSE(CONTROL!$C$9, $D$9, 100%, $F$9) + CHOOSE(CONTROL!$C$27, 0.0021, 0)</f>
        <v>41.571799999999996</v>
      </c>
      <c r="G316" s="17">
        <f>41.8411 * CHOOSE(CONTROL!$C$9, $D$9, 100%, $F$9) + CHOOSE(CONTROL!$C$27, 0.0021, 0)</f>
        <v>41.843199999999996</v>
      </c>
      <c r="H316" s="17">
        <f>41.7063 * CHOOSE(CONTROL!$C$9, $D$9, 100%, $F$9) + CHOOSE(CONTROL!$C$27, 0.0021, 0)</f>
        <v>41.708399999999997</v>
      </c>
      <c r="I316" s="17">
        <f>41.7063 * CHOOSE(CONTROL!$C$9, $D$9, 100%, $F$9) + CHOOSE(CONTROL!$C$27, 0.0021, 0)</f>
        <v>41.708399999999997</v>
      </c>
      <c r="J316" s="17">
        <f>41.7063 * CHOOSE(CONTROL!$C$9, $D$9, 100%, $F$9) + CHOOSE(CONTROL!$C$27, 0.0021, 0)</f>
        <v>41.708399999999997</v>
      </c>
      <c r="K316" s="17">
        <f>41.7063 * CHOOSE(CONTROL!$C$9, $D$9, 100%, $F$9) + CHOOSE(CONTROL!$C$27, 0.0021, 0)</f>
        <v>41.708399999999997</v>
      </c>
      <c r="L316" s="17"/>
    </row>
    <row r="317" spans="1:12" ht="15.75" x14ac:dyDescent="0.25">
      <c r="A317" s="14">
        <v>50586</v>
      </c>
      <c r="B317" s="17">
        <f>42.6295 * CHOOSE(CONTROL!$C$9, $D$9, 100%, $F$9) + CHOOSE(CONTROL!$C$27, 0.0021, 0)</f>
        <v>42.631599999999999</v>
      </c>
      <c r="C317" s="17">
        <f>42.1972 * CHOOSE(CONTROL!$C$9, $D$9, 100%, $F$9) + CHOOSE(CONTROL!$C$27, 0.0021, 0)</f>
        <v>42.199300000000001</v>
      </c>
      <c r="D317" s="17">
        <f>42.1972 * CHOOSE(CONTROL!$C$9, $D$9, 100%, $F$9) + CHOOSE(CONTROL!$C$27, 0.0021, 0)</f>
        <v>42.199300000000001</v>
      </c>
      <c r="E317" s="17">
        <f>42.0606 * CHOOSE(CONTROL!$C$9, $D$9, 100%, $F$9) + CHOOSE(CONTROL!$C$27, 0.0021, 0)</f>
        <v>42.0627</v>
      </c>
      <c r="F317" s="17">
        <f>42.0606 * CHOOSE(CONTROL!$C$9, $D$9, 100%, $F$9) + CHOOSE(CONTROL!$C$27, 0.0021, 0)</f>
        <v>42.0627</v>
      </c>
      <c r="G317" s="17">
        <f>42.332 * CHOOSE(CONTROL!$C$9, $D$9, 100%, $F$9) + CHOOSE(CONTROL!$C$27, 0.0021, 0)</f>
        <v>42.334099999999999</v>
      </c>
      <c r="H317" s="17">
        <f>42.1972 * CHOOSE(CONTROL!$C$9, $D$9, 100%, $F$9) + CHOOSE(CONTROL!$C$27, 0.0021, 0)</f>
        <v>42.199300000000001</v>
      </c>
      <c r="I317" s="17">
        <f>42.1972 * CHOOSE(CONTROL!$C$9, $D$9, 100%, $F$9) + CHOOSE(CONTROL!$C$27, 0.0021, 0)</f>
        <v>42.199300000000001</v>
      </c>
      <c r="J317" s="17">
        <f>42.1972 * CHOOSE(CONTROL!$C$9, $D$9, 100%, $F$9) + CHOOSE(CONTROL!$C$27, 0.0021, 0)</f>
        <v>42.199300000000001</v>
      </c>
      <c r="K317" s="17">
        <f>42.1972 * CHOOSE(CONTROL!$C$9, $D$9, 100%, $F$9) + CHOOSE(CONTROL!$C$27, 0.0021, 0)</f>
        <v>42.199300000000001</v>
      </c>
      <c r="L317" s="17"/>
    </row>
    <row r="318" spans="1:12" ht="15.75" x14ac:dyDescent="0.25">
      <c r="A318" s="14">
        <v>50617</v>
      </c>
      <c r="B318" s="17">
        <f>43.4393 * CHOOSE(CONTROL!$C$9, $D$9, 100%, $F$9) + CHOOSE(CONTROL!$C$27, 0.0021, 0)</f>
        <v>43.441400000000002</v>
      </c>
      <c r="C318" s="17">
        <f>43.007 * CHOOSE(CONTROL!$C$9, $D$9, 100%, $F$9) + CHOOSE(CONTROL!$C$27, 0.0021, 0)</f>
        <v>43.009099999999997</v>
      </c>
      <c r="D318" s="17">
        <f>43.007 * CHOOSE(CONTROL!$C$9, $D$9, 100%, $F$9) + CHOOSE(CONTROL!$C$27, 0.0021, 0)</f>
        <v>43.009099999999997</v>
      </c>
      <c r="E318" s="17">
        <f>42.8704 * CHOOSE(CONTROL!$C$9, $D$9, 100%, $F$9) + CHOOSE(CONTROL!$C$27, 0.0021, 0)</f>
        <v>42.872499999999995</v>
      </c>
      <c r="F318" s="17">
        <f>42.8704 * CHOOSE(CONTROL!$C$9, $D$9, 100%, $F$9) + CHOOSE(CONTROL!$C$27, 0.0021, 0)</f>
        <v>42.872499999999995</v>
      </c>
      <c r="G318" s="17">
        <f>43.1417 * CHOOSE(CONTROL!$C$9, $D$9, 100%, $F$9) + CHOOSE(CONTROL!$C$27, 0.0021, 0)</f>
        <v>43.143799999999999</v>
      </c>
      <c r="H318" s="17">
        <f>43.007 * CHOOSE(CONTROL!$C$9, $D$9, 100%, $F$9) + CHOOSE(CONTROL!$C$27, 0.0021, 0)</f>
        <v>43.009099999999997</v>
      </c>
      <c r="I318" s="17">
        <f>43.007 * CHOOSE(CONTROL!$C$9, $D$9, 100%, $F$9) + CHOOSE(CONTROL!$C$27, 0.0021, 0)</f>
        <v>43.009099999999997</v>
      </c>
      <c r="J318" s="17">
        <f>43.007 * CHOOSE(CONTROL!$C$9, $D$9, 100%, $F$9) + CHOOSE(CONTROL!$C$27, 0.0021, 0)</f>
        <v>43.009099999999997</v>
      </c>
      <c r="K318" s="17">
        <f>43.007 * CHOOSE(CONTROL!$C$9, $D$9, 100%, $F$9) + CHOOSE(CONTROL!$C$27, 0.0021, 0)</f>
        <v>43.009099999999997</v>
      </c>
      <c r="L318" s="17"/>
    </row>
    <row r="319" spans="1:12" ht="15.75" x14ac:dyDescent="0.25">
      <c r="A319" s="14">
        <v>50648</v>
      </c>
      <c r="B319" s="17">
        <f>43.6865 * CHOOSE(CONTROL!$C$9, $D$9, 100%, $F$9) + CHOOSE(CONTROL!$C$27, 0.0021, 0)</f>
        <v>43.688600000000001</v>
      </c>
      <c r="C319" s="17">
        <f>43.2542 * CHOOSE(CONTROL!$C$9, $D$9, 100%, $F$9) + CHOOSE(CONTROL!$C$27, 0.0021, 0)</f>
        <v>43.256299999999996</v>
      </c>
      <c r="D319" s="17">
        <f>43.2542 * CHOOSE(CONTROL!$C$9, $D$9, 100%, $F$9) + CHOOSE(CONTROL!$C$27, 0.0021, 0)</f>
        <v>43.256299999999996</v>
      </c>
      <c r="E319" s="17">
        <f>43.1175 * CHOOSE(CONTROL!$C$9, $D$9, 100%, $F$9) + CHOOSE(CONTROL!$C$27, 0.0021, 0)</f>
        <v>43.119599999999998</v>
      </c>
      <c r="F319" s="17">
        <f>43.1175 * CHOOSE(CONTROL!$C$9, $D$9, 100%, $F$9) + CHOOSE(CONTROL!$C$27, 0.0021, 0)</f>
        <v>43.119599999999998</v>
      </c>
      <c r="G319" s="17">
        <f>43.3889 * CHOOSE(CONTROL!$C$9, $D$9, 100%, $F$9) + CHOOSE(CONTROL!$C$27, 0.0021, 0)</f>
        <v>43.390999999999998</v>
      </c>
      <c r="H319" s="17">
        <f>43.2542 * CHOOSE(CONTROL!$C$9, $D$9, 100%, $F$9) + CHOOSE(CONTROL!$C$27, 0.0021, 0)</f>
        <v>43.256299999999996</v>
      </c>
      <c r="I319" s="17">
        <f>43.2542 * CHOOSE(CONTROL!$C$9, $D$9, 100%, $F$9) + CHOOSE(CONTROL!$C$27, 0.0021, 0)</f>
        <v>43.256299999999996</v>
      </c>
      <c r="J319" s="17">
        <f>43.2542 * CHOOSE(CONTROL!$C$9, $D$9, 100%, $F$9) + CHOOSE(CONTROL!$C$27, 0.0021, 0)</f>
        <v>43.256299999999996</v>
      </c>
      <c r="K319" s="17">
        <f>43.2542 * CHOOSE(CONTROL!$C$9, $D$9, 100%, $F$9) + CHOOSE(CONTROL!$C$27, 0.0021, 0)</f>
        <v>43.256299999999996</v>
      </c>
      <c r="L319" s="17"/>
    </row>
    <row r="320" spans="1:12" ht="15.75" x14ac:dyDescent="0.25">
      <c r="A320" s="14">
        <v>50678</v>
      </c>
      <c r="B320" s="17">
        <f>44.5282 * CHOOSE(CONTROL!$C$9, $D$9, 100%, $F$9) + CHOOSE(CONTROL!$C$27, 0.0021, 0)</f>
        <v>44.530299999999997</v>
      </c>
      <c r="C320" s="17">
        <f>44.096 * CHOOSE(CONTROL!$C$9, $D$9, 100%, $F$9) + CHOOSE(CONTROL!$C$27, 0.0021, 0)</f>
        <v>44.098099999999995</v>
      </c>
      <c r="D320" s="17">
        <f>44.096 * CHOOSE(CONTROL!$C$9, $D$9, 100%, $F$9) + CHOOSE(CONTROL!$C$27, 0.0021, 0)</f>
        <v>44.098099999999995</v>
      </c>
      <c r="E320" s="17">
        <f>43.9593 * CHOOSE(CONTROL!$C$9, $D$9, 100%, $F$9) + CHOOSE(CONTROL!$C$27, 0.0021, 0)</f>
        <v>43.961399999999998</v>
      </c>
      <c r="F320" s="17">
        <f>43.9593 * CHOOSE(CONTROL!$C$9, $D$9, 100%, $F$9) + CHOOSE(CONTROL!$C$27, 0.0021, 0)</f>
        <v>43.961399999999998</v>
      </c>
      <c r="G320" s="17">
        <f>44.2307 * CHOOSE(CONTROL!$C$9, $D$9, 100%, $F$9) + CHOOSE(CONTROL!$C$27, 0.0021, 0)</f>
        <v>44.232799999999997</v>
      </c>
      <c r="H320" s="17">
        <f>44.096 * CHOOSE(CONTROL!$C$9, $D$9, 100%, $F$9) + CHOOSE(CONTROL!$C$27, 0.0021, 0)</f>
        <v>44.098099999999995</v>
      </c>
      <c r="I320" s="17">
        <f>44.096 * CHOOSE(CONTROL!$C$9, $D$9, 100%, $F$9) + CHOOSE(CONTROL!$C$27, 0.0021, 0)</f>
        <v>44.098099999999995</v>
      </c>
      <c r="J320" s="17">
        <f>44.096 * CHOOSE(CONTROL!$C$9, $D$9, 100%, $F$9) + CHOOSE(CONTROL!$C$27, 0.0021, 0)</f>
        <v>44.098099999999995</v>
      </c>
      <c r="K320" s="17">
        <f>44.096 * CHOOSE(CONTROL!$C$9, $D$9, 100%, $F$9) + CHOOSE(CONTROL!$C$27, 0.0021, 0)</f>
        <v>44.098099999999995</v>
      </c>
      <c r="L320" s="17"/>
    </row>
    <row r="321" spans="1:12" ht="15.75" x14ac:dyDescent="0.25">
      <c r="A321" s="14">
        <v>50709</v>
      </c>
      <c r="B321" s="17">
        <f>45.5937 * CHOOSE(CONTROL!$C$9, $D$9, 100%, $F$9) + CHOOSE(CONTROL!$C$27, 0.0021, 0)</f>
        <v>45.595799999999997</v>
      </c>
      <c r="C321" s="17">
        <f>45.1615 * CHOOSE(CONTROL!$C$9, $D$9, 100%, $F$9) + CHOOSE(CONTROL!$C$27, 0.0021, 0)</f>
        <v>45.163599999999995</v>
      </c>
      <c r="D321" s="17">
        <f>45.1615 * CHOOSE(CONTROL!$C$9, $D$9, 100%, $F$9) + CHOOSE(CONTROL!$C$27, 0.0021, 0)</f>
        <v>45.163599999999995</v>
      </c>
      <c r="E321" s="17">
        <f>45.0248 * CHOOSE(CONTROL!$C$9, $D$9, 100%, $F$9) + CHOOSE(CONTROL!$C$27, 0.0021, 0)</f>
        <v>45.026899999999998</v>
      </c>
      <c r="F321" s="17">
        <f>45.0248 * CHOOSE(CONTROL!$C$9, $D$9, 100%, $F$9) + CHOOSE(CONTROL!$C$27, 0.0021, 0)</f>
        <v>45.026899999999998</v>
      </c>
      <c r="G321" s="17">
        <f>45.2962 * CHOOSE(CONTROL!$C$9, $D$9, 100%, $F$9) + CHOOSE(CONTROL!$C$27, 0.0021, 0)</f>
        <v>45.298299999999998</v>
      </c>
      <c r="H321" s="17">
        <f>45.1615 * CHOOSE(CONTROL!$C$9, $D$9, 100%, $F$9) + CHOOSE(CONTROL!$C$27, 0.0021, 0)</f>
        <v>45.163599999999995</v>
      </c>
      <c r="I321" s="17">
        <f>45.1615 * CHOOSE(CONTROL!$C$9, $D$9, 100%, $F$9) + CHOOSE(CONTROL!$C$27, 0.0021, 0)</f>
        <v>45.163599999999995</v>
      </c>
      <c r="J321" s="17">
        <f>45.1615 * CHOOSE(CONTROL!$C$9, $D$9, 100%, $F$9) + CHOOSE(CONTROL!$C$27, 0.0021, 0)</f>
        <v>45.163599999999995</v>
      </c>
      <c r="K321" s="17">
        <f>45.1615 * CHOOSE(CONTROL!$C$9, $D$9, 100%, $F$9) + CHOOSE(CONTROL!$C$27, 0.0021, 0)</f>
        <v>45.163599999999995</v>
      </c>
      <c r="L321" s="17"/>
    </row>
    <row r="322" spans="1:12" ht="15.75" x14ac:dyDescent="0.25">
      <c r="A322" s="14">
        <v>50739</v>
      </c>
      <c r="B322" s="17">
        <f>45.6937 * CHOOSE(CONTROL!$C$9, $D$9, 100%, $F$9) + CHOOSE(CONTROL!$C$27, 0.0021, 0)</f>
        <v>45.695799999999998</v>
      </c>
      <c r="C322" s="17">
        <f>45.2615 * CHOOSE(CONTROL!$C$9, $D$9, 100%, $F$9) + CHOOSE(CONTROL!$C$27, 0.0021, 0)</f>
        <v>45.263599999999997</v>
      </c>
      <c r="D322" s="17">
        <f>45.2615 * CHOOSE(CONTROL!$C$9, $D$9, 100%, $F$9) + CHOOSE(CONTROL!$C$27, 0.0021, 0)</f>
        <v>45.263599999999997</v>
      </c>
      <c r="E322" s="17">
        <f>45.1248 * CHOOSE(CONTROL!$C$9, $D$9, 100%, $F$9) + CHOOSE(CONTROL!$C$27, 0.0021, 0)</f>
        <v>45.126899999999999</v>
      </c>
      <c r="F322" s="17">
        <f>45.1248 * CHOOSE(CONTROL!$C$9, $D$9, 100%, $F$9) + CHOOSE(CONTROL!$C$27, 0.0021, 0)</f>
        <v>45.126899999999999</v>
      </c>
      <c r="G322" s="17">
        <f>45.3962 * CHOOSE(CONTROL!$C$9, $D$9, 100%, $F$9) + CHOOSE(CONTROL!$C$27, 0.0021, 0)</f>
        <v>45.398299999999999</v>
      </c>
      <c r="H322" s="17">
        <f>45.2615 * CHOOSE(CONTROL!$C$9, $D$9, 100%, $F$9) + CHOOSE(CONTROL!$C$27, 0.0021, 0)</f>
        <v>45.263599999999997</v>
      </c>
      <c r="I322" s="17">
        <f>45.2615 * CHOOSE(CONTROL!$C$9, $D$9, 100%, $F$9) + CHOOSE(CONTROL!$C$27, 0.0021, 0)</f>
        <v>45.263599999999997</v>
      </c>
      <c r="J322" s="17">
        <f>45.2615 * CHOOSE(CONTROL!$C$9, $D$9, 100%, $F$9) + CHOOSE(CONTROL!$C$27, 0.0021, 0)</f>
        <v>45.263599999999997</v>
      </c>
      <c r="K322" s="17">
        <f>45.2615 * CHOOSE(CONTROL!$C$9, $D$9, 100%, $F$9) + CHOOSE(CONTROL!$C$27, 0.0021, 0)</f>
        <v>45.263599999999997</v>
      </c>
      <c r="L322" s="17"/>
    </row>
    <row r="323" spans="1:12" ht="15.75" x14ac:dyDescent="0.25">
      <c r="A323" s="14">
        <v>50770</v>
      </c>
      <c r="B323" s="17">
        <f>44.8427 * CHOOSE(CONTROL!$C$9, $D$9, 100%, $F$9) + CHOOSE(CONTROL!$C$27, 0.0021, 0)</f>
        <v>44.844799999999999</v>
      </c>
      <c r="C323" s="17">
        <f>44.4105 * CHOOSE(CONTROL!$C$9, $D$9, 100%, $F$9) + CHOOSE(CONTROL!$C$27, 0.0021, 0)</f>
        <v>44.412599999999998</v>
      </c>
      <c r="D323" s="17">
        <f>44.4105 * CHOOSE(CONTROL!$C$9, $D$9, 100%, $F$9) + CHOOSE(CONTROL!$C$27, 0.0021, 0)</f>
        <v>44.412599999999998</v>
      </c>
      <c r="E323" s="17">
        <f>44.2738 * CHOOSE(CONTROL!$C$9, $D$9, 100%, $F$9) + CHOOSE(CONTROL!$C$27, 0.0021, 0)</f>
        <v>44.2759</v>
      </c>
      <c r="F323" s="17">
        <f>44.2738 * CHOOSE(CONTROL!$C$9, $D$9, 100%, $F$9) + CHOOSE(CONTROL!$C$27, 0.0021, 0)</f>
        <v>44.2759</v>
      </c>
      <c r="G323" s="17">
        <f>44.5452 * CHOOSE(CONTROL!$C$9, $D$9, 100%, $F$9) + CHOOSE(CONTROL!$C$27, 0.0021, 0)</f>
        <v>44.5473</v>
      </c>
      <c r="H323" s="17">
        <f>44.4105 * CHOOSE(CONTROL!$C$9, $D$9, 100%, $F$9) + CHOOSE(CONTROL!$C$27, 0.0021, 0)</f>
        <v>44.412599999999998</v>
      </c>
      <c r="I323" s="17">
        <f>44.4105 * CHOOSE(CONTROL!$C$9, $D$9, 100%, $F$9) + CHOOSE(CONTROL!$C$27, 0.0021, 0)</f>
        <v>44.412599999999998</v>
      </c>
      <c r="J323" s="17">
        <f>44.4105 * CHOOSE(CONTROL!$C$9, $D$9, 100%, $F$9) + CHOOSE(CONTROL!$C$27, 0.0021, 0)</f>
        <v>44.412599999999998</v>
      </c>
      <c r="K323" s="17">
        <f>44.4105 * CHOOSE(CONTROL!$C$9, $D$9, 100%, $F$9) + CHOOSE(CONTROL!$C$27, 0.0021, 0)</f>
        <v>44.412599999999998</v>
      </c>
      <c r="L323" s="17"/>
    </row>
    <row r="324" spans="1:12" ht="15.75" x14ac:dyDescent="0.25">
      <c r="A324" s="14">
        <v>50801</v>
      </c>
      <c r="B324" s="17">
        <f>44.3049 * CHOOSE(CONTROL!$C$9, $D$9, 100%, $F$9) + CHOOSE(CONTROL!$C$27, 0.0021, 0)</f>
        <v>44.307000000000002</v>
      </c>
      <c r="C324" s="17">
        <f>43.8726 * CHOOSE(CONTROL!$C$9, $D$9, 100%, $F$9) + CHOOSE(CONTROL!$C$27, 0.0021, 0)</f>
        <v>43.874699999999997</v>
      </c>
      <c r="D324" s="17">
        <f>43.8726 * CHOOSE(CONTROL!$C$9, $D$9, 100%, $F$9) + CHOOSE(CONTROL!$C$27, 0.0021, 0)</f>
        <v>43.874699999999997</v>
      </c>
      <c r="E324" s="17">
        <f>43.736 * CHOOSE(CONTROL!$C$9, $D$9, 100%, $F$9) + CHOOSE(CONTROL!$C$27, 0.0021, 0)</f>
        <v>43.738099999999996</v>
      </c>
      <c r="F324" s="17">
        <f>43.736 * CHOOSE(CONTROL!$C$9, $D$9, 100%, $F$9) + CHOOSE(CONTROL!$C$27, 0.0021, 0)</f>
        <v>43.738099999999996</v>
      </c>
      <c r="G324" s="17">
        <f>44.0073 * CHOOSE(CONTROL!$C$9, $D$9, 100%, $F$9) + CHOOSE(CONTROL!$C$27, 0.0021, 0)</f>
        <v>44.009399999999999</v>
      </c>
      <c r="H324" s="17">
        <f>43.8726 * CHOOSE(CONTROL!$C$9, $D$9, 100%, $F$9) + CHOOSE(CONTROL!$C$27, 0.0021, 0)</f>
        <v>43.874699999999997</v>
      </c>
      <c r="I324" s="17">
        <f>43.8726 * CHOOSE(CONTROL!$C$9, $D$9, 100%, $F$9) + CHOOSE(CONTROL!$C$27, 0.0021, 0)</f>
        <v>43.874699999999997</v>
      </c>
      <c r="J324" s="17">
        <f>43.8726 * CHOOSE(CONTROL!$C$9, $D$9, 100%, $F$9) + CHOOSE(CONTROL!$C$27, 0.0021, 0)</f>
        <v>43.874699999999997</v>
      </c>
      <c r="K324" s="17">
        <f>43.8726 * CHOOSE(CONTROL!$C$9, $D$9, 100%, $F$9) + CHOOSE(CONTROL!$C$27, 0.0021, 0)</f>
        <v>43.874699999999997</v>
      </c>
      <c r="L324" s="17"/>
    </row>
    <row r="325" spans="1:12" ht="15.75" x14ac:dyDescent="0.25">
      <c r="A325" s="14">
        <v>50829</v>
      </c>
      <c r="B325" s="17">
        <f>43.1165 * CHOOSE(CONTROL!$C$9, $D$9, 100%, $F$9) + CHOOSE(CONTROL!$C$27, 0.0021, 0)</f>
        <v>43.118600000000001</v>
      </c>
      <c r="C325" s="17">
        <f>42.6843 * CHOOSE(CONTROL!$C$9, $D$9, 100%, $F$9) + CHOOSE(CONTROL!$C$27, 0.0021, 0)</f>
        <v>42.686399999999999</v>
      </c>
      <c r="D325" s="17">
        <f>42.6843 * CHOOSE(CONTROL!$C$9, $D$9, 100%, $F$9) + CHOOSE(CONTROL!$C$27, 0.0021, 0)</f>
        <v>42.686399999999999</v>
      </c>
      <c r="E325" s="17">
        <f>42.5476 * CHOOSE(CONTROL!$C$9, $D$9, 100%, $F$9) + CHOOSE(CONTROL!$C$27, 0.0021, 0)</f>
        <v>42.549700000000001</v>
      </c>
      <c r="F325" s="17">
        <f>42.5476 * CHOOSE(CONTROL!$C$9, $D$9, 100%, $F$9) + CHOOSE(CONTROL!$C$27, 0.0021, 0)</f>
        <v>42.549700000000001</v>
      </c>
      <c r="G325" s="17">
        <f>42.819 * CHOOSE(CONTROL!$C$9, $D$9, 100%, $F$9) + CHOOSE(CONTROL!$C$27, 0.0021, 0)</f>
        <v>42.821100000000001</v>
      </c>
      <c r="H325" s="17">
        <f>42.6843 * CHOOSE(CONTROL!$C$9, $D$9, 100%, $F$9) + CHOOSE(CONTROL!$C$27, 0.0021, 0)</f>
        <v>42.686399999999999</v>
      </c>
      <c r="I325" s="17">
        <f>42.6843 * CHOOSE(CONTROL!$C$9, $D$9, 100%, $F$9) + CHOOSE(CONTROL!$C$27, 0.0021, 0)</f>
        <v>42.686399999999999</v>
      </c>
      <c r="J325" s="17">
        <f>42.6843 * CHOOSE(CONTROL!$C$9, $D$9, 100%, $F$9) + CHOOSE(CONTROL!$C$27, 0.0021, 0)</f>
        <v>42.686399999999999</v>
      </c>
      <c r="K325" s="17">
        <f>42.6843 * CHOOSE(CONTROL!$C$9, $D$9, 100%, $F$9) + CHOOSE(CONTROL!$C$27, 0.0021, 0)</f>
        <v>42.686399999999999</v>
      </c>
      <c r="L325" s="17"/>
    </row>
    <row r="326" spans="1:12" ht="15.75" x14ac:dyDescent="0.25">
      <c r="A326" s="14">
        <v>50860</v>
      </c>
      <c r="B326" s="17">
        <f>42.626 * CHOOSE(CONTROL!$C$9, $D$9, 100%, $F$9) + CHOOSE(CONTROL!$C$27, 0.0021, 0)</f>
        <v>42.628099999999996</v>
      </c>
      <c r="C326" s="17">
        <f>42.1937 * CHOOSE(CONTROL!$C$9, $D$9, 100%, $F$9) + CHOOSE(CONTROL!$C$27, 0.0021, 0)</f>
        <v>42.195799999999998</v>
      </c>
      <c r="D326" s="17">
        <f>42.1937 * CHOOSE(CONTROL!$C$9, $D$9, 100%, $F$9) + CHOOSE(CONTROL!$C$27, 0.0021, 0)</f>
        <v>42.195799999999998</v>
      </c>
      <c r="E326" s="17">
        <f>42.0571 * CHOOSE(CONTROL!$C$9, $D$9, 100%, $F$9) + CHOOSE(CONTROL!$C$27, 0.0021, 0)</f>
        <v>42.059199999999997</v>
      </c>
      <c r="F326" s="17">
        <f>42.0571 * CHOOSE(CONTROL!$C$9, $D$9, 100%, $F$9) + CHOOSE(CONTROL!$C$27, 0.0021, 0)</f>
        <v>42.059199999999997</v>
      </c>
      <c r="G326" s="17">
        <f>42.3284 * CHOOSE(CONTROL!$C$9, $D$9, 100%, $F$9) + CHOOSE(CONTROL!$C$27, 0.0021, 0)</f>
        <v>42.330500000000001</v>
      </c>
      <c r="H326" s="17">
        <f>42.1937 * CHOOSE(CONTROL!$C$9, $D$9, 100%, $F$9) + CHOOSE(CONTROL!$C$27, 0.0021, 0)</f>
        <v>42.195799999999998</v>
      </c>
      <c r="I326" s="17">
        <f>42.1937 * CHOOSE(CONTROL!$C$9, $D$9, 100%, $F$9) + CHOOSE(CONTROL!$C$27, 0.0021, 0)</f>
        <v>42.195799999999998</v>
      </c>
      <c r="J326" s="17">
        <f>42.1937 * CHOOSE(CONTROL!$C$9, $D$9, 100%, $F$9) + CHOOSE(CONTROL!$C$27, 0.0021, 0)</f>
        <v>42.195799999999998</v>
      </c>
      <c r="K326" s="17">
        <f>42.1937 * CHOOSE(CONTROL!$C$9, $D$9, 100%, $F$9) + CHOOSE(CONTROL!$C$27, 0.0021, 0)</f>
        <v>42.195799999999998</v>
      </c>
      <c r="L326" s="17"/>
    </row>
    <row r="327" spans="1:12" ht="15.75" x14ac:dyDescent="0.25">
      <c r="A327" s="14">
        <v>50890</v>
      </c>
      <c r="B327" s="17">
        <f>42.0403 * CHOOSE(CONTROL!$C$9, $D$9, 100%, $F$9) + CHOOSE(CONTROL!$C$27, 0.0021, 0)</f>
        <v>42.042400000000001</v>
      </c>
      <c r="C327" s="17">
        <f>41.608 * CHOOSE(CONTROL!$C$9, $D$9, 100%, $F$9) + CHOOSE(CONTROL!$C$27, 0.0021, 0)</f>
        <v>41.610099999999996</v>
      </c>
      <c r="D327" s="17">
        <f>41.608 * CHOOSE(CONTROL!$C$9, $D$9, 100%, $F$9) + CHOOSE(CONTROL!$C$27, 0.0021, 0)</f>
        <v>41.610099999999996</v>
      </c>
      <c r="E327" s="17">
        <f>41.4713 * CHOOSE(CONTROL!$C$9, $D$9, 100%, $F$9) + CHOOSE(CONTROL!$C$27, 0.0021, 0)</f>
        <v>41.473399999999998</v>
      </c>
      <c r="F327" s="17">
        <f>41.4713 * CHOOSE(CONTROL!$C$9, $D$9, 100%, $F$9) + CHOOSE(CONTROL!$C$27, 0.0021, 0)</f>
        <v>41.473399999999998</v>
      </c>
      <c r="G327" s="17">
        <f>41.7427 * CHOOSE(CONTROL!$C$9, $D$9, 100%, $F$9) + CHOOSE(CONTROL!$C$27, 0.0021, 0)</f>
        <v>41.744799999999998</v>
      </c>
      <c r="H327" s="17">
        <f>41.608 * CHOOSE(CONTROL!$C$9, $D$9, 100%, $F$9) + CHOOSE(CONTROL!$C$27, 0.0021, 0)</f>
        <v>41.610099999999996</v>
      </c>
      <c r="I327" s="17">
        <f>41.608 * CHOOSE(CONTROL!$C$9, $D$9, 100%, $F$9) + CHOOSE(CONTROL!$C$27, 0.0021, 0)</f>
        <v>41.610099999999996</v>
      </c>
      <c r="J327" s="17">
        <f>41.608 * CHOOSE(CONTROL!$C$9, $D$9, 100%, $F$9) + CHOOSE(CONTROL!$C$27, 0.0021, 0)</f>
        <v>41.610099999999996</v>
      </c>
      <c r="K327" s="17">
        <f>41.608 * CHOOSE(CONTROL!$C$9, $D$9, 100%, $F$9) + CHOOSE(CONTROL!$C$27, 0.0021, 0)</f>
        <v>41.610099999999996</v>
      </c>
      <c r="L327" s="17"/>
    </row>
    <row r="328" spans="1:12" ht="15.75" x14ac:dyDescent="0.25">
      <c r="A328" s="14">
        <v>50921</v>
      </c>
      <c r="B328" s="17">
        <f>42.875 * CHOOSE(CONTROL!$C$9, $D$9, 100%, $F$9) + CHOOSE(CONTROL!$C$27, 0.0021, 0)</f>
        <v>42.877099999999999</v>
      </c>
      <c r="C328" s="17">
        <f>42.4427 * CHOOSE(CONTROL!$C$9, $D$9, 100%, $F$9) + CHOOSE(CONTROL!$C$27, 0.0021, 0)</f>
        <v>42.444800000000001</v>
      </c>
      <c r="D328" s="17">
        <f>42.4427 * CHOOSE(CONTROL!$C$9, $D$9, 100%, $F$9) + CHOOSE(CONTROL!$C$27, 0.0021, 0)</f>
        <v>42.444800000000001</v>
      </c>
      <c r="E328" s="17">
        <f>42.3061 * CHOOSE(CONTROL!$C$9, $D$9, 100%, $F$9) + CHOOSE(CONTROL!$C$27, 0.0021, 0)</f>
        <v>42.308199999999999</v>
      </c>
      <c r="F328" s="17">
        <f>42.3061 * CHOOSE(CONTROL!$C$9, $D$9, 100%, $F$9) + CHOOSE(CONTROL!$C$27, 0.0021, 0)</f>
        <v>42.308199999999999</v>
      </c>
      <c r="G328" s="17">
        <f>42.5774 * CHOOSE(CONTROL!$C$9, $D$9, 100%, $F$9) + CHOOSE(CONTROL!$C$27, 0.0021, 0)</f>
        <v>42.579499999999996</v>
      </c>
      <c r="H328" s="17">
        <f>42.4427 * CHOOSE(CONTROL!$C$9, $D$9, 100%, $F$9) + CHOOSE(CONTROL!$C$27, 0.0021, 0)</f>
        <v>42.444800000000001</v>
      </c>
      <c r="I328" s="17">
        <f>42.4427 * CHOOSE(CONTROL!$C$9, $D$9, 100%, $F$9) + CHOOSE(CONTROL!$C$27, 0.0021, 0)</f>
        <v>42.444800000000001</v>
      </c>
      <c r="J328" s="17">
        <f>42.4427 * CHOOSE(CONTROL!$C$9, $D$9, 100%, $F$9) + CHOOSE(CONTROL!$C$27, 0.0021, 0)</f>
        <v>42.444800000000001</v>
      </c>
      <c r="K328" s="17">
        <f>42.4427 * CHOOSE(CONTROL!$C$9, $D$9, 100%, $F$9) + CHOOSE(CONTROL!$C$27, 0.0021, 0)</f>
        <v>42.444800000000001</v>
      </c>
      <c r="L328" s="17"/>
    </row>
    <row r="329" spans="1:12" ht="15.75" x14ac:dyDescent="0.25">
      <c r="A329" s="14">
        <v>50951</v>
      </c>
      <c r="B329" s="17">
        <f>43.3749 * CHOOSE(CONTROL!$C$9, $D$9, 100%, $F$9) + CHOOSE(CONTROL!$C$27, 0.0021, 0)</f>
        <v>43.376999999999995</v>
      </c>
      <c r="C329" s="17">
        <f>42.9427 * CHOOSE(CONTROL!$C$9, $D$9, 100%, $F$9) + CHOOSE(CONTROL!$C$27, 0.0021, 0)</f>
        <v>42.944800000000001</v>
      </c>
      <c r="D329" s="17">
        <f>42.9427 * CHOOSE(CONTROL!$C$9, $D$9, 100%, $F$9) + CHOOSE(CONTROL!$C$27, 0.0021, 0)</f>
        <v>42.944800000000001</v>
      </c>
      <c r="E329" s="17">
        <f>42.806 * CHOOSE(CONTROL!$C$9, $D$9, 100%, $F$9) + CHOOSE(CONTROL!$C$27, 0.0021, 0)</f>
        <v>42.808099999999996</v>
      </c>
      <c r="F329" s="17">
        <f>42.806 * CHOOSE(CONTROL!$C$9, $D$9, 100%, $F$9) + CHOOSE(CONTROL!$C$27, 0.0021, 0)</f>
        <v>42.808099999999996</v>
      </c>
      <c r="G329" s="17">
        <f>43.0774 * CHOOSE(CONTROL!$C$9, $D$9, 100%, $F$9) + CHOOSE(CONTROL!$C$27, 0.0021, 0)</f>
        <v>43.079499999999996</v>
      </c>
      <c r="H329" s="17">
        <f>42.9427 * CHOOSE(CONTROL!$C$9, $D$9, 100%, $F$9) + CHOOSE(CONTROL!$C$27, 0.0021, 0)</f>
        <v>42.944800000000001</v>
      </c>
      <c r="I329" s="17">
        <f>42.9427 * CHOOSE(CONTROL!$C$9, $D$9, 100%, $F$9) + CHOOSE(CONTROL!$C$27, 0.0021, 0)</f>
        <v>42.944800000000001</v>
      </c>
      <c r="J329" s="17">
        <f>42.9427 * CHOOSE(CONTROL!$C$9, $D$9, 100%, $F$9) + CHOOSE(CONTROL!$C$27, 0.0021, 0)</f>
        <v>42.944800000000001</v>
      </c>
      <c r="K329" s="17">
        <f>42.9427 * CHOOSE(CONTROL!$C$9, $D$9, 100%, $F$9) + CHOOSE(CONTROL!$C$27, 0.0021, 0)</f>
        <v>42.944800000000001</v>
      </c>
      <c r="L329" s="17"/>
    </row>
    <row r="330" spans="1:12" ht="15.75" x14ac:dyDescent="0.25">
      <c r="A330" s="14">
        <v>50982</v>
      </c>
      <c r="B330" s="17">
        <f>44.1997 * CHOOSE(CONTROL!$C$9, $D$9, 100%, $F$9) + CHOOSE(CONTROL!$C$27, 0.0021, 0)</f>
        <v>44.201799999999999</v>
      </c>
      <c r="C330" s="17">
        <f>43.7675 * CHOOSE(CONTROL!$C$9, $D$9, 100%, $F$9) + CHOOSE(CONTROL!$C$27, 0.0021, 0)</f>
        <v>43.769599999999997</v>
      </c>
      <c r="D330" s="17">
        <f>43.7675 * CHOOSE(CONTROL!$C$9, $D$9, 100%, $F$9) + CHOOSE(CONTROL!$C$27, 0.0021, 0)</f>
        <v>43.769599999999997</v>
      </c>
      <c r="E330" s="17">
        <f>43.6308 * CHOOSE(CONTROL!$C$9, $D$9, 100%, $F$9) + CHOOSE(CONTROL!$C$27, 0.0021, 0)</f>
        <v>43.632899999999999</v>
      </c>
      <c r="F330" s="17">
        <f>43.6308 * CHOOSE(CONTROL!$C$9, $D$9, 100%, $F$9) + CHOOSE(CONTROL!$C$27, 0.0021, 0)</f>
        <v>43.632899999999999</v>
      </c>
      <c r="G330" s="17">
        <f>43.9022 * CHOOSE(CONTROL!$C$9, $D$9, 100%, $F$9) + CHOOSE(CONTROL!$C$27, 0.0021, 0)</f>
        <v>43.904299999999999</v>
      </c>
      <c r="H330" s="17">
        <f>43.7675 * CHOOSE(CONTROL!$C$9, $D$9, 100%, $F$9) + CHOOSE(CONTROL!$C$27, 0.0021, 0)</f>
        <v>43.769599999999997</v>
      </c>
      <c r="I330" s="17">
        <f>43.7675 * CHOOSE(CONTROL!$C$9, $D$9, 100%, $F$9) + CHOOSE(CONTROL!$C$27, 0.0021, 0)</f>
        <v>43.769599999999997</v>
      </c>
      <c r="J330" s="17">
        <f>43.7675 * CHOOSE(CONTROL!$C$9, $D$9, 100%, $F$9) + CHOOSE(CONTROL!$C$27, 0.0021, 0)</f>
        <v>43.769599999999997</v>
      </c>
      <c r="K330" s="17">
        <f>43.7675 * CHOOSE(CONTROL!$C$9, $D$9, 100%, $F$9) + CHOOSE(CONTROL!$C$27, 0.0021, 0)</f>
        <v>43.769599999999997</v>
      </c>
      <c r="L330" s="17"/>
    </row>
    <row r="331" spans="1:12" ht="15.75" x14ac:dyDescent="0.25">
      <c r="A331" s="14">
        <v>51013</v>
      </c>
      <c r="B331" s="17">
        <f>44.4514 * CHOOSE(CONTROL!$C$9, $D$9, 100%, $F$9) + CHOOSE(CONTROL!$C$27, 0.0021, 0)</f>
        <v>44.453499999999998</v>
      </c>
      <c r="C331" s="17">
        <f>44.0192 * CHOOSE(CONTROL!$C$9, $D$9, 100%, $F$9) + CHOOSE(CONTROL!$C$27, 0.0021, 0)</f>
        <v>44.021299999999997</v>
      </c>
      <c r="D331" s="17">
        <f>44.0192 * CHOOSE(CONTROL!$C$9, $D$9, 100%, $F$9) + CHOOSE(CONTROL!$C$27, 0.0021, 0)</f>
        <v>44.021299999999997</v>
      </c>
      <c r="E331" s="17">
        <f>43.8825 * CHOOSE(CONTROL!$C$9, $D$9, 100%, $F$9) + CHOOSE(CONTROL!$C$27, 0.0021, 0)</f>
        <v>43.884599999999999</v>
      </c>
      <c r="F331" s="17">
        <f>43.8825 * CHOOSE(CONTROL!$C$9, $D$9, 100%, $F$9) + CHOOSE(CONTROL!$C$27, 0.0021, 0)</f>
        <v>43.884599999999999</v>
      </c>
      <c r="G331" s="17">
        <f>44.1539 * CHOOSE(CONTROL!$C$9, $D$9, 100%, $F$9) + CHOOSE(CONTROL!$C$27, 0.0021, 0)</f>
        <v>44.155999999999999</v>
      </c>
      <c r="H331" s="17">
        <f>44.0192 * CHOOSE(CONTROL!$C$9, $D$9, 100%, $F$9) + CHOOSE(CONTROL!$C$27, 0.0021, 0)</f>
        <v>44.021299999999997</v>
      </c>
      <c r="I331" s="17">
        <f>44.0192 * CHOOSE(CONTROL!$C$9, $D$9, 100%, $F$9) + CHOOSE(CONTROL!$C$27, 0.0021, 0)</f>
        <v>44.021299999999997</v>
      </c>
      <c r="J331" s="17">
        <f>44.0192 * CHOOSE(CONTROL!$C$9, $D$9, 100%, $F$9) + CHOOSE(CONTROL!$C$27, 0.0021, 0)</f>
        <v>44.021299999999997</v>
      </c>
      <c r="K331" s="17">
        <f>44.0192 * CHOOSE(CONTROL!$C$9, $D$9, 100%, $F$9) + CHOOSE(CONTROL!$C$27, 0.0021, 0)</f>
        <v>44.021299999999997</v>
      </c>
      <c r="L331" s="17"/>
    </row>
    <row r="332" spans="1:12" ht="15.75" x14ac:dyDescent="0.25">
      <c r="A332" s="14">
        <v>51043</v>
      </c>
      <c r="B332" s="17">
        <f>45.3088 * CHOOSE(CONTROL!$C$9, $D$9, 100%, $F$9) + CHOOSE(CONTROL!$C$27, 0.0021, 0)</f>
        <v>45.310899999999997</v>
      </c>
      <c r="C332" s="17">
        <f>44.8765 * CHOOSE(CONTROL!$C$9, $D$9, 100%, $F$9) + CHOOSE(CONTROL!$C$27, 0.0021, 0)</f>
        <v>44.878599999999999</v>
      </c>
      <c r="D332" s="17">
        <f>44.8765 * CHOOSE(CONTROL!$C$9, $D$9, 100%, $F$9) + CHOOSE(CONTROL!$C$27, 0.0021, 0)</f>
        <v>44.878599999999999</v>
      </c>
      <c r="E332" s="17">
        <f>44.7398 * CHOOSE(CONTROL!$C$9, $D$9, 100%, $F$9) + CHOOSE(CONTROL!$C$27, 0.0021, 0)</f>
        <v>44.741900000000001</v>
      </c>
      <c r="F332" s="17">
        <f>44.7398 * CHOOSE(CONTROL!$C$9, $D$9, 100%, $F$9) + CHOOSE(CONTROL!$C$27, 0.0021, 0)</f>
        <v>44.741900000000001</v>
      </c>
      <c r="G332" s="17">
        <f>45.0112 * CHOOSE(CONTROL!$C$9, $D$9, 100%, $F$9) + CHOOSE(CONTROL!$C$27, 0.0021, 0)</f>
        <v>45.013300000000001</v>
      </c>
      <c r="H332" s="17">
        <f>44.8765 * CHOOSE(CONTROL!$C$9, $D$9, 100%, $F$9) + CHOOSE(CONTROL!$C$27, 0.0021, 0)</f>
        <v>44.878599999999999</v>
      </c>
      <c r="I332" s="17">
        <f>44.8765 * CHOOSE(CONTROL!$C$9, $D$9, 100%, $F$9) + CHOOSE(CONTROL!$C$27, 0.0021, 0)</f>
        <v>44.878599999999999</v>
      </c>
      <c r="J332" s="17">
        <f>44.8765 * CHOOSE(CONTROL!$C$9, $D$9, 100%, $F$9) + CHOOSE(CONTROL!$C$27, 0.0021, 0)</f>
        <v>44.878599999999999</v>
      </c>
      <c r="K332" s="17">
        <f>44.8765 * CHOOSE(CONTROL!$C$9, $D$9, 100%, $F$9) + CHOOSE(CONTROL!$C$27, 0.0021, 0)</f>
        <v>44.878599999999999</v>
      </c>
      <c r="L332" s="17"/>
    </row>
    <row r="333" spans="1:12" ht="15.75" x14ac:dyDescent="0.25">
      <c r="A333" s="14">
        <v>51074</v>
      </c>
      <c r="B333" s="17">
        <f>46.394 * CHOOSE(CONTROL!$C$9, $D$9, 100%, $F$9) + CHOOSE(CONTROL!$C$27, 0.0021, 0)</f>
        <v>46.396099999999997</v>
      </c>
      <c r="C333" s="17">
        <f>45.9617 * CHOOSE(CONTROL!$C$9, $D$9, 100%, $F$9) + CHOOSE(CONTROL!$C$27, 0.0021, 0)</f>
        <v>45.963799999999999</v>
      </c>
      <c r="D333" s="17">
        <f>45.9617 * CHOOSE(CONTROL!$C$9, $D$9, 100%, $F$9) + CHOOSE(CONTROL!$C$27, 0.0021, 0)</f>
        <v>45.963799999999999</v>
      </c>
      <c r="E333" s="17">
        <f>45.825 * CHOOSE(CONTROL!$C$9, $D$9, 100%, $F$9) + CHOOSE(CONTROL!$C$27, 0.0021, 0)</f>
        <v>45.827100000000002</v>
      </c>
      <c r="F333" s="17">
        <f>45.825 * CHOOSE(CONTROL!$C$9, $D$9, 100%, $F$9) + CHOOSE(CONTROL!$C$27, 0.0021, 0)</f>
        <v>45.827100000000002</v>
      </c>
      <c r="G333" s="17">
        <f>46.0964 * CHOOSE(CONTROL!$C$9, $D$9, 100%, $F$9) + CHOOSE(CONTROL!$C$27, 0.0021, 0)</f>
        <v>46.098500000000001</v>
      </c>
      <c r="H333" s="17">
        <f>45.9617 * CHOOSE(CONTROL!$C$9, $D$9, 100%, $F$9) + CHOOSE(CONTROL!$C$27, 0.0021, 0)</f>
        <v>45.963799999999999</v>
      </c>
      <c r="I333" s="17">
        <f>45.9617 * CHOOSE(CONTROL!$C$9, $D$9, 100%, $F$9) + CHOOSE(CONTROL!$C$27, 0.0021, 0)</f>
        <v>45.963799999999999</v>
      </c>
      <c r="J333" s="17">
        <f>45.9617 * CHOOSE(CONTROL!$C$9, $D$9, 100%, $F$9) + CHOOSE(CONTROL!$C$27, 0.0021, 0)</f>
        <v>45.963799999999999</v>
      </c>
      <c r="K333" s="17">
        <f>45.9617 * CHOOSE(CONTROL!$C$9, $D$9, 100%, $F$9) + CHOOSE(CONTROL!$C$27, 0.0021, 0)</f>
        <v>45.963799999999999</v>
      </c>
      <c r="L333" s="17"/>
    </row>
    <row r="334" spans="1:12" ht="15.75" x14ac:dyDescent="0.25">
      <c r="A334" s="14">
        <v>51104</v>
      </c>
      <c r="B334" s="17">
        <f>46.4958 * CHOOSE(CONTROL!$C$9, $D$9, 100%, $F$9) + CHOOSE(CONTROL!$C$27, 0.0021, 0)</f>
        <v>46.497900000000001</v>
      </c>
      <c r="C334" s="17">
        <f>46.0636 * CHOOSE(CONTROL!$C$9, $D$9, 100%, $F$9) + CHOOSE(CONTROL!$C$27, 0.0021, 0)</f>
        <v>46.0657</v>
      </c>
      <c r="D334" s="17">
        <f>46.0636 * CHOOSE(CONTROL!$C$9, $D$9, 100%, $F$9) + CHOOSE(CONTROL!$C$27, 0.0021, 0)</f>
        <v>46.0657</v>
      </c>
      <c r="E334" s="17">
        <f>45.9269 * CHOOSE(CONTROL!$C$9, $D$9, 100%, $F$9) + CHOOSE(CONTROL!$C$27, 0.0021, 0)</f>
        <v>45.929000000000002</v>
      </c>
      <c r="F334" s="17">
        <f>45.9269 * CHOOSE(CONTROL!$C$9, $D$9, 100%, $F$9) + CHOOSE(CONTROL!$C$27, 0.0021, 0)</f>
        <v>45.929000000000002</v>
      </c>
      <c r="G334" s="17">
        <f>46.1983 * CHOOSE(CONTROL!$C$9, $D$9, 100%, $F$9) + CHOOSE(CONTROL!$C$27, 0.0021, 0)</f>
        <v>46.200400000000002</v>
      </c>
      <c r="H334" s="17">
        <f>46.0636 * CHOOSE(CONTROL!$C$9, $D$9, 100%, $F$9) + CHOOSE(CONTROL!$C$27, 0.0021, 0)</f>
        <v>46.0657</v>
      </c>
      <c r="I334" s="17">
        <f>46.0636 * CHOOSE(CONTROL!$C$9, $D$9, 100%, $F$9) + CHOOSE(CONTROL!$C$27, 0.0021, 0)</f>
        <v>46.0657</v>
      </c>
      <c r="J334" s="17">
        <f>46.0636 * CHOOSE(CONTROL!$C$9, $D$9, 100%, $F$9) + CHOOSE(CONTROL!$C$27, 0.0021, 0)</f>
        <v>46.0657</v>
      </c>
      <c r="K334" s="17">
        <f>46.0636 * CHOOSE(CONTROL!$C$9, $D$9, 100%, $F$9) + CHOOSE(CONTROL!$C$27, 0.0021, 0)</f>
        <v>46.0657</v>
      </c>
      <c r="L334" s="17"/>
    </row>
    <row r="335" spans="1:12" ht="15.75" x14ac:dyDescent="0.25">
      <c r="A335" s="14">
        <v>51135</v>
      </c>
      <c r="B335" s="17">
        <f>45.6291 * CHOOSE(CONTROL!$C$9, $D$9, 100%, $F$9) + CHOOSE(CONTROL!$C$27, 0.0021, 0)</f>
        <v>45.6312</v>
      </c>
      <c r="C335" s="17">
        <f>45.1969 * CHOOSE(CONTROL!$C$9, $D$9, 100%, $F$9) + CHOOSE(CONTROL!$C$27, 0.0021, 0)</f>
        <v>45.198999999999998</v>
      </c>
      <c r="D335" s="17">
        <f>45.1969 * CHOOSE(CONTROL!$C$9, $D$9, 100%, $F$9) + CHOOSE(CONTROL!$C$27, 0.0021, 0)</f>
        <v>45.198999999999998</v>
      </c>
      <c r="E335" s="17">
        <f>45.0602 * CHOOSE(CONTROL!$C$9, $D$9, 100%, $F$9) + CHOOSE(CONTROL!$C$27, 0.0021, 0)</f>
        <v>45.0623</v>
      </c>
      <c r="F335" s="17">
        <f>45.0602 * CHOOSE(CONTROL!$C$9, $D$9, 100%, $F$9) + CHOOSE(CONTROL!$C$27, 0.0021, 0)</f>
        <v>45.0623</v>
      </c>
      <c r="G335" s="17">
        <f>45.3316 * CHOOSE(CONTROL!$C$9, $D$9, 100%, $F$9) + CHOOSE(CONTROL!$C$27, 0.0021, 0)</f>
        <v>45.3337</v>
      </c>
      <c r="H335" s="17">
        <f>45.1969 * CHOOSE(CONTROL!$C$9, $D$9, 100%, $F$9) + CHOOSE(CONTROL!$C$27, 0.0021, 0)</f>
        <v>45.198999999999998</v>
      </c>
      <c r="I335" s="17">
        <f>45.1969 * CHOOSE(CONTROL!$C$9, $D$9, 100%, $F$9) + CHOOSE(CONTROL!$C$27, 0.0021, 0)</f>
        <v>45.198999999999998</v>
      </c>
      <c r="J335" s="17">
        <f>45.1969 * CHOOSE(CONTROL!$C$9, $D$9, 100%, $F$9) + CHOOSE(CONTROL!$C$27, 0.0021, 0)</f>
        <v>45.198999999999998</v>
      </c>
      <c r="K335" s="17">
        <f>45.1969 * CHOOSE(CONTROL!$C$9, $D$9, 100%, $F$9) + CHOOSE(CONTROL!$C$27, 0.0021, 0)</f>
        <v>45.198999999999998</v>
      </c>
      <c r="L335" s="17"/>
    </row>
    <row r="336" spans="1:12" ht="15.75" x14ac:dyDescent="0.25">
      <c r="A336" s="14">
        <v>51166</v>
      </c>
      <c r="B336" s="17">
        <f>45.0813 * CHOOSE(CONTROL!$C$9, $D$9, 100%, $F$9) + CHOOSE(CONTROL!$C$27, 0.0021, 0)</f>
        <v>45.083399999999997</v>
      </c>
      <c r="C336" s="17">
        <f>44.649 * CHOOSE(CONTROL!$C$9, $D$9, 100%, $F$9) + CHOOSE(CONTROL!$C$27, 0.0021, 0)</f>
        <v>44.6511</v>
      </c>
      <c r="D336" s="17">
        <f>44.649 * CHOOSE(CONTROL!$C$9, $D$9, 100%, $F$9) + CHOOSE(CONTROL!$C$27, 0.0021, 0)</f>
        <v>44.6511</v>
      </c>
      <c r="E336" s="17">
        <f>44.5124 * CHOOSE(CONTROL!$C$9, $D$9, 100%, $F$9) + CHOOSE(CONTROL!$C$27, 0.0021, 0)</f>
        <v>44.514499999999998</v>
      </c>
      <c r="F336" s="17">
        <f>44.5124 * CHOOSE(CONTROL!$C$9, $D$9, 100%, $F$9) + CHOOSE(CONTROL!$C$27, 0.0021, 0)</f>
        <v>44.514499999999998</v>
      </c>
      <c r="G336" s="17">
        <f>44.7838 * CHOOSE(CONTROL!$C$9, $D$9, 100%, $F$9) + CHOOSE(CONTROL!$C$27, 0.0021, 0)</f>
        <v>44.785899999999998</v>
      </c>
      <c r="H336" s="17">
        <f>44.649 * CHOOSE(CONTROL!$C$9, $D$9, 100%, $F$9) + CHOOSE(CONTROL!$C$27, 0.0021, 0)</f>
        <v>44.6511</v>
      </c>
      <c r="I336" s="17">
        <f>44.649 * CHOOSE(CONTROL!$C$9, $D$9, 100%, $F$9) + CHOOSE(CONTROL!$C$27, 0.0021, 0)</f>
        <v>44.6511</v>
      </c>
      <c r="J336" s="17">
        <f>44.649 * CHOOSE(CONTROL!$C$9, $D$9, 100%, $F$9) + CHOOSE(CONTROL!$C$27, 0.0021, 0)</f>
        <v>44.6511</v>
      </c>
      <c r="K336" s="17">
        <f>44.649 * CHOOSE(CONTROL!$C$9, $D$9, 100%, $F$9) + CHOOSE(CONTROL!$C$27, 0.0021, 0)</f>
        <v>44.6511</v>
      </c>
      <c r="L336" s="17"/>
    </row>
    <row r="337" spans="1:12" ht="15.75" x14ac:dyDescent="0.25">
      <c r="A337" s="14">
        <v>51194</v>
      </c>
      <c r="B337" s="17">
        <f>43.871 * CHOOSE(CONTROL!$C$9, $D$9, 100%, $F$9) + CHOOSE(CONTROL!$C$27, 0.0021, 0)</f>
        <v>43.873100000000001</v>
      </c>
      <c r="C337" s="17">
        <f>43.4387 * CHOOSE(CONTROL!$C$9, $D$9, 100%, $F$9) + CHOOSE(CONTROL!$C$27, 0.0021, 0)</f>
        <v>43.440799999999996</v>
      </c>
      <c r="D337" s="17">
        <f>43.4387 * CHOOSE(CONTROL!$C$9, $D$9, 100%, $F$9) + CHOOSE(CONTROL!$C$27, 0.0021, 0)</f>
        <v>43.440799999999996</v>
      </c>
      <c r="E337" s="17">
        <f>43.3021 * CHOOSE(CONTROL!$C$9, $D$9, 100%, $F$9) + CHOOSE(CONTROL!$C$27, 0.0021, 0)</f>
        <v>43.304200000000002</v>
      </c>
      <c r="F337" s="17">
        <f>43.3021 * CHOOSE(CONTROL!$C$9, $D$9, 100%, $F$9) + CHOOSE(CONTROL!$C$27, 0.0021, 0)</f>
        <v>43.304200000000002</v>
      </c>
      <c r="G337" s="17">
        <f>43.5735 * CHOOSE(CONTROL!$C$9, $D$9, 100%, $F$9) + CHOOSE(CONTROL!$C$27, 0.0021, 0)</f>
        <v>43.575600000000001</v>
      </c>
      <c r="H337" s="17">
        <f>43.4387 * CHOOSE(CONTROL!$C$9, $D$9, 100%, $F$9) + CHOOSE(CONTROL!$C$27, 0.0021, 0)</f>
        <v>43.440799999999996</v>
      </c>
      <c r="I337" s="17">
        <f>43.4387 * CHOOSE(CONTROL!$C$9, $D$9, 100%, $F$9) + CHOOSE(CONTROL!$C$27, 0.0021, 0)</f>
        <v>43.440799999999996</v>
      </c>
      <c r="J337" s="17">
        <f>43.4387 * CHOOSE(CONTROL!$C$9, $D$9, 100%, $F$9) + CHOOSE(CONTROL!$C$27, 0.0021, 0)</f>
        <v>43.440799999999996</v>
      </c>
      <c r="K337" s="17">
        <f>43.4387 * CHOOSE(CONTROL!$C$9, $D$9, 100%, $F$9) + CHOOSE(CONTROL!$C$27, 0.0021, 0)</f>
        <v>43.440799999999996</v>
      </c>
      <c r="L337" s="17"/>
    </row>
    <row r="338" spans="1:12" ht="15.75" x14ac:dyDescent="0.25">
      <c r="A338" s="14">
        <v>51226</v>
      </c>
      <c r="B338" s="17">
        <f>43.3714 * CHOOSE(CONTROL!$C$9, $D$9, 100%, $F$9) + CHOOSE(CONTROL!$C$27, 0.0021, 0)</f>
        <v>43.3735</v>
      </c>
      <c r="C338" s="17">
        <f>42.9391 * CHOOSE(CONTROL!$C$9, $D$9, 100%, $F$9) + CHOOSE(CONTROL!$C$27, 0.0021, 0)</f>
        <v>42.941200000000002</v>
      </c>
      <c r="D338" s="17">
        <f>42.9391 * CHOOSE(CONTROL!$C$9, $D$9, 100%, $F$9) + CHOOSE(CONTROL!$C$27, 0.0021, 0)</f>
        <v>42.941200000000002</v>
      </c>
      <c r="E338" s="17">
        <f>42.8025 * CHOOSE(CONTROL!$C$9, $D$9, 100%, $F$9) + CHOOSE(CONTROL!$C$27, 0.0021, 0)</f>
        <v>42.804600000000001</v>
      </c>
      <c r="F338" s="17">
        <f>42.8025 * CHOOSE(CONTROL!$C$9, $D$9, 100%, $F$9) + CHOOSE(CONTROL!$C$27, 0.0021, 0)</f>
        <v>42.804600000000001</v>
      </c>
      <c r="G338" s="17">
        <f>43.0738 * CHOOSE(CONTROL!$C$9, $D$9, 100%, $F$9) + CHOOSE(CONTROL!$C$27, 0.0021, 0)</f>
        <v>43.075899999999997</v>
      </c>
      <c r="H338" s="17">
        <f>42.9391 * CHOOSE(CONTROL!$C$9, $D$9, 100%, $F$9) + CHOOSE(CONTROL!$C$27, 0.0021, 0)</f>
        <v>42.941200000000002</v>
      </c>
      <c r="I338" s="17">
        <f>42.9391 * CHOOSE(CONTROL!$C$9, $D$9, 100%, $F$9) + CHOOSE(CONTROL!$C$27, 0.0021, 0)</f>
        <v>42.941200000000002</v>
      </c>
      <c r="J338" s="17">
        <f>42.9391 * CHOOSE(CONTROL!$C$9, $D$9, 100%, $F$9) + CHOOSE(CONTROL!$C$27, 0.0021, 0)</f>
        <v>42.941200000000002</v>
      </c>
      <c r="K338" s="17">
        <f>42.9391 * CHOOSE(CONTROL!$C$9, $D$9, 100%, $F$9) + CHOOSE(CONTROL!$C$27, 0.0021, 0)</f>
        <v>42.941200000000002</v>
      </c>
      <c r="L338" s="17"/>
    </row>
    <row r="339" spans="1:12" ht="15.75" x14ac:dyDescent="0.25">
      <c r="A339" s="14">
        <v>51256</v>
      </c>
      <c r="B339" s="17">
        <f>42.7748 * CHOOSE(CONTROL!$C$9, $D$9, 100%, $F$9) + CHOOSE(CONTROL!$C$27, 0.0021, 0)</f>
        <v>42.776899999999998</v>
      </c>
      <c r="C339" s="17">
        <f>42.3426 * CHOOSE(CONTROL!$C$9, $D$9, 100%, $F$9) + CHOOSE(CONTROL!$C$27, 0.0021, 0)</f>
        <v>42.344699999999996</v>
      </c>
      <c r="D339" s="17">
        <f>42.3426 * CHOOSE(CONTROL!$C$9, $D$9, 100%, $F$9) + CHOOSE(CONTROL!$C$27, 0.0021, 0)</f>
        <v>42.344699999999996</v>
      </c>
      <c r="E339" s="17">
        <f>42.2059 * CHOOSE(CONTROL!$C$9, $D$9, 100%, $F$9) + CHOOSE(CONTROL!$C$27, 0.0021, 0)</f>
        <v>42.207999999999998</v>
      </c>
      <c r="F339" s="17">
        <f>42.2059 * CHOOSE(CONTROL!$C$9, $D$9, 100%, $F$9) + CHOOSE(CONTROL!$C$27, 0.0021, 0)</f>
        <v>42.207999999999998</v>
      </c>
      <c r="G339" s="17">
        <f>42.4773 * CHOOSE(CONTROL!$C$9, $D$9, 100%, $F$9) + CHOOSE(CONTROL!$C$27, 0.0021, 0)</f>
        <v>42.479399999999998</v>
      </c>
      <c r="H339" s="17">
        <f>42.3426 * CHOOSE(CONTROL!$C$9, $D$9, 100%, $F$9) + CHOOSE(CONTROL!$C$27, 0.0021, 0)</f>
        <v>42.344699999999996</v>
      </c>
      <c r="I339" s="17">
        <f>42.3426 * CHOOSE(CONTROL!$C$9, $D$9, 100%, $F$9) + CHOOSE(CONTROL!$C$27, 0.0021, 0)</f>
        <v>42.344699999999996</v>
      </c>
      <c r="J339" s="17">
        <f>42.3426 * CHOOSE(CONTROL!$C$9, $D$9, 100%, $F$9) + CHOOSE(CONTROL!$C$27, 0.0021, 0)</f>
        <v>42.344699999999996</v>
      </c>
      <c r="K339" s="17">
        <f>42.3426 * CHOOSE(CONTROL!$C$9, $D$9, 100%, $F$9) + CHOOSE(CONTROL!$C$27, 0.0021, 0)</f>
        <v>42.344699999999996</v>
      </c>
      <c r="L339" s="17"/>
    </row>
    <row r="340" spans="1:12" ht="15.75" x14ac:dyDescent="0.25">
      <c r="A340" s="14">
        <v>51287</v>
      </c>
      <c r="B340" s="17">
        <f>43.625 * CHOOSE(CONTROL!$C$9, $D$9, 100%, $F$9) + CHOOSE(CONTROL!$C$27, 0.0021, 0)</f>
        <v>43.627099999999999</v>
      </c>
      <c r="C340" s="17">
        <f>43.1927 * CHOOSE(CONTROL!$C$9, $D$9, 100%, $F$9) + CHOOSE(CONTROL!$C$27, 0.0021, 0)</f>
        <v>43.194800000000001</v>
      </c>
      <c r="D340" s="17">
        <f>43.1927 * CHOOSE(CONTROL!$C$9, $D$9, 100%, $F$9) + CHOOSE(CONTROL!$C$27, 0.0021, 0)</f>
        <v>43.194800000000001</v>
      </c>
      <c r="E340" s="17">
        <f>43.0561 * CHOOSE(CONTROL!$C$9, $D$9, 100%, $F$9) + CHOOSE(CONTROL!$C$27, 0.0021, 0)</f>
        <v>43.058199999999999</v>
      </c>
      <c r="F340" s="17">
        <f>43.0561 * CHOOSE(CONTROL!$C$9, $D$9, 100%, $F$9) + CHOOSE(CONTROL!$C$27, 0.0021, 0)</f>
        <v>43.058199999999999</v>
      </c>
      <c r="G340" s="17">
        <f>43.3274 * CHOOSE(CONTROL!$C$9, $D$9, 100%, $F$9) + CHOOSE(CONTROL!$C$27, 0.0021, 0)</f>
        <v>43.329499999999996</v>
      </c>
      <c r="H340" s="17">
        <f>43.1927 * CHOOSE(CONTROL!$C$9, $D$9, 100%, $F$9) + CHOOSE(CONTROL!$C$27, 0.0021, 0)</f>
        <v>43.194800000000001</v>
      </c>
      <c r="I340" s="17">
        <f>43.1927 * CHOOSE(CONTROL!$C$9, $D$9, 100%, $F$9) + CHOOSE(CONTROL!$C$27, 0.0021, 0)</f>
        <v>43.194800000000001</v>
      </c>
      <c r="J340" s="17">
        <f>43.1927 * CHOOSE(CONTROL!$C$9, $D$9, 100%, $F$9) + CHOOSE(CONTROL!$C$27, 0.0021, 0)</f>
        <v>43.194800000000001</v>
      </c>
      <c r="K340" s="17">
        <f>43.1927 * CHOOSE(CONTROL!$C$9, $D$9, 100%, $F$9) + CHOOSE(CONTROL!$C$27, 0.0021, 0)</f>
        <v>43.194800000000001</v>
      </c>
      <c r="L340" s="17"/>
    </row>
    <row r="341" spans="1:12" ht="15.75" x14ac:dyDescent="0.25">
      <c r="A341" s="14">
        <v>51317</v>
      </c>
      <c r="B341" s="17">
        <f>44.1342 * CHOOSE(CONTROL!$C$9, $D$9, 100%, $F$9) + CHOOSE(CONTROL!$C$27, 0.0021, 0)</f>
        <v>44.136299999999999</v>
      </c>
      <c r="C341" s="17">
        <f>43.7019 * CHOOSE(CONTROL!$C$9, $D$9, 100%, $F$9) + CHOOSE(CONTROL!$C$27, 0.0021, 0)</f>
        <v>43.704000000000001</v>
      </c>
      <c r="D341" s="17">
        <f>43.7019 * CHOOSE(CONTROL!$C$9, $D$9, 100%, $F$9) + CHOOSE(CONTROL!$C$27, 0.0021, 0)</f>
        <v>43.704000000000001</v>
      </c>
      <c r="E341" s="17">
        <f>43.5653 * CHOOSE(CONTROL!$C$9, $D$9, 100%, $F$9) + CHOOSE(CONTROL!$C$27, 0.0021, 0)</f>
        <v>43.567399999999999</v>
      </c>
      <c r="F341" s="17">
        <f>43.5653 * CHOOSE(CONTROL!$C$9, $D$9, 100%, $F$9) + CHOOSE(CONTROL!$C$27, 0.0021, 0)</f>
        <v>43.567399999999999</v>
      </c>
      <c r="G341" s="17">
        <f>43.8367 * CHOOSE(CONTROL!$C$9, $D$9, 100%, $F$9) + CHOOSE(CONTROL!$C$27, 0.0021, 0)</f>
        <v>43.838799999999999</v>
      </c>
      <c r="H341" s="17">
        <f>43.7019 * CHOOSE(CONTROL!$C$9, $D$9, 100%, $F$9) + CHOOSE(CONTROL!$C$27, 0.0021, 0)</f>
        <v>43.704000000000001</v>
      </c>
      <c r="I341" s="17">
        <f>43.7019 * CHOOSE(CONTROL!$C$9, $D$9, 100%, $F$9) + CHOOSE(CONTROL!$C$27, 0.0021, 0)</f>
        <v>43.704000000000001</v>
      </c>
      <c r="J341" s="17">
        <f>43.7019 * CHOOSE(CONTROL!$C$9, $D$9, 100%, $F$9) + CHOOSE(CONTROL!$C$27, 0.0021, 0)</f>
        <v>43.704000000000001</v>
      </c>
      <c r="K341" s="17">
        <f>43.7019 * CHOOSE(CONTROL!$C$9, $D$9, 100%, $F$9) + CHOOSE(CONTROL!$C$27, 0.0021, 0)</f>
        <v>43.704000000000001</v>
      </c>
      <c r="L341" s="17"/>
    </row>
    <row r="342" spans="1:12" ht="15.75" x14ac:dyDescent="0.25">
      <c r="A342" s="14">
        <v>51348</v>
      </c>
      <c r="B342" s="17">
        <f>44.9742 * CHOOSE(CONTROL!$C$9, $D$9, 100%, $F$9) + CHOOSE(CONTROL!$C$27, 0.0021, 0)</f>
        <v>44.976300000000002</v>
      </c>
      <c r="C342" s="17">
        <f>44.5419 * CHOOSE(CONTROL!$C$9, $D$9, 100%, $F$9) + CHOOSE(CONTROL!$C$27, 0.0021, 0)</f>
        <v>44.543999999999997</v>
      </c>
      <c r="D342" s="17">
        <f>44.5419 * CHOOSE(CONTROL!$C$9, $D$9, 100%, $F$9) + CHOOSE(CONTROL!$C$27, 0.0021, 0)</f>
        <v>44.543999999999997</v>
      </c>
      <c r="E342" s="17">
        <f>44.4053 * CHOOSE(CONTROL!$C$9, $D$9, 100%, $F$9) + CHOOSE(CONTROL!$C$27, 0.0021, 0)</f>
        <v>44.407399999999996</v>
      </c>
      <c r="F342" s="17">
        <f>44.4053 * CHOOSE(CONTROL!$C$9, $D$9, 100%, $F$9) + CHOOSE(CONTROL!$C$27, 0.0021, 0)</f>
        <v>44.407399999999996</v>
      </c>
      <c r="G342" s="17">
        <f>44.6767 * CHOOSE(CONTROL!$C$9, $D$9, 100%, $F$9) + CHOOSE(CONTROL!$C$27, 0.0021, 0)</f>
        <v>44.678799999999995</v>
      </c>
      <c r="H342" s="17">
        <f>44.5419 * CHOOSE(CONTROL!$C$9, $D$9, 100%, $F$9) + CHOOSE(CONTROL!$C$27, 0.0021, 0)</f>
        <v>44.543999999999997</v>
      </c>
      <c r="I342" s="17">
        <f>44.5419 * CHOOSE(CONTROL!$C$9, $D$9, 100%, $F$9) + CHOOSE(CONTROL!$C$27, 0.0021, 0)</f>
        <v>44.543999999999997</v>
      </c>
      <c r="J342" s="17">
        <f>44.5419 * CHOOSE(CONTROL!$C$9, $D$9, 100%, $F$9) + CHOOSE(CONTROL!$C$27, 0.0021, 0)</f>
        <v>44.543999999999997</v>
      </c>
      <c r="K342" s="17">
        <f>44.5419 * CHOOSE(CONTROL!$C$9, $D$9, 100%, $F$9) + CHOOSE(CONTROL!$C$27, 0.0021, 0)</f>
        <v>44.543999999999997</v>
      </c>
      <c r="L342" s="17"/>
    </row>
    <row r="343" spans="1:12" ht="15.75" x14ac:dyDescent="0.25">
      <c r="A343" s="14">
        <v>51379</v>
      </c>
      <c r="B343" s="17">
        <f>45.2306 * CHOOSE(CONTROL!$C$9, $D$9, 100%, $F$9) + CHOOSE(CONTROL!$C$27, 0.0021, 0)</f>
        <v>45.232700000000001</v>
      </c>
      <c r="C343" s="17">
        <f>44.7983 * CHOOSE(CONTROL!$C$9, $D$9, 100%, $F$9) + CHOOSE(CONTROL!$C$27, 0.0021, 0)</f>
        <v>44.800399999999996</v>
      </c>
      <c r="D343" s="17">
        <f>44.7983 * CHOOSE(CONTROL!$C$9, $D$9, 100%, $F$9) + CHOOSE(CONTROL!$C$27, 0.0021, 0)</f>
        <v>44.800399999999996</v>
      </c>
      <c r="E343" s="17">
        <f>44.6617 * CHOOSE(CONTROL!$C$9, $D$9, 100%, $F$9) + CHOOSE(CONTROL!$C$27, 0.0021, 0)</f>
        <v>44.663800000000002</v>
      </c>
      <c r="F343" s="17">
        <f>44.6617 * CHOOSE(CONTROL!$C$9, $D$9, 100%, $F$9) + CHOOSE(CONTROL!$C$27, 0.0021, 0)</f>
        <v>44.663800000000002</v>
      </c>
      <c r="G343" s="17">
        <f>44.933 * CHOOSE(CONTROL!$C$9, $D$9, 100%, $F$9) + CHOOSE(CONTROL!$C$27, 0.0021, 0)</f>
        <v>44.935099999999998</v>
      </c>
      <c r="H343" s="17">
        <f>44.7983 * CHOOSE(CONTROL!$C$9, $D$9, 100%, $F$9) + CHOOSE(CONTROL!$C$27, 0.0021, 0)</f>
        <v>44.800399999999996</v>
      </c>
      <c r="I343" s="17">
        <f>44.7983 * CHOOSE(CONTROL!$C$9, $D$9, 100%, $F$9) + CHOOSE(CONTROL!$C$27, 0.0021, 0)</f>
        <v>44.800399999999996</v>
      </c>
      <c r="J343" s="17">
        <f>44.7983 * CHOOSE(CONTROL!$C$9, $D$9, 100%, $F$9) + CHOOSE(CONTROL!$C$27, 0.0021, 0)</f>
        <v>44.800399999999996</v>
      </c>
      <c r="K343" s="17">
        <f>44.7983 * CHOOSE(CONTROL!$C$9, $D$9, 100%, $F$9) + CHOOSE(CONTROL!$C$27, 0.0021, 0)</f>
        <v>44.800399999999996</v>
      </c>
      <c r="L343" s="17"/>
    </row>
    <row r="344" spans="1:12" ht="15.75" x14ac:dyDescent="0.25">
      <c r="A344" s="14">
        <v>51409</v>
      </c>
      <c r="B344" s="17">
        <f>46.1037 * CHOOSE(CONTROL!$C$9, $D$9, 100%, $F$9) + CHOOSE(CONTROL!$C$27, 0.0021, 0)</f>
        <v>46.105800000000002</v>
      </c>
      <c r="C344" s="17">
        <f>45.6715 * CHOOSE(CONTROL!$C$9, $D$9, 100%, $F$9) + CHOOSE(CONTROL!$C$27, 0.0021, 0)</f>
        <v>45.6736</v>
      </c>
      <c r="D344" s="17">
        <f>45.6715 * CHOOSE(CONTROL!$C$9, $D$9, 100%, $F$9) + CHOOSE(CONTROL!$C$27, 0.0021, 0)</f>
        <v>45.6736</v>
      </c>
      <c r="E344" s="17">
        <f>45.5348 * CHOOSE(CONTROL!$C$9, $D$9, 100%, $F$9) + CHOOSE(CONTROL!$C$27, 0.0021, 0)</f>
        <v>45.536899999999996</v>
      </c>
      <c r="F344" s="17">
        <f>45.5348 * CHOOSE(CONTROL!$C$9, $D$9, 100%, $F$9) + CHOOSE(CONTROL!$C$27, 0.0021, 0)</f>
        <v>45.536899999999996</v>
      </c>
      <c r="G344" s="17">
        <f>45.8062 * CHOOSE(CONTROL!$C$9, $D$9, 100%, $F$9) + CHOOSE(CONTROL!$C$27, 0.0021, 0)</f>
        <v>45.808299999999996</v>
      </c>
      <c r="H344" s="17">
        <f>45.6715 * CHOOSE(CONTROL!$C$9, $D$9, 100%, $F$9) + CHOOSE(CONTROL!$C$27, 0.0021, 0)</f>
        <v>45.6736</v>
      </c>
      <c r="I344" s="17">
        <f>45.6715 * CHOOSE(CONTROL!$C$9, $D$9, 100%, $F$9) + CHOOSE(CONTROL!$C$27, 0.0021, 0)</f>
        <v>45.6736</v>
      </c>
      <c r="J344" s="17">
        <f>45.6715 * CHOOSE(CONTROL!$C$9, $D$9, 100%, $F$9) + CHOOSE(CONTROL!$C$27, 0.0021, 0)</f>
        <v>45.6736</v>
      </c>
      <c r="K344" s="17">
        <f>45.6715 * CHOOSE(CONTROL!$C$9, $D$9, 100%, $F$9) + CHOOSE(CONTROL!$C$27, 0.0021, 0)</f>
        <v>45.6736</v>
      </c>
      <c r="L344" s="17"/>
    </row>
    <row r="345" spans="1:12" ht="15.75" x14ac:dyDescent="0.25">
      <c r="A345" s="14">
        <v>51440</v>
      </c>
      <c r="B345" s="17">
        <f>47.209 * CHOOSE(CONTROL!$C$9, $D$9, 100%, $F$9) + CHOOSE(CONTROL!$C$27, 0.0021, 0)</f>
        <v>47.211100000000002</v>
      </c>
      <c r="C345" s="17">
        <f>46.7767 * CHOOSE(CONTROL!$C$9, $D$9, 100%, $F$9) + CHOOSE(CONTROL!$C$27, 0.0021, 0)</f>
        <v>46.778799999999997</v>
      </c>
      <c r="D345" s="17">
        <f>46.7767 * CHOOSE(CONTROL!$C$9, $D$9, 100%, $F$9) + CHOOSE(CONTROL!$C$27, 0.0021, 0)</f>
        <v>46.778799999999997</v>
      </c>
      <c r="E345" s="17">
        <f>46.6401 * CHOOSE(CONTROL!$C$9, $D$9, 100%, $F$9) + CHOOSE(CONTROL!$C$27, 0.0021, 0)</f>
        <v>46.642199999999995</v>
      </c>
      <c r="F345" s="17">
        <f>46.6401 * CHOOSE(CONTROL!$C$9, $D$9, 100%, $F$9) + CHOOSE(CONTROL!$C$27, 0.0021, 0)</f>
        <v>46.642199999999995</v>
      </c>
      <c r="G345" s="17">
        <f>46.9115 * CHOOSE(CONTROL!$C$9, $D$9, 100%, $F$9) + CHOOSE(CONTROL!$C$27, 0.0021, 0)</f>
        <v>46.913599999999995</v>
      </c>
      <c r="H345" s="17">
        <f>46.7767 * CHOOSE(CONTROL!$C$9, $D$9, 100%, $F$9) + CHOOSE(CONTROL!$C$27, 0.0021, 0)</f>
        <v>46.778799999999997</v>
      </c>
      <c r="I345" s="17">
        <f>46.7767 * CHOOSE(CONTROL!$C$9, $D$9, 100%, $F$9) + CHOOSE(CONTROL!$C$27, 0.0021, 0)</f>
        <v>46.778799999999997</v>
      </c>
      <c r="J345" s="17">
        <f>46.7767 * CHOOSE(CONTROL!$C$9, $D$9, 100%, $F$9) + CHOOSE(CONTROL!$C$27, 0.0021, 0)</f>
        <v>46.778799999999997</v>
      </c>
      <c r="K345" s="17">
        <f>46.7767 * CHOOSE(CONTROL!$C$9, $D$9, 100%, $F$9) + CHOOSE(CONTROL!$C$27, 0.0021, 0)</f>
        <v>46.778799999999997</v>
      </c>
      <c r="L345" s="17"/>
    </row>
    <row r="346" spans="1:12" ht="15.75" x14ac:dyDescent="0.25">
      <c r="A346" s="14">
        <v>51470</v>
      </c>
      <c r="B346" s="17">
        <f>47.3127 * CHOOSE(CONTROL!$C$9, $D$9, 100%, $F$9) + CHOOSE(CONTROL!$C$27, 0.0021, 0)</f>
        <v>47.314799999999998</v>
      </c>
      <c r="C346" s="17">
        <f>46.8805 * CHOOSE(CONTROL!$C$9, $D$9, 100%, $F$9) + CHOOSE(CONTROL!$C$27, 0.0021, 0)</f>
        <v>46.882599999999996</v>
      </c>
      <c r="D346" s="17">
        <f>46.8805 * CHOOSE(CONTROL!$C$9, $D$9, 100%, $F$9) + CHOOSE(CONTROL!$C$27, 0.0021, 0)</f>
        <v>46.882599999999996</v>
      </c>
      <c r="E346" s="17">
        <f>46.7438 * CHOOSE(CONTROL!$C$9, $D$9, 100%, $F$9) + CHOOSE(CONTROL!$C$27, 0.0021, 0)</f>
        <v>46.745899999999999</v>
      </c>
      <c r="F346" s="17">
        <f>46.7438 * CHOOSE(CONTROL!$C$9, $D$9, 100%, $F$9) + CHOOSE(CONTROL!$C$27, 0.0021, 0)</f>
        <v>46.745899999999999</v>
      </c>
      <c r="G346" s="17">
        <f>47.0152 * CHOOSE(CONTROL!$C$9, $D$9, 100%, $F$9) + CHOOSE(CONTROL!$C$27, 0.0021, 0)</f>
        <v>47.017299999999999</v>
      </c>
      <c r="H346" s="17">
        <f>46.8805 * CHOOSE(CONTROL!$C$9, $D$9, 100%, $F$9) + CHOOSE(CONTROL!$C$27, 0.0021, 0)</f>
        <v>46.882599999999996</v>
      </c>
      <c r="I346" s="17">
        <f>46.8805 * CHOOSE(CONTROL!$C$9, $D$9, 100%, $F$9) + CHOOSE(CONTROL!$C$27, 0.0021, 0)</f>
        <v>46.882599999999996</v>
      </c>
      <c r="J346" s="17">
        <f>46.8805 * CHOOSE(CONTROL!$C$9, $D$9, 100%, $F$9) + CHOOSE(CONTROL!$C$27, 0.0021, 0)</f>
        <v>46.882599999999996</v>
      </c>
      <c r="K346" s="17">
        <f>46.8805 * CHOOSE(CONTROL!$C$9, $D$9, 100%, $F$9) + CHOOSE(CONTROL!$C$27, 0.0021, 0)</f>
        <v>46.882599999999996</v>
      </c>
      <c r="L346" s="17"/>
    </row>
    <row r="347" spans="1:12" ht="15.75" x14ac:dyDescent="0.25">
      <c r="A347" s="14">
        <v>51501</v>
      </c>
      <c r="B347" s="17">
        <f>46.43 * CHOOSE(CONTROL!$C$9, $D$9, 100%, $F$9) + CHOOSE(CONTROL!$C$27, 0.0021, 0)</f>
        <v>46.432099999999998</v>
      </c>
      <c r="C347" s="17">
        <f>45.9977 * CHOOSE(CONTROL!$C$9, $D$9, 100%, $F$9) + CHOOSE(CONTROL!$C$27, 0.0021, 0)</f>
        <v>45.9998</v>
      </c>
      <c r="D347" s="17">
        <f>45.9977 * CHOOSE(CONTROL!$C$9, $D$9, 100%, $F$9) + CHOOSE(CONTROL!$C$27, 0.0021, 0)</f>
        <v>45.9998</v>
      </c>
      <c r="E347" s="17">
        <f>45.8611 * CHOOSE(CONTROL!$C$9, $D$9, 100%, $F$9) + CHOOSE(CONTROL!$C$27, 0.0021, 0)</f>
        <v>45.863199999999999</v>
      </c>
      <c r="F347" s="17">
        <f>45.8611 * CHOOSE(CONTROL!$C$9, $D$9, 100%, $F$9) + CHOOSE(CONTROL!$C$27, 0.0021, 0)</f>
        <v>45.863199999999999</v>
      </c>
      <c r="G347" s="17">
        <f>46.1325 * CHOOSE(CONTROL!$C$9, $D$9, 100%, $F$9) + CHOOSE(CONTROL!$C$27, 0.0021, 0)</f>
        <v>46.134599999999999</v>
      </c>
      <c r="H347" s="17">
        <f>45.9977 * CHOOSE(CONTROL!$C$9, $D$9, 100%, $F$9) + CHOOSE(CONTROL!$C$27, 0.0021, 0)</f>
        <v>45.9998</v>
      </c>
      <c r="I347" s="17">
        <f>45.9977 * CHOOSE(CONTROL!$C$9, $D$9, 100%, $F$9) + CHOOSE(CONTROL!$C$27, 0.0021, 0)</f>
        <v>45.9998</v>
      </c>
      <c r="J347" s="17">
        <f>45.9977 * CHOOSE(CONTROL!$C$9, $D$9, 100%, $F$9) + CHOOSE(CONTROL!$C$27, 0.0021, 0)</f>
        <v>45.9998</v>
      </c>
      <c r="K347" s="17">
        <f>45.9977 * CHOOSE(CONTROL!$C$9, $D$9, 100%, $F$9) + CHOOSE(CONTROL!$C$27, 0.0021, 0)</f>
        <v>45.9998</v>
      </c>
      <c r="L347" s="17"/>
    </row>
    <row r="348" spans="1:12" ht="15.75" x14ac:dyDescent="0.25">
      <c r="A348" s="14">
        <v>51532</v>
      </c>
      <c r="B348" s="17">
        <f>45.8721 * CHOOSE(CONTROL!$C$9, $D$9, 100%, $F$9) + CHOOSE(CONTROL!$C$27, 0.0021, 0)</f>
        <v>45.874200000000002</v>
      </c>
      <c r="C348" s="17">
        <f>45.4398 * CHOOSE(CONTROL!$C$9, $D$9, 100%, $F$9) + CHOOSE(CONTROL!$C$27, 0.0021, 0)</f>
        <v>45.441899999999997</v>
      </c>
      <c r="D348" s="17">
        <f>45.4398 * CHOOSE(CONTROL!$C$9, $D$9, 100%, $F$9) + CHOOSE(CONTROL!$C$27, 0.0021, 0)</f>
        <v>45.441899999999997</v>
      </c>
      <c r="E348" s="17">
        <f>45.3032 * CHOOSE(CONTROL!$C$9, $D$9, 100%, $F$9) + CHOOSE(CONTROL!$C$27, 0.0021, 0)</f>
        <v>45.305299999999995</v>
      </c>
      <c r="F348" s="17">
        <f>45.3032 * CHOOSE(CONTROL!$C$9, $D$9, 100%, $F$9) + CHOOSE(CONTROL!$C$27, 0.0021, 0)</f>
        <v>45.305299999999995</v>
      </c>
      <c r="G348" s="17">
        <f>45.5745 * CHOOSE(CONTROL!$C$9, $D$9, 100%, $F$9) + CHOOSE(CONTROL!$C$27, 0.0021, 0)</f>
        <v>45.576599999999999</v>
      </c>
      <c r="H348" s="17">
        <f>45.4398 * CHOOSE(CONTROL!$C$9, $D$9, 100%, $F$9) + CHOOSE(CONTROL!$C$27, 0.0021, 0)</f>
        <v>45.441899999999997</v>
      </c>
      <c r="I348" s="17">
        <f>45.4398 * CHOOSE(CONTROL!$C$9, $D$9, 100%, $F$9) + CHOOSE(CONTROL!$C$27, 0.0021, 0)</f>
        <v>45.441899999999997</v>
      </c>
      <c r="J348" s="17">
        <f>45.4398 * CHOOSE(CONTROL!$C$9, $D$9, 100%, $F$9) + CHOOSE(CONTROL!$C$27, 0.0021, 0)</f>
        <v>45.441899999999997</v>
      </c>
      <c r="K348" s="17">
        <f>45.4398 * CHOOSE(CONTROL!$C$9, $D$9, 100%, $F$9) + CHOOSE(CONTROL!$C$27, 0.0021, 0)</f>
        <v>45.441899999999997</v>
      </c>
      <c r="L348" s="17"/>
    </row>
    <row r="349" spans="1:12" ht="15.75" x14ac:dyDescent="0.25">
      <c r="A349" s="14">
        <v>51560</v>
      </c>
      <c r="B349" s="17">
        <f>44.6394 * CHOOSE(CONTROL!$C$9, $D$9, 100%, $F$9) + CHOOSE(CONTROL!$C$27, 0.0021, 0)</f>
        <v>44.641500000000001</v>
      </c>
      <c r="C349" s="17">
        <f>44.2071 * CHOOSE(CONTROL!$C$9, $D$9, 100%, $F$9) + CHOOSE(CONTROL!$C$27, 0.0021, 0)</f>
        <v>44.209199999999996</v>
      </c>
      <c r="D349" s="17">
        <f>44.2071 * CHOOSE(CONTROL!$C$9, $D$9, 100%, $F$9) + CHOOSE(CONTROL!$C$27, 0.0021, 0)</f>
        <v>44.209199999999996</v>
      </c>
      <c r="E349" s="17">
        <f>44.0705 * CHOOSE(CONTROL!$C$9, $D$9, 100%, $F$9) + CHOOSE(CONTROL!$C$27, 0.0021, 0)</f>
        <v>44.072600000000001</v>
      </c>
      <c r="F349" s="17">
        <f>44.0705 * CHOOSE(CONTROL!$C$9, $D$9, 100%, $F$9) + CHOOSE(CONTROL!$C$27, 0.0021, 0)</f>
        <v>44.072600000000001</v>
      </c>
      <c r="G349" s="17">
        <f>44.3419 * CHOOSE(CONTROL!$C$9, $D$9, 100%, $F$9) + CHOOSE(CONTROL!$C$27, 0.0021, 0)</f>
        <v>44.344000000000001</v>
      </c>
      <c r="H349" s="17">
        <f>44.2071 * CHOOSE(CONTROL!$C$9, $D$9, 100%, $F$9) + CHOOSE(CONTROL!$C$27, 0.0021, 0)</f>
        <v>44.209199999999996</v>
      </c>
      <c r="I349" s="17">
        <f>44.2071 * CHOOSE(CONTROL!$C$9, $D$9, 100%, $F$9) + CHOOSE(CONTROL!$C$27, 0.0021, 0)</f>
        <v>44.209199999999996</v>
      </c>
      <c r="J349" s="17">
        <f>44.2071 * CHOOSE(CONTROL!$C$9, $D$9, 100%, $F$9) + CHOOSE(CONTROL!$C$27, 0.0021, 0)</f>
        <v>44.209199999999996</v>
      </c>
      <c r="K349" s="17">
        <f>44.2071 * CHOOSE(CONTROL!$C$9, $D$9, 100%, $F$9) + CHOOSE(CONTROL!$C$27, 0.0021, 0)</f>
        <v>44.209199999999996</v>
      </c>
      <c r="L349" s="17"/>
    </row>
    <row r="350" spans="1:12" ht="15.75" x14ac:dyDescent="0.25">
      <c r="A350" s="14">
        <v>51591</v>
      </c>
      <c r="B350" s="17">
        <f>44.1305 * CHOOSE(CONTROL!$C$9, $D$9, 100%, $F$9) + CHOOSE(CONTROL!$C$27, 0.0021, 0)</f>
        <v>44.132599999999996</v>
      </c>
      <c r="C350" s="17">
        <f>43.6983 * CHOOSE(CONTROL!$C$9, $D$9, 100%, $F$9) + CHOOSE(CONTROL!$C$27, 0.0021, 0)</f>
        <v>43.700400000000002</v>
      </c>
      <c r="D350" s="17">
        <f>43.6983 * CHOOSE(CONTROL!$C$9, $D$9, 100%, $F$9) + CHOOSE(CONTROL!$C$27, 0.0021, 0)</f>
        <v>43.700400000000002</v>
      </c>
      <c r="E350" s="17">
        <f>43.5616 * CHOOSE(CONTROL!$C$9, $D$9, 100%, $F$9) + CHOOSE(CONTROL!$C$27, 0.0021, 0)</f>
        <v>43.563699999999997</v>
      </c>
      <c r="F350" s="17">
        <f>43.5616 * CHOOSE(CONTROL!$C$9, $D$9, 100%, $F$9) + CHOOSE(CONTROL!$C$27, 0.0021, 0)</f>
        <v>43.563699999999997</v>
      </c>
      <c r="G350" s="17">
        <f>43.833 * CHOOSE(CONTROL!$C$9, $D$9, 100%, $F$9) + CHOOSE(CONTROL!$C$27, 0.0021, 0)</f>
        <v>43.835099999999997</v>
      </c>
      <c r="H350" s="17">
        <f>43.6983 * CHOOSE(CONTROL!$C$9, $D$9, 100%, $F$9) + CHOOSE(CONTROL!$C$27, 0.0021, 0)</f>
        <v>43.700400000000002</v>
      </c>
      <c r="I350" s="17">
        <f>43.6983 * CHOOSE(CONTROL!$C$9, $D$9, 100%, $F$9) + CHOOSE(CONTROL!$C$27, 0.0021, 0)</f>
        <v>43.700400000000002</v>
      </c>
      <c r="J350" s="17">
        <f>43.6983 * CHOOSE(CONTROL!$C$9, $D$9, 100%, $F$9) + CHOOSE(CONTROL!$C$27, 0.0021, 0)</f>
        <v>43.700400000000002</v>
      </c>
      <c r="K350" s="17">
        <f>43.6983 * CHOOSE(CONTROL!$C$9, $D$9, 100%, $F$9) + CHOOSE(CONTROL!$C$27, 0.0021, 0)</f>
        <v>43.700400000000002</v>
      </c>
      <c r="L350" s="17"/>
    </row>
    <row r="351" spans="1:12" ht="15.75" x14ac:dyDescent="0.25">
      <c r="A351" s="14">
        <v>51621</v>
      </c>
      <c r="B351" s="17">
        <f>43.523 * CHOOSE(CONTROL!$C$9, $D$9, 100%, $F$9) + CHOOSE(CONTROL!$C$27, 0.0021, 0)</f>
        <v>43.525100000000002</v>
      </c>
      <c r="C351" s="17">
        <f>43.0907 * CHOOSE(CONTROL!$C$9, $D$9, 100%, $F$9) + CHOOSE(CONTROL!$C$27, 0.0021, 0)</f>
        <v>43.092799999999997</v>
      </c>
      <c r="D351" s="17">
        <f>43.0907 * CHOOSE(CONTROL!$C$9, $D$9, 100%, $F$9) + CHOOSE(CONTROL!$C$27, 0.0021, 0)</f>
        <v>43.092799999999997</v>
      </c>
      <c r="E351" s="17">
        <f>42.9541 * CHOOSE(CONTROL!$C$9, $D$9, 100%, $F$9) + CHOOSE(CONTROL!$C$27, 0.0021, 0)</f>
        <v>42.956199999999995</v>
      </c>
      <c r="F351" s="17">
        <f>42.9541 * CHOOSE(CONTROL!$C$9, $D$9, 100%, $F$9) + CHOOSE(CONTROL!$C$27, 0.0021, 0)</f>
        <v>42.956199999999995</v>
      </c>
      <c r="G351" s="17">
        <f>43.2254 * CHOOSE(CONTROL!$C$9, $D$9, 100%, $F$9) + CHOOSE(CONTROL!$C$27, 0.0021, 0)</f>
        <v>43.227499999999999</v>
      </c>
      <c r="H351" s="17">
        <f>43.0907 * CHOOSE(CONTROL!$C$9, $D$9, 100%, $F$9) + CHOOSE(CONTROL!$C$27, 0.0021, 0)</f>
        <v>43.092799999999997</v>
      </c>
      <c r="I351" s="17">
        <f>43.0907 * CHOOSE(CONTROL!$C$9, $D$9, 100%, $F$9) + CHOOSE(CONTROL!$C$27, 0.0021, 0)</f>
        <v>43.092799999999997</v>
      </c>
      <c r="J351" s="17">
        <f>43.0907 * CHOOSE(CONTROL!$C$9, $D$9, 100%, $F$9) + CHOOSE(CONTROL!$C$27, 0.0021, 0)</f>
        <v>43.092799999999997</v>
      </c>
      <c r="K351" s="17">
        <f>43.0907 * CHOOSE(CONTROL!$C$9, $D$9, 100%, $F$9) + CHOOSE(CONTROL!$C$27, 0.0021, 0)</f>
        <v>43.092799999999997</v>
      </c>
      <c r="L351" s="17"/>
    </row>
    <row r="352" spans="1:12" ht="15.75" x14ac:dyDescent="0.25">
      <c r="A352" s="14">
        <v>51652</v>
      </c>
      <c r="B352" s="17">
        <f>44.3888 * CHOOSE(CONTROL!$C$9, $D$9, 100%, $F$9) + CHOOSE(CONTROL!$C$27, 0.0021, 0)</f>
        <v>44.390900000000002</v>
      </c>
      <c r="C352" s="17">
        <f>43.9566 * CHOOSE(CONTROL!$C$9, $D$9, 100%, $F$9) + CHOOSE(CONTROL!$C$27, 0.0021, 0)</f>
        <v>43.9587</v>
      </c>
      <c r="D352" s="17">
        <f>43.9566 * CHOOSE(CONTROL!$C$9, $D$9, 100%, $F$9) + CHOOSE(CONTROL!$C$27, 0.0021, 0)</f>
        <v>43.9587</v>
      </c>
      <c r="E352" s="17">
        <f>43.8199 * CHOOSE(CONTROL!$C$9, $D$9, 100%, $F$9) + CHOOSE(CONTROL!$C$27, 0.0021, 0)</f>
        <v>43.821999999999996</v>
      </c>
      <c r="F352" s="17">
        <f>43.8199 * CHOOSE(CONTROL!$C$9, $D$9, 100%, $F$9) + CHOOSE(CONTROL!$C$27, 0.0021, 0)</f>
        <v>43.821999999999996</v>
      </c>
      <c r="G352" s="17">
        <f>44.0913 * CHOOSE(CONTROL!$C$9, $D$9, 100%, $F$9) + CHOOSE(CONTROL!$C$27, 0.0021, 0)</f>
        <v>44.093399999999995</v>
      </c>
      <c r="H352" s="17">
        <f>43.9566 * CHOOSE(CONTROL!$C$9, $D$9, 100%, $F$9) + CHOOSE(CONTROL!$C$27, 0.0021, 0)</f>
        <v>43.9587</v>
      </c>
      <c r="I352" s="17">
        <f>43.9566 * CHOOSE(CONTROL!$C$9, $D$9, 100%, $F$9) + CHOOSE(CONTROL!$C$27, 0.0021, 0)</f>
        <v>43.9587</v>
      </c>
      <c r="J352" s="17">
        <f>43.9566 * CHOOSE(CONTROL!$C$9, $D$9, 100%, $F$9) + CHOOSE(CONTROL!$C$27, 0.0021, 0)</f>
        <v>43.9587</v>
      </c>
      <c r="K352" s="17">
        <f>43.9566 * CHOOSE(CONTROL!$C$9, $D$9, 100%, $F$9) + CHOOSE(CONTROL!$C$27, 0.0021, 0)</f>
        <v>43.9587</v>
      </c>
      <c r="L352" s="17"/>
    </row>
    <row r="353" spans="1:12" ht="15.75" x14ac:dyDescent="0.25">
      <c r="A353" s="14">
        <v>51682</v>
      </c>
      <c r="B353" s="17">
        <f>44.9075 * CHOOSE(CONTROL!$C$9, $D$9, 100%, $F$9) + CHOOSE(CONTROL!$C$27, 0.0021, 0)</f>
        <v>44.909599999999998</v>
      </c>
      <c r="C353" s="17">
        <f>44.4752 * CHOOSE(CONTROL!$C$9, $D$9, 100%, $F$9) + CHOOSE(CONTROL!$C$27, 0.0021, 0)</f>
        <v>44.4773</v>
      </c>
      <c r="D353" s="17">
        <f>44.4752 * CHOOSE(CONTROL!$C$9, $D$9, 100%, $F$9) + CHOOSE(CONTROL!$C$27, 0.0021, 0)</f>
        <v>44.4773</v>
      </c>
      <c r="E353" s="17">
        <f>44.3385 * CHOOSE(CONTROL!$C$9, $D$9, 100%, $F$9) + CHOOSE(CONTROL!$C$27, 0.0021, 0)</f>
        <v>44.340600000000002</v>
      </c>
      <c r="F353" s="17">
        <f>44.3385 * CHOOSE(CONTROL!$C$9, $D$9, 100%, $F$9) + CHOOSE(CONTROL!$C$27, 0.0021, 0)</f>
        <v>44.340600000000002</v>
      </c>
      <c r="G353" s="17">
        <f>44.6099 * CHOOSE(CONTROL!$C$9, $D$9, 100%, $F$9) + CHOOSE(CONTROL!$C$27, 0.0021, 0)</f>
        <v>44.612000000000002</v>
      </c>
      <c r="H353" s="17">
        <f>44.4752 * CHOOSE(CONTROL!$C$9, $D$9, 100%, $F$9) + CHOOSE(CONTROL!$C$27, 0.0021, 0)</f>
        <v>44.4773</v>
      </c>
      <c r="I353" s="17">
        <f>44.4752 * CHOOSE(CONTROL!$C$9, $D$9, 100%, $F$9) + CHOOSE(CONTROL!$C$27, 0.0021, 0)</f>
        <v>44.4773</v>
      </c>
      <c r="J353" s="17">
        <f>44.4752 * CHOOSE(CONTROL!$C$9, $D$9, 100%, $F$9) + CHOOSE(CONTROL!$C$27, 0.0021, 0)</f>
        <v>44.4773</v>
      </c>
      <c r="K353" s="17">
        <f>44.4752 * CHOOSE(CONTROL!$C$9, $D$9, 100%, $F$9) + CHOOSE(CONTROL!$C$27, 0.0021, 0)</f>
        <v>44.4773</v>
      </c>
      <c r="L353" s="17"/>
    </row>
    <row r="354" spans="1:12" ht="15.75" x14ac:dyDescent="0.25">
      <c r="A354" s="14">
        <v>51713</v>
      </c>
      <c r="B354" s="17">
        <f>45.763 * CHOOSE(CONTROL!$C$9, $D$9, 100%, $F$9) + CHOOSE(CONTROL!$C$27, 0.0021, 0)</f>
        <v>45.765099999999997</v>
      </c>
      <c r="C354" s="17">
        <f>45.3307 * CHOOSE(CONTROL!$C$9, $D$9, 100%, $F$9) + CHOOSE(CONTROL!$C$27, 0.0021, 0)</f>
        <v>45.332799999999999</v>
      </c>
      <c r="D354" s="17">
        <f>45.3307 * CHOOSE(CONTROL!$C$9, $D$9, 100%, $F$9) + CHOOSE(CONTROL!$C$27, 0.0021, 0)</f>
        <v>45.332799999999999</v>
      </c>
      <c r="E354" s="17">
        <f>45.1941 * CHOOSE(CONTROL!$C$9, $D$9, 100%, $F$9) + CHOOSE(CONTROL!$C$27, 0.0021, 0)</f>
        <v>45.196199999999997</v>
      </c>
      <c r="F354" s="17">
        <f>45.1941 * CHOOSE(CONTROL!$C$9, $D$9, 100%, $F$9) + CHOOSE(CONTROL!$C$27, 0.0021, 0)</f>
        <v>45.196199999999997</v>
      </c>
      <c r="G354" s="17">
        <f>45.4654 * CHOOSE(CONTROL!$C$9, $D$9, 100%, $F$9) + CHOOSE(CONTROL!$C$27, 0.0021, 0)</f>
        <v>45.467500000000001</v>
      </c>
      <c r="H354" s="17">
        <f>45.3307 * CHOOSE(CONTROL!$C$9, $D$9, 100%, $F$9) + CHOOSE(CONTROL!$C$27, 0.0021, 0)</f>
        <v>45.332799999999999</v>
      </c>
      <c r="I354" s="17">
        <f>45.3307 * CHOOSE(CONTROL!$C$9, $D$9, 100%, $F$9) + CHOOSE(CONTROL!$C$27, 0.0021, 0)</f>
        <v>45.332799999999999</v>
      </c>
      <c r="J354" s="17">
        <f>45.3307 * CHOOSE(CONTROL!$C$9, $D$9, 100%, $F$9) + CHOOSE(CONTROL!$C$27, 0.0021, 0)</f>
        <v>45.332799999999999</v>
      </c>
      <c r="K354" s="17">
        <f>45.3307 * CHOOSE(CONTROL!$C$9, $D$9, 100%, $F$9) + CHOOSE(CONTROL!$C$27, 0.0021, 0)</f>
        <v>45.332799999999999</v>
      </c>
      <c r="L354" s="17"/>
    </row>
    <row r="355" spans="1:12" ht="15.75" x14ac:dyDescent="0.25">
      <c r="A355" s="14">
        <v>51744</v>
      </c>
      <c r="B355" s="17">
        <f>46.0241 * CHOOSE(CONTROL!$C$9, $D$9, 100%, $F$9) + CHOOSE(CONTROL!$C$27, 0.0021, 0)</f>
        <v>46.026199999999996</v>
      </c>
      <c r="C355" s="17">
        <f>45.5919 * CHOOSE(CONTROL!$C$9, $D$9, 100%, $F$9) + CHOOSE(CONTROL!$C$27, 0.0021, 0)</f>
        <v>45.594000000000001</v>
      </c>
      <c r="D355" s="17">
        <f>45.5919 * CHOOSE(CONTROL!$C$9, $D$9, 100%, $F$9) + CHOOSE(CONTROL!$C$27, 0.0021, 0)</f>
        <v>45.594000000000001</v>
      </c>
      <c r="E355" s="17">
        <f>45.4552 * CHOOSE(CONTROL!$C$9, $D$9, 100%, $F$9) + CHOOSE(CONTROL!$C$27, 0.0021, 0)</f>
        <v>45.457299999999996</v>
      </c>
      <c r="F355" s="17">
        <f>45.4552 * CHOOSE(CONTROL!$C$9, $D$9, 100%, $F$9) + CHOOSE(CONTROL!$C$27, 0.0021, 0)</f>
        <v>45.457299999999996</v>
      </c>
      <c r="G355" s="17">
        <f>45.7266 * CHOOSE(CONTROL!$C$9, $D$9, 100%, $F$9) + CHOOSE(CONTROL!$C$27, 0.0021, 0)</f>
        <v>45.728699999999996</v>
      </c>
      <c r="H355" s="17">
        <f>45.5919 * CHOOSE(CONTROL!$C$9, $D$9, 100%, $F$9) + CHOOSE(CONTROL!$C$27, 0.0021, 0)</f>
        <v>45.594000000000001</v>
      </c>
      <c r="I355" s="17">
        <f>45.5919 * CHOOSE(CONTROL!$C$9, $D$9, 100%, $F$9) + CHOOSE(CONTROL!$C$27, 0.0021, 0)</f>
        <v>45.594000000000001</v>
      </c>
      <c r="J355" s="17">
        <f>45.5919 * CHOOSE(CONTROL!$C$9, $D$9, 100%, $F$9) + CHOOSE(CONTROL!$C$27, 0.0021, 0)</f>
        <v>45.594000000000001</v>
      </c>
      <c r="K355" s="17">
        <f>45.5919 * CHOOSE(CONTROL!$C$9, $D$9, 100%, $F$9) + CHOOSE(CONTROL!$C$27, 0.0021, 0)</f>
        <v>45.594000000000001</v>
      </c>
      <c r="L355" s="17"/>
    </row>
    <row r="356" spans="1:12" ht="15.75" x14ac:dyDescent="0.25">
      <c r="A356" s="14">
        <v>51774</v>
      </c>
      <c r="B356" s="17">
        <f>46.9134 * CHOOSE(CONTROL!$C$9, $D$9, 100%, $F$9) + CHOOSE(CONTROL!$C$27, 0.0021, 0)</f>
        <v>46.915500000000002</v>
      </c>
      <c r="C356" s="17">
        <f>46.4811 * CHOOSE(CONTROL!$C$9, $D$9, 100%, $F$9) + CHOOSE(CONTROL!$C$27, 0.0021, 0)</f>
        <v>46.483199999999997</v>
      </c>
      <c r="D356" s="17">
        <f>46.4811 * CHOOSE(CONTROL!$C$9, $D$9, 100%, $F$9) + CHOOSE(CONTROL!$C$27, 0.0021, 0)</f>
        <v>46.483199999999997</v>
      </c>
      <c r="E356" s="17">
        <f>46.3445 * CHOOSE(CONTROL!$C$9, $D$9, 100%, $F$9) + CHOOSE(CONTROL!$C$27, 0.0021, 0)</f>
        <v>46.346599999999995</v>
      </c>
      <c r="F356" s="17">
        <f>46.3445 * CHOOSE(CONTROL!$C$9, $D$9, 100%, $F$9) + CHOOSE(CONTROL!$C$27, 0.0021, 0)</f>
        <v>46.346599999999995</v>
      </c>
      <c r="G356" s="17">
        <f>46.6159 * CHOOSE(CONTROL!$C$9, $D$9, 100%, $F$9) + CHOOSE(CONTROL!$C$27, 0.0021, 0)</f>
        <v>46.618000000000002</v>
      </c>
      <c r="H356" s="17">
        <f>46.4811 * CHOOSE(CONTROL!$C$9, $D$9, 100%, $F$9) + CHOOSE(CONTROL!$C$27, 0.0021, 0)</f>
        <v>46.483199999999997</v>
      </c>
      <c r="I356" s="17">
        <f>46.4811 * CHOOSE(CONTROL!$C$9, $D$9, 100%, $F$9) + CHOOSE(CONTROL!$C$27, 0.0021, 0)</f>
        <v>46.483199999999997</v>
      </c>
      <c r="J356" s="17">
        <f>46.4811 * CHOOSE(CONTROL!$C$9, $D$9, 100%, $F$9) + CHOOSE(CONTROL!$C$27, 0.0021, 0)</f>
        <v>46.483199999999997</v>
      </c>
      <c r="K356" s="17">
        <f>46.4811 * CHOOSE(CONTROL!$C$9, $D$9, 100%, $F$9) + CHOOSE(CONTROL!$C$27, 0.0021, 0)</f>
        <v>46.483199999999997</v>
      </c>
      <c r="L356" s="17"/>
    </row>
    <row r="357" spans="1:12" ht="15.75" x14ac:dyDescent="0.25">
      <c r="A357" s="14">
        <v>51805</v>
      </c>
      <c r="B357" s="17">
        <f>48.0391 * CHOOSE(CONTROL!$C$9, $D$9, 100%, $F$9) + CHOOSE(CONTROL!$C$27, 0.0021, 0)</f>
        <v>48.041199999999996</v>
      </c>
      <c r="C357" s="17">
        <f>47.6068 * CHOOSE(CONTROL!$C$9, $D$9, 100%, $F$9) + CHOOSE(CONTROL!$C$27, 0.0021, 0)</f>
        <v>47.608899999999998</v>
      </c>
      <c r="D357" s="17">
        <f>47.6068 * CHOOSE(CONTROL!$C$9, $D$9, 100%, $F$9) + CHOOSE(CONTROL!$C$27, 0.0021, 0)</f>
        <v>47.608899999999998</v>
      </c>
      <c r="E357" s="17">
        <f>47.4702 * CHOOSE(CONTROL!$C$9, $D$9, 100%, $F$9) + CHOOSE(CONTROL!$C$27, 0.0021, 0)</f>
        <v>47.472299999999997</v>
      </c>
      <c r="F357" s="17">
        <f>47.4702 * CHOOSE(CONTROL!$C$9, $D$9, 100%, $F$9) + CHOOSE(CONTROL!$C$27, 0.0021, 0)</f>
        <v>47.472299999999997</v>
      </c>
      <c r="G357" s="17">
        <f>47.7415 * CHOOSE(CONTROL!$C$9, $D$9, 100%, $F$9) + CHOOSE(CONTROL!$C$27, 0.0021, 0)</f>
        <v>47.743600000000001</v>
      </c>
      <c r="H357" s="17">
        <f>47.6068 * CHOOSE(CONTROL!$C$9, $D$9, 100%, $F$9) + CHOOSE(CONTROL!$C$27, 0.0021, 0)</f>
        <v>47.608899999999998</v>
      </c>
      <c r="I357" s="17">
        <f>47.6068 * CHOOSE(CONTROL!$C$9, $D$9, 100%, $F$9) + CHOOSE(CONTROL!$C$27, 0.0021, 0)</f>
        <v>47.608899999999998</v>
      </c>
      <c r="J357" s="17">
        <f>47.6068 * CHOOSE(CONTROL!$C$9, $D$9, 100%, $F$9) + CHOOSE(CONTROL!$C$27, 0.0021, 0)</f>
        <v>47.608899999999998</v>
      </c>
      <c r="K357" s="17">
        <f>47.6068 * CHOOSE(CONTROL!$C$9, $D$9, 100%, $F$9) + CHOOSE(CONTROL!$C$27, 0.0021, 0)</f>
        <v>47.608899999999998</v>
      </c>
      <c r="L357" s="17"/>
    </row>
    <row r="358" spans="1:12" ht="15.75" x14ac:dyDescent="0.25">
      <c r="A358" s="14">
        <v>51835</v>
      </c>
      <c r="B358" s="17">
        <f>48.1448 * CHOOSE(CONTROL!$C$9, $D$9, 100%, $F$9) + CHOOSE(CONTROL!$C$27, 0.0021, 0)</f>
        <v>48.146899999999995</v>
      </c>
      <c r="C358" s="17">
        <f>47.7125 * CHOOSE(CONTROL!$C$9, $D$9, 100%, $F$9) + CHOOSE(CONTROL!$C$27, 0.0021, 0)</f>
        <v>47.714599999999997</v>
      </c>
      <c r="D358" s="17">
        <f>47.7125 * CHOOSE(CONTROL!$C$9, $D$9, 100%, $F$9) + CHOOSE(CONTROL!$C$27, 0.0021, 0)</f>
        <v>47.714599999999997</v>
      </c>
      <c r="E358" s="17">
        <f>47.5758 * CHOOSE(CONTROL!$C$9, $D$9, 100%, $F$9) + CHOOSE(CONTROL!$C$27, 0.0021, 0)</f>
        <v>47.5779</v>
      </c>
      <c r="F358" s="17">
        <f>47.5758 * CHOOSE(CONTROL!$C$9, $D$9, 100%, $F$9) + CHOOSE(CONTROL!$C$27, 0.0021, 0)</f>
        <v>47.5779</v>
      </c>
      <c r="G358" s="17">
        <f>47.8472 * CHOOSE(CONTROL!$C$9, $D$9, 100%, $F$9) + CHOOSE(CONTROL!$C$27, 0.0021, 0)</f>
        <v>47.849299999999999</v>
      </c>
      <c r="H358" s="17">
        <f>47.7125 * CHOOSE(CONTROL!$C$9, $D$9, 100%, $F$9) + CHOOSE(CONTROL!$C$27, 0.0021, 0)</f>
        <v>47.714599999999997</v>
      </c>
      <c r="I358" s="17">
        <f>47.7125 * CHOOSE(CONTROL!$C$9, $D$9, 100%, $F$9) + CHOOSE(CONTROL!$C$27, 0.0021, 0)</f>
        <v>47.714599999999997</v>
      </c>
      <c r="J358" s="17">
        <f>47.7125 * CHOOSE(CONTROL!$C$9, $D$9, 100%, $F$9) + CHOOSE(CONTROL!$C$27, 0.0021, 0)</f>
        <v>47.714599999999997</v>
      </c>
      <c r="K358" s="17">
        <f>47.7125 * CHOOSE(CONTROL!$C$9, $D$9, 100%, $F$9) + CHOOSE(CONTROL!$C$27, 0.0021, 0)</f>
        <v>47.714599999999997</v>
      </c>
      <c r="L358" s="17"/>
    </row>
    <row r="359" spans="1:12" ht="15.75" x14ac:dyDescent="0.25">
      <c r="A359" s="14">
        <v>51866</v>
      </c>
      <c r="B359" s="17">
        <f>47.2457 * CHOOSE(CONTROL!$C$9, $D$9, 100%, $F$9) + CHOOSE(CONTROL!$C$27, 0.0021, 0)</f>
        <v>47.247799999999998</v>
      </c>
      <c r="C359" s="17">
        <f>46.8134 * CHOOSE(CONTROL!$C$9, $D$9, 100%, $F$9) + CHOOSE(CONTROL!$C$27, 0.0021, 0)</f>
        <v>46.8155</v>
      </c>
      <c r="D359" s="17">
        <f>46.8134 * CHOOSE(CONTROL!$C$9, $D$9, 100%, $F$9) + CHOOSE(CONTROL!$C$27, 0.0021, 0)</f>
        <v>46.8155</v>
      </c>
      <c r="E359" s="17">
        <f>46.6768 * CHOOSE(CONTROL!$C$9, $D$9, 100%, $F$9) + CHOOSE(CONTROL!$C$27, 0.0021, 0)</f>
        <v>46.678899999999999</v>
      </c>
      <c r="F359" s="17">
        <f>46.6768 * CHOOSE(CONTROL!$C$9, $D$9, 100%, $F$9) + CHOOSE(CONTROL!$C$27, 0.0021, 0)</f>
        <v>46.678899999999999</v>
      </c>
      <c r="G359" s="17">
        <f>46.9482 * CHOOSE(CONTROL!$C$9, $D$9, 100%, $F$9) + CHOOSE(CONTROL!$C$27, 0.0021, 0)</f>
        <v>46.950299999999999</v>
      </c>
      <c r="H359" s="17">
        <f>46.8134 * CHOOSE(CONTROL!$C$9, $D$9, 100%, $F$9) + CHOOSE(CONTROL!$C$27, 0.0021, 0)</f>
        <v>46.8155</v>
      </c>
      <c r="I359" s="17">
        <f>46.8134 * CHOOSE(CONTROL!$C$9, $D$9, 100%, $F$9) + CHOOSE(CONTROL!$C$27, 0.0021, 0)</f>
        <v>46.8155</v>
      </c>
      <c r="J359" s="17">
        <f>46.8134 * CHOOSE(CONTROL!$C$9, $D$9, 100%, $F$9) + CHOOSE(CONTROL!$C$27, 0.0021, 0)</f>
        <v>46.8155</v>
      </c>
      <c r="K359" s="17">
        <f>46.8134 * CHOOSE(CONTROL!$C$9, $D$9, 100%, $F$9) + CHOOSE(CONTROL!$C$27, 0.0021, 0)</f>
        <v>46.8155</v>
      </c>
      <c r="L359" s="17"/>
    </row>
    <row r="360" spans="1:12" ht="15.75" x14ac:dyDescent="0.25">
      <c r="A360" s="14">
        <v>51897</v>
      </c>
      <c r="B360" s="17">
        <f>46.6774 * CHOOSE(CONTROL!$C$9, $D$9, 100%, $F$9) + CHOOSE(CONTROL!$C$27, 0.0021, 0)</f>
        <v>46.679499999999997</v>
      </c>
      <c r="C360" s="17">
        <f>46.2452 * CHOOSE(CONTROL!$C$9, $D$9, 100%, $F$9) + CHOOSE(CONTROL!$C$27, 0.0021, 0)</f>
        <v>46.247299999999996</v>
      </c>
      <c r="D360" s="17">
        <f>46.2452 * CHOOSE(CONTROL!$C$9, $D$9, 100%, $F$9) + CHOOSE(CONTROL!$C$27, 0.0021, 0)</f>
        <v>46.247299999999996</v>
      </c>
      <c r="E360" s="17">
        <f>46.1085 * CHOOSE(CONTROL!$C$9, $D$9, 100%, $F$9) + CHOOSE(CONTROL!$C$27, 0.0021, 0)</f>
        <v>46.110599999999998</v>
      </c>
      <c r="F360" s="17">
        <f>46.1085 * CHOOSE(CONTROL!$C$9, $D$9, 100%, $F$9) + CHOOSE(CONTROL!$C$27, 0.0021, 0)</f>
        <v>46.110599999999998</v>
      </c>
      <c r="G360" s="17">
        <f>46.3799 * CHOOSE(CONTROL!$C$9, $D$9, 100%, $F$9) + CHOOSE(CONTROL!$C$27, 0.0021, 0)</f>
        <v>46.381999999999998</v>
      </c>
      <c r="H360" s="17">
        <f>46.2452 * CHOOSE(CONTROL!$C$9, $D$9, 100%, $F$9) + CHOOSE(CONTROL!$C$27, 0.0021, 0)</f>
        <v>46.247299999999996</v>
      </c>
      <c r="I360" s="17">
        <f>46.2452 * CHOOSE(CONTROL!$C$9, $D$9, 100%, $F$9) + CHOOSE(CONTROL!$C$27, 0.0021, 0)</f>
        <v>46.247299999999996</v>
      </c>
      <c r="J360" s="17">
        <f>46.2452 * CHOOSE(CONTROL!$C$9, $D$9, 100%, $F$9) + CHOOSE(CONTROL!$C$27, 0.0021, 0)</f>
        <v>46.247299999999996</v>
      </c>
      <c r="K360" s="17">
        <f>46.2452 * CHOOSE(CONTROL!$C$9, $D$9, 100%, $F$9) + CHOOSE(CONTROL!$C$27, 0.0021, 0)</f>
        <v>46.247299999999996</v>
      </c>
      <c r="L360" s="17"/>
    </row>
    <row r="361" spans="1:12" ht="15.75" x14ac:dyDescent="0.25">
      <c r="A361" s="14">
        <v>51925</v>
      </c>
      <c r="B361" s="17">
        <f>45.422 * CHOOSE(CONTROL!$C$9, $D$9, 100%, $F$9) + CHOOSE(CONTROL!$C$27, 0.0021, 0)</f>
        <v>45.424099999999996</v>
      </c>
      <c r="C361" s="17">
        <f>44.9897 * CHOOSE(CONTROL!$C$9, $D$9, 100%, $F$9) + CHOOSE(CONTROL!$C$27, 0.0021, 0)</f>
        <v>44.991799999999998</v>
      </c>
      <c r="D361" s="17">
        <f>44.9897 * CHOOSE(CONTROL!$C$9, $D$9, 100%, $F$9) + CHOOSE(CONTROL!$C$27, 0.0021, 0)</f>
        <v>44.991799999999998</v>
      </c>
      <c r="E361" s="17">
        <f>44.8531 * CHOOSE(CONTROL!$C$9, $D$9, 100%, $F$9) + CHOOSE(CONTROL!$C$27, 0.0021, 0)</f>
        <v>44.855199999999996</v>
      </c>
      <c r="F361" s="17">
        <f>44.8531 * CHOOSE(CONTROL!$C$9, $D$9, 100%, $F$9) + CHOOSE(CONTROL!$C$27, 0.0021, 0)</f>
        <v>44.855199999999996</v>
      </c>
      <c r="G361" s="17">
        <f>45.1245 * CHOOSE(CONTROL!$C$9, $D$9, 100%, $F$9) + CHOOSE(CONTROL!$C$27, 0.0021, 0)</f>
        <v>45.126599999999996</v>
      </c>
      <c r="H361" s="17">
        <f>44.9897 * CHOOSE(CONTROL!$C$9, $D$9, 100%, $F$9) + CHOOSE(CONTROL!$C$27, 0.0021, 0)</f>
        <v>44.991799999999998</v>
      </c>
      <c r="I361" s="17">
        <f>44.9897 * CHOOSE(CONTROL!$C$9, $D$9, 100%, $F$9) + CHOOSE(CONTROL!$C$27, 0.0021, 0)</f>
        <v>44.991799999999998</v>
      </c>
      <c r="J361" s="17">
        <f>44.9897 * CHOOSE(CONTROL!$C$9, $D$9, 100%, $F$9) + CHOOSE(CONTROL!$C$27, 0.0021, 0)</f>
        <v>44.991799999999998</v>
      </c>
      <c r="K361" s="17">
        <f>44.9897 * CHOOSE(CONTROL!$C$9, $D$9, 100%, $F$9) + CHOOSE(CONTROL!$C$27, 0.0021, 0)</f>
        <v>44.991799999999998</v>
      </c>
      <c r="L361" s="17"/>
    </row>
    <row r="362" spans="1:12" ht="15.75" x14ac:dyDescent="0.25">
      <c r="A362" s="14">
        <v>51956</v>
      </c>
      <c r="B362" s="17">
        <f>44.9037 * CHOOSE(CONTROL!$C$9, $D$9, 100%, $F$9) + CHOOSE(CONTROL!$C$27, 0.0021, 0)</f>
        <v>44.905799999999999</v>
      </c>
      <c r="C362" s="17">
        <f>44.4715 * CHOOSE(CONTROL!$C$9, $D$9, 100%, $F$9) + CHOOSE(CONTROL!$C$27, 0.0021, 0)</f>
        <v>44.473599999999998</v>
      </c>
      <c r="D362" s="17">
        <f>44.4715 * CHOOSE(CONTROL!$C$9, $D$9, 100%, $F$9) + CHOOSE(CONTROL!$C$27, 0.0021, 0)</f>
        <v>44.473599999999998</v>
      </c>
      <c r="E362" s="17">
        <f>44.3348 * CHOOSE(CONTROL!$C$9, $D$9, 100%, $F$9) + CHOOSE(CONTROL!$C$27, 0.0021, 0)</f>
        <v>44.3369</v>
      </c>
      <c r="F362" s="17">
        <f>44.3348 * CHOOSE(CONTROL!$C$9, $D$9, 100%, $F$9) + CHOOSE(CONTROL!$C$27, 0.0021, 0)</f>
        <v>44.3369</v>
      </c>
      <c r="G362" s="17">
        <f>44.6062 * CHOOSE(CONTROL!$C$9, $D$9, 100%, $F$9) + CHOOSE(CONTROL!$C$27, 0.0021, 0)</f>
        <v>44.6083</v>
      </c>
      <c r="H362" s="17">
        <f>44.4715 * CHOOSE(CONTROL!$C$9, $D$9, 100%, $F$9) + CHOOSE(CONTROL!$C$27, 0.0021, 0)</f>
        <v>44.473599999999998</v>
      </c>
      <c r="I362" s="17">
        <f>44.4715 * CHOOSE(CONTROL!$C$9, $D$9, 100%, $F$9) + CHOOSE(CONTROL!$C$27, 0.0021, 0)</f>
        <v>44.473599999999998</v>
      </c>
      <c r="J362" s="17">
        <f>44.4715 * CHOOSE(CONTROL!$C$9, $D$9, 100%, $F$9) + CHOOSE(CONTROL!$C$27, 0.0021, 0)</f>
        <v>44.473599999999998</v>
      </c>
      <c r="K362" s="17">
        <f>44.4715 * CHOOSE(CONTROL!$C$9, $D$9, 100%, $F$9) + CHOOSE(CONTROL!$C$27, 0.0021, 0)</f>
        <v>44.473599999999998</v>
      </c>
      <c r="L362" s="17"/>
    </row>
    <row r="363" spans="1:12" ht="15.75" x14ac:dyDescent="0.25">
      <c r="A363" s="14">
        <v>51986</v>
      </c>
      <c r="B363" s="17">
        <f>44.2849 * CHOOSE(CONTROL!$C$9, $D$9, 100%, $F$9) + CHOOSE(CONTROL!$C$27, 0.0021, 0)</f>
        <v>44.286999999999999</v>
      </c>
      <c r="C363" s="17">
        <f>43.8527 * CHOOSE(CONTROL!$C$9, $D$9, 100%, $F$9) + CHOOSE(CONTROL!$C$27, 0.0021, 0)</f>
        <v>43.854799999999997</v>
      </c>
      <c r="D363" s="17">
        <f>43.8527 * CHOOSE(CONTROL!$C$9, $D$9, 100%, $F$9) + CHOOSE(CONTROL!$C$27, 0.0021, 0)</f>
        <v>43.854799999999997</v>
      </c>
      <c r="E363" s="17">
        <f>43.716 * CHOOSE(CONTROL!$C$9, $D$9, 100%, $F$9) + CHOOSE(CONTROL!$C$27, 0.0021, 0)</f>
        <v>43.7181</v>
      </c>
      <c r="F363" s="17">
        <f>43.716 * CHOOSE(CONTROL!$C$9, $D$9, 100%, $F$9) + CHOOSE(CONTROL!$C$27, 0.0021, 0)</f>
        <v>43.7181</v>
      </c>
      <c r="G363" s="17">
        <f>43.9874 * CHOOSE(CONTROL!$C$9, $D$9, 100%, $F$9) + CHOOSE(CONTROL!$C$27, 0.0021, 0)</f>
        <v>43.9895</v>
      </c>
      <c r="H363" s="17">
        <f>43.8527 * CHOOSE(CONTROL!$C$9, $D$9, 100%, $F$9) + CHOOSE(CONTROL!$C$27, 0.0021, 0)</f>
        <v>43.854799999999997</v>
      </c>
      <c r="I363" s="17">
        <f>43.8527 * CHOOSE(CONTROL!$C$9, $D$9, 100%, $F$9) + CHOOSE(CONTROL!$C$27, 0.0021, 0)</f>
        <v>43.854799999999997</v>
      </c>
      <c r="J363" s="17">
        <f>43.8527 * CHOOSE(CONTROL!$C$9, $D$9, 100%, $F$9) + CHOOSE(CONTROL!$C$27, 0.0021, 0)</f>
        <v>43.854799999999997</v>
      </c>
      <c r="K363" s="17">
        <f>43.8527 * CHOOSE(CONTROL!$C$9, $D$9, 100%, $F$9) + CHOOSE(CONTROL!$C$27, 0.0021, 0)</f>
        <v>43.854799999999997</v>
      </c>
      <c r="L363" s="17"/>
    </row>
    <row r="364" spans="1:12" ht="15.75" x14ac:dyDescent="0.25">
      <c r="A364" s="14">
        <v>52017</v>
      </c>
      <c r="B364" s="17">
        <f>45.1668 * CHOOSE(CONTROL!$C$9, $D$9, 100%, $F$9) + CHOOSE(CONTROL!$C$27, 0.0021, 0)</f>
        <v>45.168900000000001</v>
      </c>
      <c r="C364" s="17">
        <f>44.7346 * CHOOSE(CONTROL!$C$9, $D$9, 100%, $F$9) + CHOOSE(CONTROL!$C$27, 0.0021, 0)</f>
        <v>44.736699999999999</v>
      </c>
      <c r="D364" s="17">
        <f>44.7346 * CHOOSE(CONTROL!$C$9, $D$9, 100%, $F$9) + CHOOSE(CONTROL!$C$27, 0.0021, 0)</f>
        <v>44.736699999999999</v>
      </c>
      <c r="E364" s="17">
        <f>44.5979 * CHOOSE(CONTROL!$C$9, $D$9, 100%, $F$9) + CHOOSE(CONTROL!$C$27, 0.0021, 0)</f>
        <v>44.6</v>
      </c>
      <c r="F364" s="17">
        <f>44.5979 * CHOOSE(CONTROL!$C$9, $D$9, 100%, $F$9) + CHOOSE(CONTROL!$C$27, 0.0021, 0)</f>
        <v>44.6</v>
      </c>
      <c r="G364" s="17">
        <f>44.8693 * CHOOSE(CONTROL!$C$9, $D$9, 100%, $F$9) + CHOOSE(CONTROL!$C$27, 0.0021, 0)</f>
        <v>44.871400000000001</v>
      </c>
      <c r="H364" s="17">
        <f>44.7346 * CHOOSE(CONTROL!$C$9, $D$9, 100%, $F$9) + CHOOSE(CONTROL!$C$27, 0.0021, 0)</f>
        <v>44.736699999999999</v>
      </c>
      <c r="I364" s="17">
        <f>44.7346 * CHOOSE(CONTROL!$C$9, $D$9, 100%, $F$9) + CHOOSE(CONTROL!$C$27, 0.0021, 0)</f>
        <v>44.736699999999999</v>
      </c>
      <c r="J364" s="17">
        <f>44.7346 * CHOOSE(CONTROL!$C$9, $D$9, 100%, $F$9) + CHOOSE(CONTROL!$C$27, 0.0021, 0)</f>
        <v>44.736699999999999</v>
      </c>
      <c r="K364" s="17">
        <f>44.7346 * CHOOSE(CONTROL!$C$9, $D$9, 100%, $F$9) + CHOOSE(CONTROL!$C$27, 0.0021, 0)</f>
        <v>44.736699999999999</v>
      </c>
      <c r="L364" s="17"/>
    </row>
    <row r="365" spans="1:12" ht="15.75" x14ac:dyDescent="0.25">
      <c r="A365" s="14">
        <v>52047</v>
      </c>
      <c r="B365" s="17">
        <f>45.695 * CHOOSE(CONTROL!$C$9, $D$9, 100%, $F$9) + CHOOSE(CONTROL!$C$27, 0.0021, 0)</f>
        <v>45.697099999999999</v>
      </c>
      <c r="C365" s="17">
        <f>45.2628 * CHOOSE(CONTROL!$C$9, $D$9, 100%, $F$9) + CHOOSE(CONTROL!$C$27, 0.0021, 0)</f>
        <v>45.264899999999997</v>
      </c>
      <c r="D365" s="17">
        <f>45.2628 * CHOOSE(CONTROL!$C$9, $D$9, 100%, $F$9) + CHOOSE(CONTROL!$C$27, 0.0021, 0)</f>
        <v>45.264899999999997</v>
      </c>
      <c r="E365" s="17">
        <f>45.1261 * CHOOSE(CONTROL!$C$9, $D$9, 100%, $F$9) + CHOOSE(CONTROL!$C$27, 0.0021, 0)</f>
        <v>45.1282</v>
      </c>
      <c r="F365" s="17">
        <f>45.1261 * CHOOSE(CONTROL!$C$9, $D$9, 100%, $F$9) + CHOOSE(CONTROL!$C$27, 0.0021, 0)</f>
        <v>45.1282</v>
      </c>
      <c r="G365" s="17">
        <f>45.3975 * CHOOSE(CONTROL!$C$9, $D$9, 100%, $F$9) + CHOOSE(CONTROL!$C$27, 0.0021, 0)</f>
        <v>45.3996</v>
      </c>
      <c r="H365" s="17">
        <f>45.2628 * CHOOSE(CONTROL!$C$9, $D$9, 100%, $F$9) + CHOOSE(CONTROL!$C$27, 0.0021, 0)</f>
        <v>45.264899999999997</v>
      </c>
      <c r="I365" s="17">
        <f>45.2628 * CHOOSE(CONTROL!$C$9, $D$9, 100%, $F$9) + CHOOSE(CONTROL!$C$27, 0.0021, 0)</f>
        <v>45.264899999999997</v>
      </c>
      <c r="J365" s="17">
        <f>45.2628 * CHOOSE(CONTROL!$C$9, $D$9, 100%, $F$9) + CHOOSE(CONTROL!$C$27, 0.0021, 0)</f>
        <v>45.264899999999997</v>
      </c>
      <c r="K365" s="17">
        <f>45.2628 * CHOOSE(CONTROL!$C$9, $D$9, 100%, $F$9) + CHOOSE(CONTROL!$C$27, 0.0021, 0)</f>
        <v>45.264899999999997</v>
      </c>
      <c r="L365" s="17"/>
    </row>
    <row r="366" spans="1:12" ht="15.75" x14ac:dyDescent="0.25">
      <c r="A366" s="14">
        <v>52078</v>
      </c>
      <c r="B366" s="17">
        <f>46.5663 * CHOOSE(CONTROL!$C$9, $D$9, 100%, $F$9) + CHOOSE(CONTROL!$C$27, 0.0021, 0)</f>
        <v>46.568399999999997</v>
      </c>
      <c r="C366" s="17">
        <f>46.1341 * CHOOSE(CONTROL!$C$9, $D$9, 100%, $F$9) + CHOOSE(CONTROL!$C$27, 0.0021, 0)</f>
        <v>46.136199999999995</v>
      </c>
      <c r="D366" s="17">
        <f>46.1341 * CHOOSE(CONTROL!$C$9, $D$9, 100%, $F$9) + CHOOSE(CONTROL!$C$27, 0.0021, 0)</f>
        <v>46.136199999999995</v>
      </c>
      <c r="E366" s="17">
        <f>45.9974 * CHOOSE(CONTROL!$C$9, $D$9, 100%, $F$9) + CHOOSE(CONTROL!$C$27, 0.0021, 0)</f>
        <v>45.999499999999998</v>
      </c>
      <c r="F366" s="17">
        <f>45.9974 * CHOOSE(CONTROL!$C$9, $D$9, 100%, $F$9) + CHOOSE(CONTROL!$C$27, 0.0021, 0)</f>
        <v>45.999499999999998</v>
      </c>
      <c r="G366" s="17">
        <f>46.2688 * CHOOSE(CONTROL!$C$9, $D$9, 100%, $F$9) + CHOOSE(CONTROL!$C$27, 0.0021, 0)</f>
        <v>46.270899999999997</v>
      </c>
      <c r="H366" s="17">
        <f>46.1341 * CHOOSE(CONTROL!$C$9, $D$9, 100%, $F$9) + CHOOSE(CONTROL!$C$27, 0.0021, 0)</f>
        <v>46.136199999999995</v>
      </c>
      <c r="I366" s="17">
        <f>46.1341 * CHOOSE(CONTROL!$C$9, $D$9, 100%, $F$9) + CHOOSE(CONTROL!$C$27, 0.0021, 0)</f>
        <v>46.136199999999995</v>
      </c>
      <c r="J366" s="17">
        <f>46.1341 * CHOOSE(CONTROL!$C$9, $D$9, 100%, $F$9) + CHOOSE(CONTROL!$C$27, 0.0021, 0)</f>
        <v>46.136199999999995</v>
      </c>
      <c r="K366" s="17">
        <f>46.1341 * CHOOSE(CONTROL!$C$9, $D$9, 100%, $F$9) + CHOOSE(CONTROL!$C$27, 0.0021, 0)</f>
        <v>46.136199999999995</v>
      </c>
      <c r="L366" s="17"/>
    </row>
    <row r="367" spans="1:12" ht="15.75" x14ac:dyDescent="0.25">
      <c r="A367" s="14">
        <v>52109</v>
      </c>
      <c r="B367" s="17">
        <f>46.8323 * CHOOSE(CONTROL!$C$9, $D$9, 100%, $F$9) + CHOOSE(CONTROL!$C$27, 0.0021, 0)</f>
        <v>46.834399999999995</v>
      </c>
      <c r="C367" s="17">
        <f>46.4001 * CHOOSE(CONTROL!$C$9, $D$9, 100%, $F$9) + CHOOSE(CONTROL!$C$27, 0.0021, 0)</f>
        <v>46.402200000000001</v>
      </c>
      <c r="D367" s="17">
        <f>46.4001 * CHOOSE(CONTROL!$C$9, $D$9, 100%, $F$9) + CHOOSE(CONTROL!$C$27, 0.0021, 0)</f>
        <v>46.402200000000001</v>
      </c>
      <c r="E367" s="17">
        <f>46.2634 * CHOOSE(CONTROL!$C$9, $D$9, 100%, $F$9) + CHOOSE(CONTROL!$C$27, 0.0021, 0)</f>
        <v>46.265499999999996</v>
      </c>
      <c r="F367" s="17">
        <f>46.2634 * CHOOSE(CONTROL!$C$9, $D$9, 100%, $F$9) + CHOOSE(CONTROL!$C$27, 0.0021, 0)</f>
        <v>46.265499999999996</v>
      </c>
      <c r="G367" s="17">
        <f>46.5348 * CHOOSE(CONTROL!$C$9, $D$9, 100%, $F$9) + CHOOSE(CONTROL!$C$27, 0.0021, 0)</f>
        <v>46.536899999999996</v>
      </c>
      <c r="H367" s="17">
        <f>46.4001 * CHOOSE(CONTROL!$C$9, $D$9, 100%, $F$9) + CHOOSE(CONTROL!$C$27, 0.0021, 0)</f>
        <v>46.402200000000001</v>
      </c>
      <c r="I367" s="17">
        <f>46.4001 * CHOOSE(CONTROL!$C$9, $D$9, 100%, $F$9) + CHOOSE(CONTROL!$C$27, 0.0021, 0)</f>
        <v>46.402200000000001</v>
      </c>
      <c r="J367" s="17">
        <f>46.4001 * CHOOSE(CONTROL!$C$9, $D$9, 100%, $F$9) + CHOOSE(CONTROL!$C$27, 0.0021, 0)</f>
        <v>46.402200000000001</v>
      </c>
      <c r="K367" s="17">
        <f>46.4001 * CHOOSE(CONTROL!$C$9, $D$9, 100%, $F$9) + CHOOSE(CONTROL!$C$27, 0.0021, 0)</f>
        <v>46.402200000000001</v>
      </c>
      <c r="L367" s="17"/>
    </row>
    <row r="368" spans="1:12" ht="15.75" x14ac:dyDescent="0.25">
      <c r="A368" s="14">
        <v>52139</v>
      </c>
      <c r="B368" s="17">
        <f>47.738 * CHOOSE(CONTROL!$C$9, $D$9, 100%, $F$9) + CHOOSE(CONTROL!$C$27, 0.0021, 0)</f>
        <v>47.740099999999998</v>
      </c>
      <c r="C368" s="17">
        <f>47.3058 * CHOOSE(CONTROL!$C$9, $D$9, 100%, $F$9) + CHOOSE(CONTROL!$C$27, 0.0021, 0)</f>
        <v>47.307899999999997</v>
      </c>
      <c r="D368" s="17">
        <f>47.3058 * CHOOSE(CONTROL!$C$9, $D$9, 100%, $F$9) + CHOOSE(CONTROL!$C$27, 0.0021, 0)</f>
        <v>47.307899999999997</v>
      </c>
      <c r="E368" s="17">
        <f>47.1691 * CHOOSE(CONTROL!$C$9, $D$9, 100%, $F$9) + CHOOSE(CONTROL!$C$27, 0.0021, 0)</f>
        <v>47.171199999999999</v>
      </c>
      <c r="F368" s="17">
        <f>47.1691 * CHOOSE(CONTROL!$C$9, $D$9, 100%, $F$9) + CHOOSE(CONTROL!$C$27, 0.0021, 0)</f>
        <v>47.171199999999999</v>
      </c>
      <c r="G368" s="17">
        <f>47.4405 * CHOOSE(CONTROL!$C$9, $D$9, 100%, $F$9) + CHOOSE(CONTROL!$C$27, 0.0021, 0)</f>
        <v>47.442599999999999</v>
      </c>
      <c r="H368" s="17">
        <f>47.3058 * CHOOSE(CONTROL!$C$9, $D$9, 100%, $F$9) + CHOOSE(CONTROL!$C$27, 0.0021, 0)</f>
        <v>47.307899999999997</v>
      </c>
      <c r="I368" s="17">
        <f>47.3058 * CHOOSE(CONTROL!$C$9, $D$9, 100%, $F$9) + CHOOSE(CONTROL!$C$27, 0.0021, 0)</f>
        <v>47.307899999999997</v>
      </c>
      <c r="J368" s="17">
        <f>47.3058 * CHOOSE(CONTROL!$C$9, $D$9, 100%, $F$9) + CHOOSE(CONTROL!$C$27, 0.0021, 0)</f>
        <v>47.307899999999997</v>
      </c>
      <c r="K368" s="17">
        <f>47.3058 * CHOOSE(CONTROL!$C$9, $D$9, 100%, $F$9) + CHOOSE(CONTROL!$C$27, 0.0021, 0)</f>
        <v>47.307899999999997</v>
      </c>
      <c r="L368" s="17"/>
    </row>
    <row r="369" spans="1:12" ht="15.75" x14ac:dyDescent="0.25">
      <c r="A369" s="14">
        <v>52170</v>
      </c>
      <c r="B369" s="17">
        <f>48.8845 * CHOOSE(CONTROL!$C$9, $D$9, 100%, $F$9) + CHOOSE(CONTROL!$C$27, 0.0021, 0)</f>
        <v>48.886600000000001</v>
      </c>
      <c r="C369" s="17">
        <f>48.4523 * CHOOSE(CONTROL!$C$9, $D$9, 100%, $F$9) + CHOOSE(CONTROL!$C$27, 0.0021, 0)</f>
        <v>48.4544</v>
      </c>
      <c r="D369" s="17">
        <f>48.4523 * CHOOSE(CONTROL!$C$9, $D$9, 100%, $F$9) + CHOOSE(CONTROL!$C$27, 0.0021, 0)</f>
        <v>48.4544</v>
      </c>
      <c r="E369" s="17">
        <f>48.3156 * CHOOSE(CONTROL!$C$9, $D$9, 100%, $F$9) + CHOOSE(CONTROL!$C$27, 0.0021, 0)</f>
        <v>48.317700000000002</v>
      </c>
      <c r="F369" s="17">
        <f>48.3156 * CHOOSE(CONTROL!$C$9, $D$9, 100%, $F$9) + CHOOSE(CONTROL!$C$27, 0.0021, 0)</f>
        <v>48.317700000000002</v>
      </c>
      <c r="G369" s="17">
        <f>48.587 * CHOOSE(CONTROL!$C$9, $D$9, 100%, $F$9) + CHOOSE(CONTROL!$C$27, 0.0021, 0)</f>
        <v>48.589100000000002</v>
      </c>
      <c r="H369" s="17">
        <f>48.4523 * CHOOSE(CONTROL!$C$9, $D$9, 100%, $F$9) + CHOOSE(CONTROL!$C$27, 0.0021, 0)</f>
        <v>48.4544</v>
      </c>
      <c r="I369" s="17">
        <f>48.4523 * CHOOSE(CONTROL!$C$9, $D$9, 100%, $F$9) + CHOOSE(CONTROL!$C$27, 0.0021, 0)</f>
        <v>48.4544</v>
      </c>
      <c r="J369" s="17">
        <f>48.4523 * CHOOSE(CONTROL!$C$9, $D$9, 100%, $F$9) + CHOOSE(CONTROL!$C$27, 0.0021, 0)</f>
        <v>48.4544</v>
      </c>
      <c r="K369" s="17">
        <f>48.4523 * CHOOSE(CONTROL!$C$9, $D$9, 100%, $F$9) + CHOOSE(CONTROL!$C$27, 0.0021, 0)</f>
        <v>48.4544</v>
      </c>
      <c r="L369" s="17"/>
    </row>
    <row r="370" spans="1:12" ht="15.75" x14ac:dyDescent="0.25">
      <c r="A370" s="14">
        <v>52200</v>
      </c>
      <c r="B370" s="17">
        <f>48.9921 * CHOOSE(CONTROL!$C$9, $D$9, 100%, $F$9) + CHOOSE(CONTROL!$C$27, 0.0021, 0)</f>
        <v>48.994199999999999</v>
      </c>
      <c r="C370" s="17">
        <f>48.5599 * CHOOSE(CONTROL!$C$9, $D$9, 100%, $F$9) + CHOOSE(CONTROL!$C$27, 0.0021, 0)</f>
        <v>48.561999999999998</v>
      </c>
      <c r="D370" s="17">
        <f>48.5599 * CHOOSE(CONTROL!$C$9, $D$9, 100%, $F$9) + CHOOSE(CONTROL!$C$27, 0.0021, 0)</f>
        <v>48.561999999999998</v>
      </c>
      <c r="E370" s="17">
        <f>48.4232 * CHOOSE(CONTROL!$C$9, $D$9, 100%, $F$9) + CHOOSE(CONTROL!$C$27, 0.0021, 0)</f>
        <v>48.4253</v>
      </c>
      <c r="F370" s="17">
        <f>48.4232 * CHOOSE(CONTROL!$C$9, $D$9, 100%, $F$9) + CHOOSE(CONTROL!$C$27, 0.0021, 0)</f>
        <v>48.4253</v>
      </c>
      <c r="G370" s="17">
        <f>48.6946 * CHOOSE(CONTROL!$C$9, $D$9, 100%, $F$9) + CHOOSE(CONTROL!$C$27, 0.0021, 0)</f>
        <v>48.6967</v>
      </c>
      <c r="H370" s="17">
        <f>48.5599 * CHOOSE(CONTROL!$C$9, $D$9, 100%, $F$9) + CHOOSE(CONTROL!$C$27, 0.0021, 0)</f>
        <v>48.561999999999998</v>
      </c>
      <c r="I370" s="17">
        <f>48.5599 * CHOOSE(CONTROL!$C$9, $D$9, 100%, $F$9) + CHOOSE(CONTROL!$C$27, 0.0021, 0)</f>
        <v>48.561999999999998</v>
      </c>
      <c r="J370" s="17">
        <f>48.5599 * CHOOSE(CONTROL!$C$9, $D$9, 100%, $F$9) + CHOOSE(CONTROL!$C$27, 0.0021, 0)</f>
        <v>48.561999999999998</v>
      </c>
      <c r="K370" s="17">
        <f>48.5599 * CHOOSE(CONTROL!$C$9, $D$9, 100%, $F$9) + CHOOSE(CONTROL!$C$27, 0.0021, 0)</f>
        <v>48.561999999999998</v>
      </c>
      <c r="L370" s="17"/>
    </row>
    <row r="371" spans="1:12" ht="15.75" x14ac:dyDescent="0.25">
      <c r="A371" s="14">
        <v>52231</v>
      </c>
      <c r="B371" s="17">
        <f>48.0765 * CHOOSE(CONTROL!$C$9, $D$9, 100%, $F$9) + CHOOSE(CONTROL!$C$27, 0.0021, 0)</f>
        <v>48.078600000000002</v>
      </c>
      <c r="C371" s="17">
        <f>47.6442 * CHOOSE(CONTROL!$C$9, $D$9, 100%, $F$9) + CHOOSE(CONTROL!$C$27, 0.0021, 0)</f>
        <v>47.646299999999997</v>
      </c>
      <c r="D371" s="17">
        <f>47.6442 * CHOOSE(CONTROL!$C$9, $D$9, 100%, $F$9) + CHOOSE(CONTROL!$C$27, 0.0021, 0)</f>
        <v>47.646299999999997</v>
      </c>
      <c r="E371" s="17">
        <f>47.5076 * CHOOSE(CONTROL!$C$9, $D$9, 100%, $F$9) + CHOOSE(CONTROL!$C$27, 0.0021, 0)</f>
        <v>47.509699999999995</v>
      </c>
      <c r="F371" s="17">
        <f>47.5076 * CHOOSE(CONTROL!$C$9, $D$9, 100%, $F$9) + CHOOSE(CONTROL!$C$27, 0.0021, 0)</f>
        <v>47.509699999999995</v>
      </c>
      <c r="G371" s="17">
        <f>47.7789 * CHOOSE(CONTROL!$C$9, $D$9, 100%, $F$9) + CHOOSE(CONTROL!$C$27, 0.0021, 0)</f>
        <v>47.780999999999999</v>
      </c>
      <c r="H371" s="17">
        <f>47.6442 * CHOOSE(CONTROL!$C$9, $D$9, 100%, $F$9) + CHOOSE(CONTROL!$C$27, 0.0021, 0)</f>
        <v>47.646299999999997</v>
      </c>
      <c r="I371" s="17">
        <f>47.6442 * CHOOSE(CONTROL!$C$9, $D$9, 100%, $F$9) + CHOOSE(CONTROL!$C$27, 0.0021, 0)</f>
        <v>47.646299999999997</v>
      </c>
      <c r="J371" s="17">
        <f>47.6442 * CHOOSE(CONTROL!$C$9, $D$9, 100%, $F$9) + CHOOSE(CONTROL!$C$27, 0.0021, 0)</f>
        <v>47.646299999999997</v>
      </c>
      <c r="K371" s="17">
        <f>47.6442 * CHOOSE(CONTROL!$C$9, $D$9, 100%, $F$9) + CHOOSE(CONTROL!$C$27, 0.0021, 0)</f>
        <v>47.646299999999997</v>
      </c>
      <c r="L371" s="17"/>
    </row>
    <row r="372" spans="1:12" ht="15.75" x14ac:dyDescent="0.25">
      <c r="A372" s="14">
        <v>52262</v>
      </c>
      <c r="B372" s="17">
        <f>47.4977 * CHOOSE(CONTROL!$C$9, $D$9, 100%, $F$9) + CHOOSE(CONTROL!$C$27, 0.0021, 0)</f>
        <v>47.4998</v>
      </c>
      <c r="C372" s="17">
        <f>47.0655 * CHOOSE(CONTROL!$C$9, $D$9, 100%, $F$9) + CHOOSE(CONTROL!$C$27, 0.0021, 0)</f>
        <v>47.067599999999999</v>
      </c>
      <c r="D372" s="17">
        <f>47.0655 * CHOOSE(CONTROL!$C$9, $D$9, 100%, $F$9) + CHOOSE(CONTROL!$C$27, 0.0021, 0)</f>
        <v>47.067599999999999</v>
      </c>
      <c r="E372" s="17">
        <f>46.9288 * CHOOSE(CONTROL!$C$9, $D$9, 100%, $F$9) + CHOOSE(CONTROL!$C$27, 0.0021, 0)</f>
        <v>46.930900000000001</v>
      </c>
      <c r="F372" s="17">
        <f>46.9288 * CHOOSE(CONTROL!$C$9, $D$9, 100%, $F$9) + CHOOSE(CONTROL!$C$27, 0.0021, 0)</f>
        <v>46.930900000000001</v>
      </c>
      <c r="G372" s="17">
        <f>47.2002 * CHOOSE(CONTROL!$C$9, $D$9, 100%, $F$9) + CHOOSE(CONTROL!$C$27, 0.0021, 0)</f>
        <v>47.202300000000001</v>
      </c>
      <c r="H372" s="17">
        <f>47.0655 * CHOOSE(CONTROL!$C$9, $D$9, 100%, $F$9) + CHOOSE(CONTROL!$C$27, 0.0021, 0)</f>
        <v>47.067599999999999</v>
      </c>
      <c r="I372" s="17">
        <f>47.0655 * CHOOSE(CONTROL!$C$9, $D$9, 100%, $F$9) + CHOOSE(CONTROL!$C$27, 0.0021, 0)</f>
        <v>47.067599999999999</v>
      </c>
      <c r="J372" s="17">
        <f>47.0655 * CHOOSE(CONTROL!$C$9, $D$9, 100%, $F$9) + CHOOSE(CONTROL!$C$27, 0.0021, 0)</f>
        <v>47.067599999999999</v>
      </c>
      <c r="K372" s="17">
        <f>47.0655 * CHOOSE(CONTROL!$C$9, $D$9, 100%, $F$9) + CHOOSE(CONTROL!$C$27, 0.0021, 0)</f>
        <v>47.067599999999999</v>
      </c>
      <c r="L372" s="17"/>
    </row>
    <row r="373" spans="1:12" ht="15.75" x14ac:dyDescent="0.25">
      <c r="A373" s="14">
        <v>52290</v>
      </c>
      <c r="B373" s="17">
        <f>46.2191 * CHOOSE(CONTROL!$C$9, $D$9, 100%, $F$9) + CHOOSE(CONTROL!$C$27, 0.0021, 0)</f>
        <v>46.221199999999996</v>
      </c>
      <c r="C373" s="17">
        <f>45.7868 * CHOOSE(CONTROL!$C$9, $D$9, 100%, $F$9) + CHOOSE(CONTROL!$C$27, 0.0021, 0)</f>
        <v>45.788899999999998</v>
      </c>
      <c r="D373" s="17">
        <f>45.7868 * CHOOSE(CONTROL!$C$9, $D$9, 100%, $F$9) + CHOOSE(CONTROL!$C$27, 0.0021, 0)</f>
        <v>45.788899999999998</v>
      </c>
      <c r="E373" s="17">
        <f>45.6502 * CHOOSE(CONTROL!$C$9, $D$9, 100%, $F$9) + CHOOSE(CONTROL!$C$27, 0.0021, 0)</f>
        <v>45.652299999999997</v>
      </c>
      <c r="F373" s="17">
        <f>45.6502 * CHOOSE(CONTROL!$C$9, $D$9, 100%, $F$9) + CHOOSE(CONTROL!$C$27, 0.0021, 0)</f>
        <v>45.652299999999997</v>
      </c>
      <c r="G373" s="17">
        <f>45.9215 * CHOOSE(CONTROL!$C$9, $D$9, 100%, $F$9) + CHOOSE(CONTROL!$C$27, 0.0021, 0)</f>
        <v>45.9236</v>
      </c>
      <c r="H373" s="17">
        <f>45.7868 * CHOOSE(CONTROL!$C$9, $D$9, 100%, $F$9) + CHOOSE(CONTROL!$C$27, 0.0021, 0)</f>
        <v>45.788899999999998</v>
      </c>
      <c r="I373" s="17">
        <f>45.7868 * CHOOSE(CONTROL!$C$9, $D$9, 100%, $F$9) + CHOOSE(CONTROL!$C$27, 0.0021, 0)</f>
        <v>45.788899999999998</v>
      </c>
      <c r="J373" s="17">
        <f>45.7868 * CHOOSE(CONTROL!$C$9, $D$9, 100%, $F$9) + CHOOSE(CONTROL!$C$27, 0.0021, 0)</f>
        <v>45.788899999999998</v>
      </c>
      <c r="K373" s="17">
        <f>45.7868 * CHOOSE(CONTROL!$C$9, $D$9, 100%, $F$9) + CHOOSE(CONTROL!$C$27, 0.0021, 0)</f>
        <v>45.788899999999998</v>
      </c>
      <c r="L373" s="17"/>
    </row>
    <row r="374" spans="1:12" ht="15.75" x14ac:dyDescent="0.25">
      <c r="A374" s="14">
        <v>52321</v>
      </c>
      <c r="B374" s="17">
        <f>45.6912 * CHOOSE(CONTROL!$C$9, $D$9, 100%, $F$9) + CHOOSE(CONTROL!$C$27, 0.0021, 0)</f>
        <v>45.693300000000001</v>
      </c>
      <c r="C374" s="17">
        <f>45.259 * CHOOSE(CONTROL!$C$9, $D$9, 100%, $F$9) + CHOOSE(CONTROL!$C$27, 0.0021, 0)</f>
        <v>45.261099999999999</v>
      </c>
      <c r="D374" s="17">
        <f>45.259 * CHOOSE(CONTROL!$C$9, $D$9, 100%, $F$9) + CHOOSE(CONTROL!$C$27, 0.0021, 0)</f>
        <v>45.261099999999999</v>
      </c>
      <c r="E374" s="17">
        <f>45.1223 * CHOOSE(CONTROL!$C$9, $D$9, 100%, $F$9) + CHOOSE(CONTROL!$C$27, 0.0021, 0)</f>
        <v>45.124400000000001</v>
      </c>
      <c r="F374" s="17">
        <f>45.1223 * CHOOSE(CONTROL!$C$9, $D$9, 100%, $F$9) + CHOOSE(CONTROL!$C$27, 0.0021, 0)</f>
        <v>45.124400000000001</v>
      </c>
      <c r="G374" s="17">
        <f>45.3937 * CHOOSE(CONTROL!$C$9, $D$9, 100%, $F$9) + CHOOSE(CONTROL!$C$27, 0.0021, 0)</f>
        <v>45.395800000000001</v>
      </c>
      <c r="H374" s="17">
        <f>45.259 * CHOOSE(CONTROL!$C$9, $D$9, 100%, $F$9) + CHOOSE(CONTROL!$C$27, 0.0021, 0)</f>
        <v>45.261099999999999</v>
      </c>
      <c r="I374" s="17">
        <f>45.259 * CHOOSE(CONTROL!$C$9, $D$9, 100%, $F$9) + CHOOSE(CONTROL!$C$27, 0.0021, 0)</f>
        <v>45.261099999999999</v>
      </c>
      <c r="J374" s="17">
        <f>45.259 * CHOOSE(CONTROL!$C$9, $D$9, 100%, $F$9) + CHOOSE(CONTROL!$C$27, 0.0021, 0)</f>
        <v>45.261099999999999</v>
      </c>
      <c r="K374" s="17">
        <f>45.259 * CHOOSE(CONTROL!$C$9, $D$9, 100%, $F$9) + CHOOSE(CONTROL!$C$27, 0.0021, 0)</f>
        <v>45.261099999999999</v>
      </c>
      <c r="L374" s="17"/>
    </row>
    <row r="375" spans="1:12" ht="15.75" x14ac:dyDescent="0.25">
      <c r="A375" s="14">
        <v>52351</v>
      </c>
      <c r="B375" s="17">
        <f>45.061 * CHOOSE(CONTROL!$C$9, $D$9, 100%, $F$9) + CHOOSE(CONTROL!$C$27, 0.0021, 0)</f>
        <v>45.063099999999999</v>
      </c>
      <c r="C375" s="17">
        <f>44.6288 * CHOOSE(CONTROL!$C$9, $D$9, 100%, $F$9) + CHOOSE(CONTROL!$C$27, 0.0021, 0)</f>
        <v>44.630899999999997</v>
      </c>
      <c r="D375" s="17">
        <f>44.6288 * CHOOSE(CONTROL!$C$9, $D$9, 100%, $F$9) + CHOOSE(CONTROL!$C$27, 0.0021, 0)</f>
        <v>44.630899999999997</v>
      </c>
      <c r="E375" s="17">
        <f>44.4921 * CHOOSE(CONTROL!$C$9, $D$9, 100%, $F$9) + CHOOSE(CONTROL!$C$27, 0.0021, 0)</f>
        <v>44.494199999999999</v>
      </c>
      <c r="F375" s="17">
        <f>44.4921 * CHOOSE(CONTROL!$C$9, $D$9, 100%, $F$9) + CHOOSE(CONTROL!$C$27, 0.0021, 0)</f>
        <v>44.494199999999999</v>
      </c>
      <c r="G375" s="17">
        <f>44.7635 * CHOOSE(CONTROL!$C$9, $D$9, 100%, $F$9) + CHOOSE(CONTROL!$C$27, 0.0021, 0)</f>
        <v>44.765599999999999</v>
      </c>
      <c r="H375" s="17">
        <f>44.6288 * CHOOSE(CONTROL!$C$9, $D$9, 100%, $F$9) + CHOOSE(CONTROL!$C$27, 0.0021, 0)</f>
        <v>44.630899999999997</v>
      </c>
      <c r="I375" s="17">
        <f>44.6288 * CHOOSE(CONTROL!$C$9, $D$9, 100%, $F$9) + CHOOSE(CONTROL!$C$27, 0.0021, 0)</f>
        <v>44.630899999999997</v>
      </c>
      <c r="J375" s="17">
        <f>44.6288 * CHOOSE(CONTROL!$C$9, $D$9, 100%, $F$9) + CHOOSE(CONTROL!$C$27, 0.0021, 0)</f>
        <v>44.630899999999997</v>
      </c>
      <c r="K375" s="17">
        <f>44.6288 * CHOOSE(CONTROL!$C$9, $D$9, 100%, $F$9) + CHOOSE(CONTROL!$C$27, 0.0021, 0)</f>
        <v>44.630899999999997</v>
      </c>
      <c r="L375" s="17"/>
    </row>
    <row r="376" spans="1:12" ht="15.75" x14ac:dyDescent="0.25">
      <c r="A376" s="14">
        <v>52382</v>
      </c>
      <c r="B376" s="17">
        <f>45.9592 * CHOOSE(CONTROL!$C$9, $D$9, 100%, $F$9) + CHOOSE(CONTROL!$C$27, 0.0021, 0)</f>
        <v>45.961300000000001</v>
      </c>
      <c r="C376" s="17">
        <f>45.5269 * CHOOSE(CONTROL!$C$9, $D$9, 100%, $F$9) + CHOOSE(CONTROL!$C$27, 0.0021, 0)</f>
        <v>45.528999999999996</v>
      </c>
      <c r="D376" s="17">
        <f>45.5269 * CHOOSE(CONTROL!$C$9, $D$9, 100%, $F$9) + CHOOSE(CONTROL!$C$27, 0.0021, 0)</f>
        <v>45.528999999999996</v>
      </c>
      <c r="E376" s="17">
        <f>45.3903 * CHOOSE(CONTROL!$C$9, $D$9, 100%, $F$9) + CHOOSE(CONTROL!$C$27, 0.0021, 0)</f>
        <v>45.392400000000002</v>
      </c>
      <c r="F376" s="17">
        <f>45.3903 * CHOOSE(CONTROL!$C$9, $D$9, 100%, $F$9) + CHOOSE(CONTROL!$C$27, 0.0021, 0)</f>
        <v>45.392400000000002</v>
      </c>
      <c r="G376" s="17">
        <f>45.6616 * CHOOSE(CONTROL!$C$9, $D$9, 100%, $F$9) + CHOOSE(CONTROL!$C$27, 0.0021, 0)</f>
        <v>45.663699999999999</v>
      </c>
      <c r="H376" s="17">
        <f>45.5269 * CHOOSE(CONTROL!$C$9, $D$9, 100%, $F$9) + CHOOSE(CONTROL!$C$27, 0.0021, 0)</f>
        <v>45.528999999999996</v>
      </c>
      <c r="I376" s="17">
        <f>45.5269 * CHOOSE(CONTROL!$C$9, $D$9, 100%, $F$9) + CHOOSE(CONTROL!$C$27, 0.0021, 0)</f>
        <v>45.528999999999996</v>
      </c>
      <c r="J376" s="17">
        <f>45.5269 * CHOOSE(CONTROL!$C$9, $D$9, 100%, $F$9) + CHOOSE(CONTROL!$C$27, 0.0021, 0)</f>
        <v>45.528999999999996</v>
      </c>
      <c r="K376" s="17">
        <f>45.5269 * CHOOSE(CONTROL!$C$9, $D$9, 100%, $F$9) + CHOOSE(CONTROL!$C$27, 0.0021, 0)</f>
        <v>45.528999999999996</v>
      </c>
      <c r="L376" s="17"/>
    </row>
    <row r="377" spans="1:12" ht="15.75" x14ac:dyDescent="0.25">
      <c r="A377" s="14">
        <v>52412</v>
      </c>
      <c r="B377" s="17">
        <f>46.4971 * CHOOSE(CONTROL!$C$9, $D$9, 100%, $F$9) + CHOOSE(CONTROL!$C$27, 0.0021, 0)</f>
        <v>46.499200000000002</v>
      </c>
      <c r="C377" s="17">
        <f>46.0649 * CHOOSE(CONTROL!$C$9, $D$9, 100%, $F$9) + CHOOSE(CONTROL!$C$27, 0.0021, 0)</f>
        <v>46.067</v>
      </c>
      <c r="D377" s="17">
        <f>46.0649 * CHOOSE(CONTROL!$C$9, $D$9, 100%, $F$9) + CHOOSE(CONTROL!$C$27, 0.0021, 0)</f>
        <v>46.067</v>
      </c>
      <c r="E377" s="17">
        <f>45.9282 * CHOOSE(CONTROL!$C$9, $D$9, 100%, $F$9) + CHOOSE(CONTROL!$C$27, 0.0021, 0)</f>
        <v>45.930299999999995</v>
      </c>
      <c r="F377" s="17">
        <f>45.9282 * CHOOSE(CONTROL!$C$9, $D$9, 100%, $F$9) + CHOOSE(CONTROL!$C$27, 0.0021, 0)</f>
        <v>45.930299999999995</v>
      </c>
      <c r="G377" s="17">
        <f>46.1996 * CHOOSE(CONTROL!$C$9, $D$9, 100%, $F$9) + CHOOSE(CONTROL!$C$27, 0.0021, 0)</f>
        <v>46.201699999999995</v>
      </c>
      <c r="H377" s="17">
        <f>46.0649 * CHOOSE(CONTROL!$C$9, $D$9, 100%, $F$9) + CHOOSE(CONTROL!$C$27, 0.0021, 0)</f>
        <v>46.067</v>
      </c>
      <c r="I377" s="17">
        <f>46.0649 * CHOOSE(CONTROL!$C$9, $D$9, 100%, $F$9) + CHOOSE(CONTROL!$C$27, 0.0021, 0)</f>
        <v>46.067</v>
      </c>
      <c r="J377" s="17">
        <f>46.0649 * CHOOSE(CONTROL!$C$9, $D$9, 100%, $F$9) + CHOOSE(CONTROL!$C$27, 0.0021, 0)</f>
        <v>46.067</v>
      </c>
      <c r="K377" s="17">
        <f>46.0649 * CHOOSE(CONTROL!$C$9, $D$9, 100%, $F$9) + CHOOSE(CONTROL!$C$27, 0.0021, 0)</f>
        <v>46.067</v>
      </c>
      <c r="L377" s="17"/>
    </row>
    <row r="378" spans="1:12" ht="15.75" x14ac:dyDescent="0.25">
      <c r="A378" s="14">
        <v>52443</v>
      </c>
      <c r="B378" s="17">
        <f>47.3846 * CHOOSE(CONTROL!$C$9, $D$9, 100%, $F$9) + CHOOSE(CONTROL!$C$27, 0.0021, 0)</f>
        <v>47.386699999999998</v>
      </c>
      <c r="C378" s="17">
        <f>46.9523 * CHOOSE(CONTROL!$C$9, $D$9, 100%, $F$9) + CHOOSE(CONTROL!$C$27, 0.0021, 0)</f>
        <v>46.9544</v>
      </c>
      <c r="D378" s="17">
        <f>46.9523 * CHOOSE(CONTROL!$C$9, $D$9, 100%, $F$9) + CHOOSE(CONTROL!$C$27, 0.0021, 0)</f>
        <v>46.9544</v>
      </c>
      <c r="E378" s="17">
        <f>46.8157 * CHOOSE(CONTROL!$C$9, $D$9, 100%, $F$9) + CHOOSE(CONTROL!$C$27, 0.0021, 0)</f>
        <v>46.817799999999998</v>
      </c>
      <c r="F378" s="17">
        <f>46.8157 * CHOOSE(CONTROL!$C$9, $D$9, 100%, $F$9) + CHOOSE(CONTROL!$C$27, 0.0021, 0)</f>
        <v>46.817799999999998</v>
      </c>
      <c r="G378" s="17">
        <f>47.087 * CHOOSE(CONTROL!$C$9, $D$9, 100%, $F$9) + CHOOSE(CONTROL!$C$27, 0.0021, 0)</f>
        <v>47.089100000000002</v>
      </c>
      <c r="H378" s="17">
        <f>46.9523 * CHOOSE(CONTROL!$C$9, $D$9, 100%, $F$9) + CHOOSE(CONTROL!$C$27, 0.0021, 0)</f>
        <v>46.9544</v>
      </c>
      <c r="I378" s="17">
        <f>46.9523 * CHOOSE(CONTROL!$C$9, $D$9, 100%, $F$9) + CHOOSE(CONTROL!$C$27, 0.0021, 0)</f>
        <v>46.9544</v>
      </c>
      <c r="J378" s="17">
        <f>46.9523 * CHOOSE(CONTROL!$C$9, $D$9, 100%, $F$9) + CHOOSE(CONTROL!$C$27, 0.0021, 0)</f>
        <v>46.9544</v>
      </c>
      <c r="K378" s="17">
        <f>46.9523 * CHOOSE(CONTROL!$C$9, $D$9, 100%, $F$9) + CHOOSE(CONTROL!$C$27, 0.0021, 0)</f>
        <v>46.9544</v>
      </c>
      <c r="L378" s="17"/>
    </row>
    <row r="379" spans="1:12" ht="15.75" x14ac:dyDescent="0.25">
      <c r="A379" s="14">
        <v>52474</v>
      </c>
      <c r="B379" s="17">
        <f>47.6554 * CHOOSE(CONTROL!$C$9, $D$9, 100%, $F$9) + CHOOSE(CONTROL!$C$27, 0.0021, 0)</f>
        <v>47.657499999999999</v>
      </c>
      <c r="C379" s="17">
        <f>47.2232 * CHOOSE(CONTROL!$C$9, $D$9, 100%, $F$9) + CHOOSE(CONTROL!$C$27, 0.0021, 0)</f>
        <v>47.225299999999997</v>
      </c>
      <c r="D379" s="17">
        <f>47.2232 * CHOOSE(CONTROL!$C$9, $D$9, 100%, $F$9) + CHOOSE(CONTROL!$C$27, 0.0021, 0)</f>
        <v>47.225299999999997</v>
      </c>
      <c r="E379" s="17">
        <f>47.0865 * CHOOSE(CONTROL!$C$9, $D$9, 100%, $F$9) + CHOOSE(CONTROL!$C$27, 0.0021, 0)</f>
        <v>47.0886</v>
      </c>
      <c r="F379" s="17">
        <f>47.0865 * CHOOSE(CONTROL!$C$9, $D$9, 100%, $F$9) + CHOOSE(CONTROL!$C$27, 0.0021, 0)</f>
        <v>47.0886</v>
      </c>
      <c r="G379" s="17">
        <f>47.3579 * CHOOSE(CONTROL!$C$9, $D$9, 100%, $F$9) + CHOOSE(CONTROL!$C$27, 0.0021, 0)</f>
        <v>47.36</v>
      </c>
      <c r="H379" s="17">
        <f>47.2232 * CHOOSE(CONTROL!$C$9, $D$9, 100%, $F$9) + CHOOSE(CONTROL!$C$27, 0.0021, 0)</f>
        <v>47.225299999999997</v>
      </c>
      <c r="I379" s="17">
        <f>47.2232 * CHOOSE(CONTROL!$C$9, $D$9, 100%, $F$9) + CHOOSE(CONTROL!$C$27, 0.0021, 0)</f>
        <v>47.225299999999997</v>
      </c>
      <c r="J379" s="17">
        <f>47.2232 * CHOOSE(CONTROL!$C$9, $D$9, 100%, $F$9) + CHOOSE(CONTROL!$C$27, 0.0021, 0)</f>
        <v>47.225299999999997</v>
      </c>
      <c r="K379" s="17">
        <f>47.2232 * CHOOSE(CONTROL!$C$9, $D$9, 100%, $F$9) + CHOOSE(CONTROL!$C$27, 0.0021, 0)</f>
        <v>47.225299999999997</v>
      </c>
      <c r="L379" s="17"/>
    </row>
    <row r="380" spans="1:12" ht="15.75" x14ac:dyDescent="0.25">
      <c r="A380" s="14">
        <v>52504</v>
      </c>
      <c r="B380" s="17">
        <f>48.5779 * CHOOSE(CONTROL!$C$9, $D$9, 100%, $F$9) + CHOOSE(CONTROL!$C$27, 0.0021, 0)</f>
        <v>48.58</v>
      </c>
      <c r="C380" s="17">
        <f>48.1456 * CHOOSE(CONTROL!$C$9, $D$9, 100%, $F$9) + CHOOSE(CONTROL!$C$27, 0.0021, 0)</f>
        <v>48.1477</v>
      </c>
      <c r="D380" s="17">
        <f>48.1456 * CHOOSE(CONTROL!$C$9, $D$9, 100%, $F$9) + CHOOSE(CONTROL!$C$27, 0.0021, 0)</f>
        <v>48.1477</v>
      </c>
      <c r="E380" s="17">
        <f>48.009 * CHOOSE(CONTROL!$C$9, $D$9, 100%, $F$9) + CHOOSE(CONTROL!$C$27, 0.0021, 0)</f>
        <v>48.011099999999999</v>
      </c>
      <c r="F380" s="17">
        <f>48.009 * CHOOSE(CONTROL!$C$9, $D$9, 100%, $F$9) + CHOOSE(CONTROL!$C$27, 0.0021, 0)</f>
        <v>48.011099999999999</v>
      </c>
      <c r="G380" s="17">
        <f>48.2804 * CHOOSE(CONTROL!$C$9, $D$9, 100%, $F$9) + CHOOSE(CONTROL!$C$27, 0.0021, 0)</f>
        <v>48.282499999999999</v>
      </c>
      <c r="H380" s="17">
        <f>48.1456 * CHOOSE(CONTROL!$C$9, $D$9, 100%, $F$9) + CHOOSE(CONTROL!$C$27, 0.0021, 0)</f>
        <v>48.1477</v>
      </c>
      <c r="I380" s="17">
        <f>48.1456 * CHOOSE(CONTROL!$C$9, $D$9, 100%, $F$9) + CHOOSE(CONTROL!$C$27, 0.0021, 0)</f>
        <v>48.1477</v>
      </c>
      <c r="J380" s="17">
        <f>48.1456 * CHOOSE(CONTROL!$C$9, $D$9, 100%, $F$9) + CHOOSE(CONTROL!$C$27, 0.0021, 0)</f>
        <v>48.1477</v>
      </c>
      <c r="K380" s="17">
        <f>48.1456 * CHOOSE(CONTROL!$C$9, $D$9, 100%, $F$9) + CHOOSE(CONTROL!$C$27, 0.0021, 0)</f>
        <v>48.1477</v>
      </c>
      <c r="L380" s="17"/>
    </row>
    <row r="381" spans="1:12" ht="15.75" x14ac:dyDescent="0.25">
      <c r="A381" s="14">
        <v>52535</v>
      </c>
      <c r="B381" s="17">
        <f>49.7456 * CHOOSE(CONTROL!$C$9, $D$9, 100%, $F$9) + CHOOSE(CONTROL!$C$27, 0.0021, 0)</f>
        <v>49.747700000000002</v>
      </c>
      <c r="C381" s="17">
        <f>49.3133 * CHOOSE(CONTROL!$C$9, $D$9, 100%, $F$9) + CHOOSE(CONTROL!$C$27, 0.0021, 0)</f>
        <v>49.315399999999997</v>
      </c>
      <c r="D381" s="17">
        <f>49.3133 * CHOOSE(CONTROL!$C$9, $D$9, 100%, $F$9) + CHOOSE(CONTROL!$C$27, 0.0021, 0)</f>
        <v>49.315399999999997</v>
      </c>
      <c r="E381" s="17">
        <f>49.1767 * CHOOSE(CONTROL!$C$9, $D$9, 100%, $F$9) + CHOOSE(CONTROL!$C$27, 0.0021, 0)</f>
        <v>49.178799999999995</v>
      </c>
      <c r="F381" s="17">
        <f>49.1767 * CHOOSE(CONTROL!$C$9, $D$9, 100%, $F$9) + CHOOSE(CONTROL!$C$27, 0.0021, 0)</f>
        <v>49.178799999999995</v>
      </c>
      <c r="G381" s="17">
        <f>49.448 * CHOOSE(CONTROL!$C$9, $D$9, 100%, $F$9) + CHOOSE(CONTROL!$C$27, 0.0021, 0)</f>
        <v>49.450099999999999</v>
      </c>
      <c r="H381" s="17">
        <f>49.3133 * CHOOSE(CONTROL!$C$9, $D$9, 100%, $F$9) + CHOOSE(CONTROL!$C$27, 0.0021, 0)</f>
        <v>49.315399999999997</v>
      </c>
      <c r="I381" s="17">
        <f>49.3133 * CHOOSE(CONTROL!$C$9, $D$9, 100%, $F$9) + CHOOSE(CONTROL!$C$27, 0.0021, 0)</f>
        <v>49.315399999999997</v>
      </c>
      <c r="J381" s="17">
        <f>49.3133 * CHOOSE(CONTROL!$C$9, $D$9, 100%, $F$9) + CHOOSE(CONTROL!$C$27, 0.0021, 0)</f>
        <v>49.315399999999997</v>
      </c>
      <c r="K381" s="17">
        <f>49.3133 * CHOOSE(CONTROL!$C$9, $D$9, 100%, $F$9) + CHOOSE(CONTROL!$C$27, 0.0021, 0)</f>
        <v>49.315399999999997</v>
      </c>
      <c r="L381" s="17"/>
    </row>
    <row r="382" spans="1:12" ht="15.75" x14ac:dyDescent="0.25">
      <c r="A382" s="14">
        <v>52565</v>
      </c>
      <c r="B382" s="17">
        <f>49.8552 * CHOOSE(CONTROL!$C$9, $D$9, 100%, $F$9) + CHOOSE(CONTROL!$C$27, 0.0021, 0)</f>
        <v>49.857300000000002</v>
      </c>
      <c r="C382" s="17">
        <f>49.4229 * CHOOSE(CONTROL!$C$9, $D$9, 100%, $F$9) + CHOOSE(CONTROL!$C$27, 0.0021, 0)</f>
        <v>49.424999999999997</v>
      </c>
      <c r="D382" s="17">
        <f>49.4229 * CHOOSE(CONTROL!$C$9, $D$9, 100%, $F$9) + CHOOSE(CONTROL!$C$27, 0.0021, 0)</f>
        <v>49.424999999999997</v>
      </c>
      <c r="E382" s="17">
        <f>49.2863 * CHOOSE(CONTROL!$C$9, $D$9, 100%, $F$9) + CHOOSE(CONTROL!$C$27, 0.0021, 0)</f>
        <v>49.288399999999996</v>
      </c>
      <c r="F382" s="17">
        <f>49.2863 * CHOOSE(CONTROL!$C$9, $D$9, 100%, $F$9) + CHOOSE(CONTROL!$C$27, 0.0021, 0)</f>
        <v>49.288399999999996</v>
      </c>
      <c r="G382" s="17">
        <f>49.5577 * CHOOSE(CONTROL!$C$9, $D$9, 100%, $F$9) + CHOOSE(CONTROL!$C$27, 0.0021, 0)</f>
        <v>49.559799999999996</v>
      </c>
      <c r="H382" s="17">
        <f>49.4229 * CHOOSE(CONTROL!$C$9, $D$9, 100%, $F$9) + CHOOSE(CONTROL!$C$27, 0.0021, 0)</f>
        <v>49.424999999999997</v>
      </c>
      <c r="I382" s="17">
        <f>49.4229 * CHOOSE(CONTROL!$C$9, $D$9, 100%, $F$9) + CHOOSE(CONTROL!$C$27, 0.0021, 0)</f>
        <v>49.424999999999997</v>
      </c>
      <c r="J382" s="17">
        <f>49.4229 * CHOOSE(CONTROL!$C$9, $D$9, 100%, $F$9) + CHOOSE(CONTROL!$C$27, 0.0021, 0)</f>
        <v>49.424999999999997</v>
      </c>
      <c r="K382" s="17">
        <f>49.4229 * CHOOSE(CONTROL!$C$9, $D$9, 100%, $F$9) + CHOOSE(CONTROL!$C$27, 0.0021, 0)</f>
        <v>49.424999999999997</v>
      </c>
      <c r="L382" s="17"/>
    </row>
    <row r="383" spans="1:12" ht="15.75" x14ac:dyDescent="0.25">
      <c r="A383" s="14">
        <v>52596</v>
      </c>
      <c r="B383" s="17">
        <f>48.9226 * CHOOSE(CONTROL!$C$9, $D$9, 100%, $F$9) + CHOOSE(CONTROL!$C$27, 0.0021, 0)</f>
        <v>48.924700000000001</v>
      </c>
      <c r="C383" s="17">
        <f>48.4903 * CHOOSE(CONTROL!$C$9, $D$9, 100%, $F$9) + CHOOSE(CONTROL!$C$27, 0.0021, 0)</f>
        <v>48.492399999999996</v>
      </c>
      <c r="D383" s="17">
        <f>48.4903 * CHOOSE(CONTROL!$C$9, $D$9, 100%, $F$9) + CHOOSE(CONTROL!$C$27, 0.0021, 0)</f>
        <v>48.492399999999996</v>
      </c>
      <c r="E383" s="17">
        <f>48.3537 * CHOOSE(CONTROL!$C$9, $D$9, 100%, $F$9) + CHOOSE(CONTROL!$C$27, 0.0021, 0)</f>
        <v>48.355800000000002</v>
      </c>
      <c r="F383" s="17">
        <f>48.3537 * CHOOSE(CONTROL!$C$9, $D$9, 100%, $F$9) + CHOOSE(CONTROL!$C$27, 0.0021, 0)</f>
        <v>48.355800000000002</v>
      </c>
      <c r="G383" s="17">
        <f>48.6251 * CHOOSE(CONTROL!$C$9, $D$9, 100%, $F$9) + CHOOSE(CONTROL!$C$27, 0.0021, 0)</f>
        <v>48.627200000000002</v>
      </c>
      <c r="H383" s="17">
        <f>48.4903 * CHOOSE(CONTROL!$C$9, $D$9, 100%, $F$9) + CHOOSE(CONTROL!$C$27, 0.0021, 0)</f>
        <v>48.492399999999996</v>
      </c>
      <c r="I383" s="17">
        <f>48.4903 * CHOOSE(CONTROL!$C$9, $D$9, 100%, $F$9) + CHOOSE(CONTROL!$C$27, 0.0021, 0)</f>
        <v>48.492399999999996</v>
      </c>
      <c r="J383" s="17">
        <f>48.4903 * CHOOSE(CONTROL!$C$9, $D$9, 100%, $F$9) + CHOOSE(CONTROL!$C$27, 0.0021, 0)</f>
        <v>48.492399999999996</v>
      </c>
      <c r="K383" s="17">
        <f>48.4903 * CHOOSE(CONTROL!$C$9, $D$9, 100%, $F$9) + CHOOSE(CONTROL!$C$27, 0.0021, 0)</f>
        <v>48.492399999999996</v>
      </c>
      <c r="L383" s="17"/>
    </row>
    <row r="384" spans="1:12" ht="15.75" x14ac:dyDescent="0.25">
      <c r="A384" s="14">
        <v>52627</v>
      </c>
      <c r="B384" s="17">
        <f>48.3331 * CHOOSE(CONTROL!$C$9, $D$9, 100%, $F$9) + CHOOSE(CONTROL!$C$27, 0.0021, 0)</f>
        <v>48.3352</v>
      </c>
      <c r="C384" s="17">
        <f>47.9009 * CHOOSE(CONTROL!$C$9, $D$9, 100%, $F$9) + CHOOSE(CONTROL!$C$27, 0.0021, 0)</f>
        <v>47.902999999999999</v>
      </c>
      <c r="D384" s="17">
        <f>47.9009 * CHOOSE(CONTROL!$C$9, $D$9, 100%, $F$9) + CHOOSE(CONTROL!$C$27, 0.0021, 0)</f>
        <v>47.902999999999999</v>
      </c>
      <c r="E384" s="17">
        <f>47.7642 * CHOOSE(CONTROL!$C$9, $D$9, 100%, $F$9) + CHOOSE(CONTROL!$C$27, 0.0021, 0)</f>
        <v>47.766300000000001</v>
      </c>
      <c r="F384" s="17">
        <f>47.7642 * CHOOSE(CONTROL!$C$9, $D$9, 100%, $F$9) + CHOOSE(CONTROL!$C$27, 0.0021, 0)</f>
        <v>47.766300000000001</v>
      </c>
      <c r="G384" s="17">
        <f>48.0356 * CHOOSE(CONTROL!$C$9, $D$9, 100%, $F$9) + CHOOSE(CONTROL!$C$27, 0.0021, 0)</f>
        <v>48.037700000000001</v>
      </c>
      <c r="H384" s="17">
        <f>47.9009 * CHOOSE(CONTROL!$C$9, $D$9, 100%, $F$9) + CHOOSE(CONTROL!$C$27, 0.0021, 0)</f>
        <v>47.902999999999999</v>
      </c>
      <c r="I384" s="17">
        <f>47.9009 * CHOOSE(CONTROL!$C$9, $D$9, 100%, $F$9) + CHOOSE(CONTROL!$C$27, 0.0021, 0)</f>
        <v>47.902999999999999</v>
      </c>
      <c r="J384" s="17">
        <f>47.9009 * CHOOSE(CONTROL!$C$9, $D$9, 100%, $F$9) + CHOOSE(CONTROL!$C$27, 0.0021, 0)</f>
        <v>47.902999999999999</v>
      </c>
      <c r="K384" s="17">
        <f>47.9009 * CHOOSE(CONTROL!$C$9, $D$9, 100%, $F$9) + CHOOSE(CONTROL!$C$27, 0.0021, 0)</f>
        <v>47.902999999999999</v>
      </c>
      <c r="L384" s="17"/>
    </row>
    <row r="385" spans="1:12" ht="15.75" x14ac:dyDescent="0.25">
      <c r="A385" s="14">
        <v>52655</v>
      </c>
      <c r="B385" s="17">
        <f>47.0309 * CHOOSE(CONTROL!$C$9, $D$9, 100%, $F$9) + CHOOSE(CONTROL!$C$27, 0.0021, 0)</f>
        <v>47.033000000000001</v>
      </c>
      <c r="C385" s="17">
        <f>46.5986 * CHOOSE(CONTROL!$C$9, $D$9, 100%, $F$9) + CHOOSE(CONTROL!$C$27, 0.0021, 0)</f>
        <v>46.600699999999996</v>
      </c>
      <c r="D385" s="17">
        <f>46.5986 * CHOOSE(CONTROL!$C$9, $D$9, 100%, $F$9) + CHOOSE(CONTROL!$C$27, 0.0021, 0)</f>
        <v>46.600699999999996</v>
      </c>
      <c r="E385" s="17">
        <f>46.462 * CHOOSE(CONTROL!$C$9, $D$9, 100%, $F$9) + CHOOSE(CONTROL!$C$27, 0.0021, 0)</f>
        <v>46.464100000000002</v>
      </c>
      <c r="F385" s="17">
        <f>46.462 * CHOOSE(CONTROL!$C$9, $D$9, 100%, $F$9) + CHOOSE(CONTROL!$C$27, 0.0021, 0)</f>
        <v>46.464100000000002</v>
      </c>
      <c r="G385" s="17">
        <f>46.7333 * CHOOSE(CONTROL!$C$9, $D$9, 100%, $F$9) + CHOOSE(CONTROL!$C$27, 0.0021, 0)</f>
        <v>46.735399999999998</v>
      </c>
      <c r="H385" s="17">
        <f>46.5986 * CHOOSE(CONTROL!$C$9, $D$9, 100%, $F$9) + CHOOSE(CONTROL!$C$27, 0.0021, 0)</f>
        <v>46.600699999999996</v>
      </c>
      <c r="I385" s="17">
        <f>46.5986 * CHOOSE(CONTROL!$C$9, $D$9, 100%, $F$9) + CHOOSE(CONTROL!$C$27, 0.0021, 0)</f>
        <v>46.600699999999996</v>
      </c>
      <c r="J385" s="17">
        <f>46.5986 * CHOOSE(CONTROL!$C$9, $D$9, 100%, $F$9) + CHOOSE(CONTROL!$C$27, 0.0021, 0)</f>
        <v>46.600699999999996</v>
      </c>
      <c r="K385" s="17">
        <f>46.5986 * CHOOSE(CONTROL!$C$9, $D$9, 100%, $F$9) + CHOOSE(CONTROL!$C$27, 0.0021, 0)</f>
        <v>46.600699999999996</v>
      </c>
      <c r="L385" s="17"/>
    </row>
    <row r="386" spans="1:12" ht="15.75" x14ac:dyDescent="0.25">
      <c r="A386" s="14">
        <v>52687</v>
      </c>
      <c r="B386" s="17">
        <f>46.4933 * CHOOSE(CONTROL!$C$9, $D$9, 100%, $F$9) + CHOOSE(CONTROL!$C$27, 0.0021, 0)</f>
        <v>46.495399999999997</v>
      </c>
      <c r="C386" s="17">
        <f>46.061 * CHOOSE(CONTROL!$C$9, $D$9, 100%, $F$9) + CHOOSE(CONTROL!$C$27, 0.0021, 0)</f>
        <v>46.063099999999999</v>
      </c>
      <c r="D386" s="17">
        <f>46.061 * CHOOSE(CONTROL!$C$9, $D$9, 100%, $F$9) + CHOOSE(CONTROL!$C$27, 0.0021, 0)</f>
        <v>46.063099999999999</v>
      </c>
      <c r="E386" s="17">
        <f>45.9244 * CHOOSE(CONTROL!$C$9, $D$9, 100%, $F$9) + CHOOSE(CONTROL!$C$27, 0.0021, 0)</f>
        <v>45.926499999999997</v>
      </c>
      <c r="F386" s="17">
        <f>45.9244 * CHOOSE(CONTROL!$C$9, $D$9, 100%, $F$9) + CHOOSE(CONTROL!$C$27, 0.0021, 0)</f>
        <v>45.926499999999997</v>
      </c>
      <c r="G386" s="17">
        <f>46.1957 * CHOOSE(CONTROL!$C$9, $D$9, 100%, $F$9) + CHOOSE(CONTROL!$C$27, 0.0021, 0)</f>
        <v>46.197800000000001</v>
      </c>
      <c r="H386" s="17">
        <f>46.061 * CHOOSE(CONTROL!$C$9, $D$9, 100%, $F$9) + CHOOSE(CONTROL!$C$27, 0.0021, 0)</f>
        <v>46.063099999999999</v>
      </c>
      <c r="I386" s="17">
        <f>46.061 * CHOOSE(CONTROL!$C$9, $D$9, 100%, $F$9) + CHOOSE(CONTROL!$C$27, 0.0021, 0)</f>
        <v>46.063099999999999</v>
      </c>
      <c r="J386" s="17">
        <f>46.061 * CHOOSE(CONTROL!$C$9, $D$9, 100%, $F$9) + CHOOSE(CONTROL!$C$27, 0.0021, 0)</f>
        <v>46.063099999999999</v>
      </c>
      <c r="K386" s="17">
        <f>46.061 * CHOOSE(CONTROL!$C$9, $D$9, 100%, $F$9) + CHOOSE(CONTROL!$C$27, 0.0021, 0)</f>
        <v>46.063099999999999</v>
      </c>
      <c r="L386" s="17"/>
    </row>
    <row r="387" spans="1:12" ht="15.75" x14ac:dyDescent="0.25">
      <c r="A387" s="14">
        <v>52717</v>
      </c>
      <c r="B387" s="17">
        <f>45.8514 * CHOOSE(CONTROL!$C$9, $D$9, 100%, $F$9) + CHOOSE(CONTROL!$C$27, 0.0021, 0)</f>
        <v>45.853499999999997</v>
      </c>
      <c r="C387" s="17">
        <f>45.4192 * CHOOSE(CONTROL!$C$9, $D$9, 100%, $F$9) + CHOOSE(CONTROL!$C$27, 0.0021, 0)</f>
        <v>45.421299999999995</v>
      </c>
      <c r="D387" s="17">
        <f>45.4192 * CHOOSE(CONTROL!$C$9, $D$9, 100%, $F$9) + CHOOSE(CONTROL!$C$27, 0.0021, 0)</f>
        <v>45.421299999999995</v>
      </c>
      <c r="E387" s="17">
        <f>45.2825 * CHOOSE(CONTROL!$C$9, $D$9, 100%, $F$9) + CHOOSE(CONTROL!$C$27, 0.0021, 0)</f>
        <v>45.284599999999998</v>
      </c>
      <c r="F387" s="17">
        <f>45.2825 * CHOOSE(CONTROL!$C$9, $D$9, 100%, $F$9) + CHOOSE(CONTROL!$C$27, 0.0021, 0)</f>
        <v>45.284599999999998</v>
      </c>
      <c r="G387" s="17">
        <f>45.5539 * CHOOSE(CONTROL!$C$9, $D$9, 100%, $F$9) + CHOOSE(CONTROL!$C$27, 0.0021, 0)</f>
        <v>45.555999999999997</v>
      </c>
      <c r="H387" s="17">
        <f>45.4192 * CHOOSE(CONTROL!$C$9, $D$9, 100%, $F$9) + CHOOSE(CONTROL!$C$27, 0.0021, 0)</f>
        <v>45.421299999999995</v>
      </c>
      <c r="I387" s="17">
        <f>45.4192 * CHOOSE(CONTROL!$C$9, $D$9, 100%, $F$9) + CHOOSE(CONTROL!$C$27, 0.0021, 0)</f>
        <v>45.421299999999995</v>
      </c>
      <c r="J387" s="17">
        <f>45.4192 * CHOOSE(CONTROL!$C$9, $D$9, 100%, $F$9) + CHOOSE(CONTROL!$C$27, 0.0021, 0)</f>
        <v>45.421299999999995</v>
      </c>
      <c r="K387" s="17">
        <f>45.4192 * CHOOSE(CONTROL!$C$9, $D$9, 100%, $F$9) + CHOOSE(CONTROL!$C$27, 0.0021, 0)</f>
        <v>45.421299999999995</v>
      </c>
      <c r="L387" s="17"/>
    </row>
    <row r="388" spans="1:12" ht="15.75" x14ac:dyDescent="0.25">
      <c r="A388" s="14">
        <v>52748</v>
      </c>
      <c r="B388" s="17">
        <f>46.7662 * CHOOSE(CONTROL!$C$9, $D$9, 100%, $F$9) + CHOOSE(CONTROL!$C$27, 0.0021, 0)</f>
        <v>46.768299999999996</v>
      </c>
      <c r="C388" s="17">
        <f>46.3339 * CHOOSE(CONTROL!$C$9, $D$9, 100%, $F$9) + CHOOSE(CONTROL!$C$27, 0.0021, 0)</f>
        <v>46.335999999999999</v>
      </c>
      <c r="D388" s="17">
        <f>46.3339 * CHOOSE(CONTROL!$C$9, $D$9, 100%, $F$9) + CHOOSE(CONTROL!$C$27, 0.0021, 0)</f>
        <v>46.335999999999999</v>
      </c>
      <c r="E388" s="17">
        <f>46.1973 * CHOOSE(CONTROL!$C$9, $D$9, 100%, $F$9) + CHOOSE(CONTROL!$C$27, 0.0021, 0)</f>
        <v>46.199399999999997</v>
      </c>
      <c r="F388" s="17">
        <f>46.1973 * CHOOSE(CONTROL!$C$9, $D$9, 100%, $F$9) + CHOOSE(CONTROL!$C$27, 0.0021, 0)</f>
        <v>46.199399999999997</v>
      </c>
      <c r="G388" s="17">
        <f>46.4686 * CHOOSE(CONTROL!$C$9, $D$9, 100%, $F$9) + CHOOSE(CONTROL!$C$27, 0.0021, 0)</f>
        <v>46.470700000000001</v>
      </c>
      <c r="H388" s="17">
        <f>46.3339 * CHOOSE(CONTROL!$C$9, $D$9, 100%, $F$9) + CHOOSE(CONTROL!$C$27, 0.0021, 0)</f>
        <v>46.335999999999999</v>
      </c>
      <c r="I388" s="17">
        <f>46.3339 * CHOOSE(CONTROL!$C$9, $D$9, 100%, $F$9) + CHOOSE(CONTROL!$C$27, 0.0021, 0)</f>
        <v>46.335999999999999</v>
      </c>
      <c r="J388" s="17">
        <f>46.3339 * CHOOSE(CONTROL!$C$9, $D$9, 100%, $F$9) + CHOOSE(CONTROL!$C$27, 0.0021, 0)</f>
        <v>46.335999999999999</v>
      </c>
      <c r="K388" s="17">
        <f>46.3339 * CHOOSE(CONTROL!$C$9, $D$9, 100%, $F$9) + CHOOSE(CONTROL!$C$27, 0.0021, 0)</f>
        <v>46.335999999999999</v>
      </c>
      <c r="L388" s="17"/>
    </row>
    <row r="389" spans="1:12" ht="15.75" x14ac:dyDescent="0.25">
      <c r="A389" s="14">
        <v>52778</v>
      </c>
      <c r="B389" s="17">
        <f>47.3141 * CHOOSE(CONTROL!$C$9, $D$9, 100%, $F$9) + CHOOSE(CONTROL!$C$27, 0.0021, 0)</f>
        <v>47.316200000000002</v>
      </c>
      <c r="C389" s="17">
        <f>46.8818 * CHOOSE(CONTROL!$C$9, $D$9, 100%, $F$9) + CHOOSE(CONTROL!$C$27, 0.0021, 0)</f>
        <v>46.883899999999997</v>
      </c>
      <c r="D389" s="17">
        <f>46.8818 * CHOOSE(CONTROL!$C$9, $D$9, 100%, $F$9) + CHOOSE(CONTROL!$C$27, 0.0021, 0)</f>
        <v>46.883899999999997</v>
      </c>
      <c r="E389" s="17">
        <f>46.7452 * CHOOSE(CONTROL!$C$9, $D$9, 100%, $F$9) + CHOOSE(CONTROL!$C$27, 0.0021, 0)</f>
        <v>46.747299999999996</v>
      </c>
      <c r="F389" s="17">
        <f>46.7452 * CHOOSE(CONTROL!$C$9, $D$9, 100%, $F$9) + CHOOSE(CONTROL!$C$27, 0.0021, 0)</f>
        <v>46.747299999999996</v>
      </c>
      <c r="G389" s="17">
        <f>47.0165 * CHOOSE(CONTROL!$C$9, $D$9, 100%, $F$9) + CHOOSE(CONTROL!$C$27, 0.0021, 0)</f>
        <v>47.018599999999999</v>
      </c>
      <c r="H389" s="17">
        <f>46.8818 * CHOOSE(CONTROL!$C$9, $D$9, 100%, $F$9) + CHOOSE(CONTROL!$C$27, 0.0021, 0)</f>
        <v>46.883899999999997</v>
      </c>
      <c r="I389" s="17">
        <f>46.8818 * CHOOSE(CONTROL!$C$9, $D$9, 100%, $F$9) + CHOOSE(CONTROL!$C$27, 0.0021, 0)</f>
        <v>46.883899999999997</v>
      </c>
      <c r="J389" s="17">
        <f>46.8818 * CHOOSE(CONTROL!$C$9, $D$9, 100%, $F$9) + CHOOSE(CONTROL!$C$27, 0.0021, 0)</f>
        <v>46.883899999999997</v>
      </c>
      <c r="K389" s="17">
        <f>46.8818 * CHOOSE(CONTROL!$C$9, $D$9, 100%, $F$9) + CHOOSE(CONTROL!$C$27, 0.0021, 0)</f>
        <v>46.883899999999997</v>
      </c>
      <c r="L389" s="17"/>
    </row>
    <row r="390" spans="1:12" ht="15.75" x14ac:dyDescent="0.25">
      <c r="A390" s="14">
        <v>52809</v>
      </c>
      <c r="B390" s="17">
        <f>48.2179 * CHOOSE(CONTROL!$C$9, $D$9, 100%, $F$9) + CHOOSE(CONTROL!$C$27, 0.0021, 0)</f>
        <v>48.22</v>
      </c>
      <c r="C390" s="17">
        <f>47.7857 * CHOOSE(CONTROL!$C$9, $D$9, 100%, $F$9) + CHOOSE(CONTROL!$C$27, 0.0021, 0)</f>
        <v>47.787799999999997</v>
      </c>
      <c r="D390" s="17">
        <f>47.7857 * CHOOSE(CONTROL!$C$9, $D$9, 100%, $F$9) + CHOOSE(CONTROL!$C$27, 0.0021, 0)</f>
        <v>47.787799999999997</v>
      </c>
      <c r="E390" s="17">
        <f>47.649 * CHOOSE(CONTROL!$C$9, $D$9, 100%, $F$9) + CHOOSE(CONTROL!$C$27, 0.0021, 0)</f>
        <v>47.6511</v>
      </c>
      <c r="F390" s="17">
        <f>47.649 * CHOOSE(CONTROL!$C$9, $D$9, 100%, $F$9) + CHOOSE(CONTROL!$C$27, 0.0021, 0)</f>
        <v>47.6511</v>
      </c>
      <c r="G390" s="17">
        <f>47.9204 * CHOOSE(CONTROL!$C$9, $D$9, 100%, $F$9) + CHOOSE(CONTROL!$C$27, 0.0021, 0)</f>
        <v>47.922499999999999</v>
      </c>
      <c r="H390" s="17">
        <f>47.7857 * CHOOSE(CONTROL!$C$9, $D$9, 100%, $F$9) + CHOOSE(CONTROL!$C$27, 0.0021, 0)</f>
        <v>47.787799999999997</v>
      </c>
      <c r="I390" s="17">
        <f>47.7857 * CHOOSE(CONTROL!$C$9, $D$9, 100%, $F$9) + CHOOSE(CONTROL!$C$27, 0.0021, 0)</f>
        <v>47.787799999999997</v>
      </c>
      <c r="J390" s="17">
        <f>47.7857 * CHOOSE(CONTROL!$C$9, $D$9, 100%, $F$9) + CHOOSE(CONTROL!$C$27, 0.0021, 0)</f>
        <v>47.787799999999997</v>
      </c>
      <c r="K390" s="17">
        <f>47.7857 * CHOOSE(CONTROL!$C$9, $D$9, 100%, $F$9) + CHOOSE(CONTROL!$C$27, 0.0021, 0)</f>
        <v>47.787799999999997</v>
      </c>
      <c r="L390" s="17"/>
    </row>
    <row r="391" spans="1:12" ht="15.75" x14ac:dyDescent="0.25">
      <c r="A391" s="14">
        <v>52840</v>
      </c>
      <c r="B391" s="17">
        <f>48.4938 * CHOOSE(CONTROL!$C$9, $D$9, 100%, $F$9) + CHOOSE(CONTROL!$C$27, 0.0021, 0)</f>
        <v>48.495899999999999</v>
      </c>
      <c r="C391" s="17">
        <f>48.0615 * CHOOSE(CONTROL!$C$9, $D$9, 100%, $F$9) + CHOOSE(CONTROL!$C$27, 0.0021, 0)</f>
        <v>48.063600000000001</v>
      </c>
      <c r="D391" s="17">
        <f>48.0615 * CHOOSE(CONTROL!$C$9, $D$9, 100%, $F$9) + CHOOSE(CONTROL!$C$27, 0.0021, 0)</f>
        <v>48.063600000000001</v>
      </c>
      <c r="E391" s="17">
        <f>47.9249 * CHOOSE(CONTROL!$C$9, $D$9, 100%, $F$9) + CHOOSE(CONTROL!$C$27, 0.0021, 0)</f>
        <v>47.927</v>
      </c>
      <c r="F391" s="17">
        <f>47.9249 * CHOOSE(CONTROL!$C$9, $D$9, 100%, $F$9) + CHOOSE(CONTROL!$C$27, 0.0021, 0)</f>
        <v>47.927</v>
      </c>
      <c r="G391" s="17">
        <f>48.1963 * CHOOSE(CONTROL!$C$9, $D$9, 100%, $F$9) + CHOOSE(CONTROL!$C$27, 0.0021, 0)</f>
        <v>48.198399999999999</v>
      </c>
      <c r="H391" s="17">
        <f>48.0615 * CHOOSE(CONTROL!$C$9, $D$9, 100%, $F$9) + CHOOSE(CONTROL!$C$27, 0.0021, 0)</f>
        <v>48.063600000000001</v>
      </c>
      <c r="I391" s="17">
        <f>48.0615 * CHOOSE(CONTROL!$C$9, $D$9, 100%, $F$9) + CHOOSE(CONTROL!$C$27, 0.0021, 0)</f>
        <v>48.063600000000001</v>
      </c>
      <c r="J391" s="17">
        <f>48.0615 * CHOOSE(CONTROL!$C$9, $D$9, 100%, $F$9) + CHOOSE(CONTROL!$C$27, 0.0021, 0)</f>
        <v>48.063600000000001</v>
      </c>
      <c r="K391" s="17">
        <f>48.0615 * CHOOSE(CONTROL!$C$9, $D$9, 100%, $F$9) + CHOOSE(CONTROL!$C$27, 0.0021, 0)</f>
        <v>48.063600000000001</v>
      </c>
      <c r="L391" s="17"/>
    </row>
    <row r="392" spans="1:12" ht="15.75" x14ac:dyDescent="0.25">
      <c r="A392" s="14">
        <v>52870</v>
      </c>
      <c r="B392" s="17">
        <f>49.4333 * CHOOSE(CONTROL!$C$9, $D$9, 100%, $F$9) + CHOOSE(CONTROL!$C$27, 0.0021, 0)</f>
        <v>49.435400000000001</v>
      </c>
      <c r="C392" s="17">
        <f>49.001 * CHOOSE(CONTROL!$C$9, $D$9, 100%, $F$9) + CHOOSE(CONTROL!$C$27, 0.0021, 0)</f>
        <v>49.003099999999996</v>
      </c>
      <c r="D392" s="17">
        <f>49.001 * CHOOSE(CONTROL!$C$9, $D$9, 100%, $F$9) + CHOOSE(CONTROL!$C$27, 0.0021, 0)</f>
        <v>49.003099999999996</v>
      </c>
      <c r="E392" s="17">
        <f>48.8644 * CHOOSE(CONTROL!$C$9, $D$9, 100%, $F$9) + CHOOSE(CONTROL!$C$27, 0.0021, 0)</f>
        <v>48.866500000000002</v>
      </c>
      <c r="F392" s="17">
        <f>48.8644 * CHOOSE(CONTROL!$C$9, $D$9, 100%, $F$9) + CHOOSE(CONTROL!$C$27, 0.0021, 0)</f>
        <v>48.866500000000002</v>
      </c>
      <c r="G392" s="17">
        <f>49.1358 * CHOOSE(CONTROL!$C$9, $D$9, 100%, $F$9) + CHOOSE(CONTROL!$C$27, 0.0021, 0)</f>
        <v>49.137900000000002</v>
      </c>
      <c r="H392" s="17">
        <f>49.001 * CHOOSE(CONTROL!$C$9, $D$9, 100%, $F$9) + CHOOSE(CONTROL!$C$27, 0.0021, 0)</f>
        <v>49.003099999999996</v>
      </c>
      <c r="I392" s="17">
        <f>49.001 * CHOOSE(CONTROL!$C$9, $D$9, 100%, $F$9) + CHOOSE(CONTROL!$C$27, 0.0021, 0)</f>
        <v>49.003099999999996</v>
      </c>
      <c r="J392" s="17">
        <f>49.001 * CHOOSE(CONTROL!$C$9, $D$9, 100%, $F$9) + CHOOSE(CONTROL!$C$27, 0.0021, 0)</f>
        <v>49.003099999999996</v>
      </c>
      <c r="K392" s="17">
        <f>49.001 * CHOOSE(CONTROL!$C$9, $D$9, 100%, $F$9) + CHOOSE(CONTROL!$C$27, 0.0021, 0)</f>
        <v>49.003099999999996</v>
      </c>
      <c r="L392" s="17"/>
    </row>
    <row r="393" spans="1:12" ht="15.75" x14ac:dyDescent="0.25">
      <c r="A393" s="14">
        <v>52901</v>
      </c>
      <c r="B393" s="17">
        <f>50.6225 * CHOOSE(CONTROL!$C$9, $D$9, 100%, $F$9) + CHOOSE(CONTROL!$C$27, 0.0021, 0)</f>
        <v>50.624600000000001</v>
      </c>
      <c r="C393" s="17">
        <f>50.1903 * CHOOSE(CONTROL!$C$9, $D$9, 100%, $F$9) + CHOOSE(CONTROL!$C$27, 0.0021, 0)</f>
        <v>50.192399999999999</v>
      </c>
      <c r="D393" s="17">
        <f>50.1903 * CHOOSE(CONTROL!$C$9, $D$9, 100%, $F$9) + CHOOSE(CONTROL!$C$27, 0.0021, 0)</f>
        <v>50.192399999999999</v>
      </c>
      <c r="E393" s="17">
        <f>50.0536 * CHOOSE(CONTROL!$C$9, $D$9, 100%, $F$9) + CHOOSE(CONTROL!$C$27, 0.0021, 0)</f>
        <v>50.055700000000002</v>
      </c>
      <c r="F393" s="17">
        <f>50.0536 * CHOOSE(CONTROL!$C$9, $D$9, 100%, $F$9) + CHOOSE(CONTROL!$C$27, 0.0021, 0)</f>
        <v>50.055700000000002</v>
      </c>
      <c r="G393" s="17">
        <f>50.325 * CHOOSE(CONTROL!$C$9, $D$9, 100%, $F$9) + CHOOSE(CONTROL!$C$27, 0.0021, 0)</f>
        <v>50.327100000000002</v>
      </c>
      <c r="H393" s="17">
        <f>50.1903 * CHOOSE(CONTROL!$C$9, $D$9, 100%, $F$9) + CHOOSE(CONTROL!$C$27, 0.0021, 0)</f>
        <v>50.192399999999999</v>
      </c>
      <c r="I393" s="17">
        <f>50.1903 * CHOOSE(CONTROL!$C$9, $D$9, 100%, $F$9) + CHOOSE(CONTROL!$C$27, 0.0021, 0)</f>
        <v>50.192399999999999</v>
      </c>
      <c r="J393" s="17">
        <f>50.1903 * CHOOSE(CONTROL!$C$9, $D$9, 100%, $F$9) + CHOOSE(CONTROL!$C$27, 0.0021, 0)</f>
        <v>50.192399999999999</v>
      </c>
      <c r="K393" s="17">
        <f>50.1903 * CHOOSE(CONTROL!$C$9, $D$9, 100%, $F$9) + CHOOSE(CONTROL!$C$27, 0.0021, 0)</f>
        <v>50.192399999999999</v>
      </c>
      <c r="L393" s="17"/>
    </row>
    <row r="394" spans="1:12" ht="15.75" x14ac:dyDescent="0.25">
      <c r="A394" s="14">
        <v>52931</v>
      </c>
      <c r="B394" s="17">
        <f>50.7342 * CHOOSE(CONTROL!$C$9, $D$9, 100%, $F$9) + CHOOSE(CONTROL!$C$27, 0.0021, 0)</f>
        <v>50.7363</v>
      </c>
      <c r="C394" s="17">
        <f>50.3019 * CHOOSE(CONTROL!$C$9, $D$9, 100%, $F$9) + CHOOSE(CONTROL!$C$27, 0.0021, 0)</f>
        <v>50.304000000000002</v>
      </c>
      <c r="D394" s="17">
        <f>50.3019 * CHOOSE(CONTROL!$C$9, $D$9, 100%, $F$9) + CHOOSE(CONTROL!$C$27, 0.0021, 0)</f>
        <v>50.304000000000002</v>
      </c>
      <c r="E394" s="17">
        <f>50.1653 * CHOOSE(CONTROL!$C$9, $D$9, 100%, $F$9) + CHOOSE(CONTROL!$C$27, 0.0021, 0)</f>
        <v>50.167400000000001</v>
      </c>
      <c r="F394" s="17">
        <f>50.1653 * CHOOSE(CONTROL!$C$9, $D$9, 100%, $F$9) + CHOOSE(CONTROL!$C$27, 0.0021, 0)</f>
        <v>50.167400000000001</v>
      </c>
      <c r="G394" s="17">
        <f>50.4367 * CHOOSE(CONTROL!$C$9, $D$9, 100%, $F$9) + CHOOSE(CONTROL!$C$27, 0.0021, 0)</f>
        <v>50.438800000000001</v>
      </c>
      <c r="H394" s="17">
        <f>50.3019 * CHOOSE(CONTROL!$C$9, $D$9, 100%, $F$9) + CHOOSE(CONTROL!$C$27, 0.0021, 0)</f>
        <v>50.304000000000002</v>
      </c>
      <c r="I394" s="17">
        <f>50.3019 * CHOOSE(CONTROL!$C$9, $D$9, 100%, $F$9) + CHOOSE(CONTROL!$C$27, 0.0021, 0)</f>
        <v>50.304000000000002</v>
      </c>
      <c r="J394" s="17">
        <f>50.3019 * CHOOSE(CONTROL!$C$9, $D$9, 100%, $F$9) + CHOOSE(CONTROL!$C$27, 0.0021, 0)</f>
        <v>50.304000000000002</v>
      </c>
      <c r="K394" s="17">
        <f>50.3019 * CHOOSE(CONTROL!$C$9, $D$9, 100%, $F$9) + CHOOSE(CONTROL!$C$27, 0.0021, 0)</f>
        <v>50.304000000000002</v>
      </c>
      <c r="L394" s="17"/>
    </row>
    <row r="395" spans="1:12" ht="15.75" x14ac:dyDescent="0.25">
      <c r="A395" s="14">
        <v>52962</v>
      </c>
      <c r="B395" s="17">
        <f>49.7844 * CHOOSE(CONTROL!$C$9, $D$9, 100%, $F$9) + CHOOSE(CONTROL!$C$27, 0.0021, 0)</f>
        <v>49.786499999999997</v>
      </c>
      <c r="C395" s="17">
        <f>49.3521 * CHOOSE(CONTROL!$C$9, $D$9, 100%, $F$9) + CHOOSE(CONTROL!$C$27, 0.0021, 0)</f>
        <v>49.354199999999999</v>
      </c>
      <c r="D395" s="17">
        <f>49.3521 * CHOOSE(CONTROL!$C$9, $D$9, 100%, $F$9) + CHOOSE(CONTROL!$C$27, 0.0021, 0)</f>
        <v>49.354199999999999</v>
      </c>
      <c r="E395" s="17">
        <f>49.2154 * CHOOSE(CONTROL!$C$9, $D$9, 100%, $F$9) + CHOOSE(CONTROL!$C$27, 0.0021, 0)</f>
        <v>49.217500000000001</v>
      </c>
      <c r="F395" s="17">
        <f>49.2154 * CHOOSE(CONTROL!$C$9, $D$9, 100%, $F$9) + CHOOSE(CONTROL!$C$27, 0.0021, 0)</f>
        <v>49.217500000000001</v>
      </c>
      <c r="G395" s="17">
        <f>49.4868 * CHOOSE(CONTROL!$C$9, $D$9, 100%, $F$9) + CHOOSE(CONTROL!$C$27, 0.0021, 0)</f>
        <v>49.488900000000001</v>
      </c>
      <c r="H395" s="17">
        <f>49.3521 * CHOOSE(CONTROL!$C$9, $D$9, 100%, $F$9) + CHOOSE(CONTROL!$C$27, 0.0021, 0)</f>
        <v>49.354199999999999</v>
      </c>
      <c r="I395" s="17">
        <f>49.3521 * CHOOSE(CONTROL!$C$9, $D$9, 100%, $F$9) + CHOOSE(CONTROL!$C$27, 0.0021, 0)</f>
        <v>49.354199999999999</v>
      </c>
      <c r="J395" s="17">
        <f>49.3521 * CHOOSE(CONTROL!$C$9, $D$9, 100%, $F$9) + CHOOSE(CONTROL!$C$27, 0.0021, 0)</f>
        <v>49.354199999999999</v>
      </c>
      <c r="K395" s="17">
        <f>49.3521 * CHOOSE(CONTROL!$C$9, $D$9, 100%, $F$9) + CHOOSE(CONTROL!$C$27, 0.0021, 0)</f>
        <v>49.354199999999999</v>
      </c>
      <c r="L395" s="17"/>
    </row>
    <row r="396" spans="1:12" ht="15.75" x14ac:dyDescent="0.25">
      <c r="A396" s="14">
        <v>52993</v>
      </c>
      <c r="B396" s="17">
        <f>49.184 * CHOOSE(CONTROL!$C$9, $D$9, 100%, $F$9) + CHOOSE(CONTROL!$C$27, 0.0021, 0)</f>
        <v>49.186099999999996</v>
      </c>
      <c r="C396" s="17">
        <f>48.7518 * CHOOSE(CONTROL!$C$9, $D$9, 100%, $F$9) + CHOOSE(CONTROL!$C$27, 0.0021, 0)</f>
        <v>48.753900000000002</v>
      </c>
      <c r="D396" s="17">
        <f>48.7518 * CHOOSE(CONTROL!$C$9, $D$9, 100%, $F$9) + CHOOSE(CONTROL!$C$27, 0.0021, 0)</f>
        <v>48.753900000000002</v>
      </c>
      <c r="E396" s="17">
        <f>48.6151 * CHOOSE(CONTROL!$C$9, $D$9, 100%, $F$9) + CHOOSE(CONTROL!$C$27, 0.0021, 0)</f>
        <v>48.617199999999997</v>
      </c>
      <c r="F396" s="17">
        <f>48.6151 * CHOOSE(CONTROL!$C$9, $D$9, 100%, $F$9) + CHOOSE(CONTROL!$C$27, 0.0021, 0)</f>
        <v>48.617199999999997</v>
      </c>
      <c r="G396" s="17">
        <f>48.8865 * CHOOSE(CONTROL!$C$9, $D$9, 100%, $F$9) + CHOOSE(CONTROL!$C$27, 0.0021, 0)</f>
        <v>48.888599999999997</v>
      </c>
      <c r="H396" s="17">
        <f>48.7518 * CHOOSE(CONTROL!$C$9, $D$9, 100%, $F$9) + CHOOSE(CONTROL!$C$27, 0.0021, 0)</f>
        <v>48.753900000000002</v>
      </c>
      <c r="I396" s="17">
        <f>48.7518 * CHOOSE(CONTROL!$C$9, $D$9, 100%, $F$9) + CHOOSE(CONTROL!$C$27, 0.0021, 0)</f>
        <v>48.753900000000002</v>
      </c>
      <c r="J396" s="17">
        <f>48.7518 * CHOOSE(CONTROL!$C$9, $D$9, 100%, $F$9) + CHOOSE(CONTROL!$C$27, 0.0021, 0)</f>
        <v>48.753900000000002</v>
      </c>
      <c r="K396" s="17">
        <f>48.7518 * CHOOSE(CONTROL!$C$9, $D$9, 100%, $F$9) + CHOOSE(CONTROL!$C$27, 0.0021, 0)</f>
        <v>48.753900000000002</v>
      </c>
      <c r="L396" s="17"/>
    </row>
    <row r="397" spans="1:12" ht="15.75" x14ac:dyDescent="0.25">
      <c r="A397" s="14">
        <v>53021</v>
      </c>
      <c r="B397" s="17">
        <f>47.8577 * CHOOSE(CONTROL!$C$9, $D$9, 100%, $F$9) + CHOOSE(CONTROL!$C$27, 0.0021, 0)</f>
        <v>47.8598</v>
      </c>
      <c r="C397" s="17">
        <f>47.4254 * CHOOSE(CONTROL!$C$9, $D$9, 100%, $F$9) + CHOOSE(CONTROL!$C$27, 0.0021, 0)</f>
        <v>47.427500000000002</v>
      </c>
      <c r="D397" s="17">
        <f>47.4254 * CHOOSE(CONTROL!$C$9, $D$9, 100%, $F$9) + CHOOSE(CONTROL!$C$27, 0.0021, 0)</f>
        <v>47.427500000000002</v>
      </c>
      <c r="E397" s="17">
        <f>47.2888 * CHOOSE(CONTROL!$C$9, $D$9, 100%, $F$9) + CHOOSE(CONTROL!$C$27, 0.0021, 0)</f>
        <v>47.290900000000001</v>
      </c>
      <c r="F397" s="17">
        <f>47.2888 * CHOOSE(CONTROL!$C$9, $D$9, 100%, $F$9) + CHOOSE(CONTROL!$C$27, 0.0021, 0)</f>
        <v>47.290900000000001</v>
      </c>
      <c r="G397" s="17">
        <f>47.5601 * CHOOSE(CONTROL!$C$9, $D$9, 100%, $F$9) + CHOOSE(CONTROL!$C$27, 0.0021, 0)</f>
        <v>47.562199999999997</v>
      </c>
      <c r="H397" s="17">
        <f>47.4254 * CHOOSE(CONTROL!$C$9, $D$9, 100%, $F$9) + CHOOSE(CONTROL!$C$27, 0.0021, 0)</f>
        <v>47.427500000000002</v>
      </c>
      <c r="I397" s="17">
        <f>47.4254 * CHOOSE(CONTROL!$C$9, $D$9, 100%, $F$9) + CHOOSE(CONTROL!$C$27, 0.0021, 0)</f>
        <v>47.427500000000002</v>
      </c>
      <c r="J397" s="17">
        <f>47.4254 * CHOOSE(CONTROL!$C$9, $D$9, 100%, $F$9) + CHOOSE(CONTROL!$C$27, 0.0021, 0)</f>
        <v>47.427500000000002</v>
      </c>
      <c r="K397" s="17">
        <f>47.4254 * CHOOSE(CONTROL!$C$9, $D$9, 100%, $F$9) + CHOOSE(CONTROL!$C$27, 0.0021, 0)</f>
        <v>47.427500000000002</v>
      </c>
      <c r="L397" s="17"/>
    </row>
    <row r="398" spans="1:12" ht="15.75" x14ac:dyDescent="0.25">
      <c r="A398" s="14">
        <v>53052</v>
      </c>
      <c r="B398" s="17">
        <f>47.3101 * CHOOSE(CONTROL!$C$9, $D$9, 100%, $F$9) + CHOOSE(CONTROL!$C$27, 0.0021, 0)</f>
        <v>47.312199999999997</v>
      </c>
      <c r="C398" s="17">
        <f>46.8779 * CHOOSE(CONTROL!$C$9, $D$9, 100%, $F$9) + CHOOSE(CONTROL!$C$27, 0.0021, 0)</f>
        <v>46.879999999999995</v>
      </c>
      <c r="D398" s="17">
        <f>46.8779 * CHOOSE(CONTROL!$C$9, $D$9, 100%, $F$9) + CHOOSE(CONTROL!$C$27, 0.0021, 0)</f>
        <v>46.879999999999995</v>
      </c>
      <c r="E398" s="17">
        <f>46.7412 * CHOOSE(CONTROL!$C$9, $D$9, 100%, $F$9) + CHOOSE(CONTROL!$C$27, 0.0021, 0)</f>
        <v>46.743299999999998</v>
      </c>
      <c r="F398" s="17">
        <f>46.7412 * CHOOSE(CONTROL!$C$9, $D$9, 100%, $F$9) + CHOOSE(CONTROL!$C$27, 0.0021, 0)</f>
        <v>46.743299999999998</v>
      </c>
      <c r="G398" s="17">
        <f>47.0126 * CHOOSE(CONTROL!$C$9, $D$9, 100%, $F$9) + CHOOSE(CONTROL!$C$27, 0.0021, 0)</f>
        <v>47.014699999999998</v>
      </c>
      <c r="H398" s="17">
        <f>46.8779 * CHOOSE(CONTROL!$C$9, $D$9, 100%, $F$9) + CHOOSE(CONTROL!$C$27, 0.0021, 0)</f>
        <v>46.879999999999995</v>
      </c>
      <c r="I398" s="17">
        <f>46.8779 * CHOOSE(CONTROL!$C$9, $D$9, 100%, $F$9) + CHOOSE(CONTROL!$C$27, 0.0021, 0)</f>
        <v>46.879999999999995</v>
      </c>
      <c r="J398" s="17">
        <f>46.8779 * CHOOSE(CONTROL!$C$9, $D$9, 100%, $F$9) + CHOOSE(CONTROL!$C$27, 0.0021, 0)</f>
        <v>46.879999999999995</v>
      </c>
      <c r="K398" s="17">
        <f>46.8779 * CHOOSE(CONTROL!$C$9, $D$9, 100%, $F$9) + CHOOSE(CONTROL!$C$27, 0.0021, 0)</f>
        <v>46.879999999999995</v>
      </c>
      <c r="L398" s="17"/>
    </row>
    <row r="399" spans="1:12" ht="15.75" x14ac:dyDescent="0.25">
      <c r="A399" s="14">
        <v>53082</v>
      </c>
      <c r="B399" s="17">
        <f>46.6564 * CHOOSE(CONTROL!$C$9, $D$9, 100%, $F$9) + CHOOSE(CONTROL!$C$27, 0.0021, 0)</f>
        <v>46.658499999999997</v>
      </c>
      <c r="C399" s="17">
        <f>46.2242 * CHOOSE(CONTROL!$C$9, $D$9, 100%, $F$9) + CHOOSE(CONTROL!$C$27, 0.0021, 0)</f>
        <v>46.226300000000002</v>
      </c>
      <c r="D399" s="17">
        <f>46.2242 * CHOOSE(CONTROL!$C$9, $D$9, 100%, $F$9) + CHOOSE(CONTROL!$C$27, 0.0021, 0)</f>
        <v>46.226300000000002</v>
      </c>
      <c r="E399" s="17">
        <f>46.0875 * CHOOSE(CONTROL!$C$9, $D$9, 100%, $F$9) + CHOOSE(CONTROL!$C$27, 0.0021, 0)</f>
        <v>46.089599999999997</v>
      </c>
      <c r="F399" s="17">
        <f>46.0875 * CHOOSE(CONTROL!$C$9, $D$9, 100%, $F$9) + CHOOSE(CONTROL!$C$27, 0.0021, 0)</f>
        <v>46.089599999999997</v>
      </c>
      <c r="G399" s="17">
        <f>46.3589 * CHOOSE(CONTROL!$C$9, $D$9, 100%, $F$9) + CHOOSE(CONTROL!$C$27, 0.0021, 0)</f>
        <v>46.360999999999997</v>
      </c>
      <c r="H399" s="17">
        <f>46.2242 * CHOOSE(CONTROL!$C$9, $D$9, 100%, $F$9) + CHOOSE(CONTROL!$C$27, 0.0021, 0)</f>
        <v>46.226300000000002</v>
      </c>
      <c r="I399" s="17">
        <f>46.2242 * CHOOSE(CONTROL!$C$9, $D$9, 100%, $F$9) + CHOOSE(CONTROL!$C$27, 0.0021, 0)</f>
        <v>46.226300000000002</v>
      </c>
      <c r="J399" s="17">
        <f>46.2242 * CHOOSE(CONTROL!$C$9, $D$9, 100%, $F$9) + CHOOSE(CONTROL!$C$27, 0.0021, 0)</f>
        <v>46.226300000000002</v>
      </c>
      <c r="K399" s="17">
        <f>46.2242 * CHOOSE(CONTROL!$C$9, $D$9, 100%, $F$9) + CHOOSE(CONTROL!$C$27, 0.0021, 0)</f>
        <v>46.226300000000002</v>
      </c>
      <c r="L399" s="17"/>
    </row>
    <row r="400" spans="1:12" ht="15.75" x14ac:dyDescent="0.25">
      <c r="A400" s="14">
        <v>53113</v>
      </c>
      <c r="B400" s="17">
        <f>47.5881 * CHOOSE(CONTROL!$C$9, $D$9, 100%, $F$9) + CHOOSE(CONTROL!$C$27, 0.0021, 0)</f>
        <v>47.590199999999996</v>
      </c>
      <c r="C400" s="17">
        <f>47.1558 * CHOOSE(CONTROL!$C$9, $D$9, 100%, $F$9) + CHOOSE(CONTROL!$C$27, 0.0021, 0)</f>
        <v>47.157899999999998</v>
      </c>
      <c r="D400" s="17">
        <f>47.1558 * CHOOSE(CONTROL!$C$9, $D$9, 100%, $F$9) + CHOOSE(CONTROL!$C$27, 0.0021, 0)</f>
        <v>47.157899999999998</v>
      </c>
      <c r="E400" s="17">
        <f>47.0192 * CHOOSE(CONTROL!$C$9, $D$9, 100%, $F$9) + CHOOSE(CONTROL!$C$27, 0.0021, 0)</f>
        <v>47.021299999999997</v>
      </c>
      <c r="F400" s="17">
        <f>47.0192 * CHOOSE(CONTROL!$C$9, $D$9, 100%, $F$9) + CHOOSE(CONTROL!$C$27, 0.0021, 0)</f>
        <v>47.021299999999997</v>
      </c>
      <c r="G400" s="17">
        <f>47.2905 * CHOOSE(CONTROL!$C$9, $D$9, 100%, $F$9) + CHOOSE(CONTROL!$C$27, 0.0021, 0)</f>
        <v>47.2926</v>
      </c>
      <c r="H400" s="17">
        <f>47.1558 * CHOOSE(CONTROL!$C$9, $D$9, 100%, $F$9) + CHOOSE(CONTROL!$C$27, 0.0021, 0)</f>
        <v>47.157899999999998</v>
      </c>
      <c r="I400" s="17">
        <f>47.1558 * CHOOSE(CONTROL!$C$9, $D$9, 100%, $F$9) + CHOOSE(CONTROL!$C$27, 0.0021, 0)</f>
        <v>47.157899999999998</v>
      </c>
      <c r="J400" s="17">
        <f>47.1558 * CHOOSE(CONTROL!$C$9, $D$9, 100%, $F$9) + CHOOSE(CONTROL!$C$27, 0.0021, 0)</f>
        <v>47.157899999999998</v>
      </c>
      <c r="K400" s="17">
        <f>47.1558 * CHOOSE(CONTROL!$C$9, $D$9, 100%, $F$9) + CHOOSE(CONTROL!$C$27, 0.0021, 0)</f>
        <v>47.157899999999998</v>
      </c>
      <c r="L400" s="17"/>
    </row>
    <row r="401" spans="1:12" ht="15.75" x14ac:dyDescent="0.25">
      <c r="A401" s="14">
        <v>53143</v>
      </c>
      <c r="B401" s="17">
        <f>48.1461 * CHOOSE(CONTROL!$C$9, $D$9, 100%, $F$9) + CHOOSE(CONTROL!$C$27, 0.0021, 0)</f>
        <v>48.148199999999996</v>
      </c>
      <c r="C401" s="17">
        <f>47.7138 * CHOOSE(CONTROL!$C$9, $D$9, 100%, $F$9) + CHOOSE(CONTROL!$C$27, 0.0021, 0)</f>
        <v>47.715899999999998</v>
      </c>
      <c r="D401" s="17">
        <f>47.7138 * CHOOSE(CONTROL!$C$9, $D$9, 100%, $F$9) + CHOOSE(CONTROL!$C$27, 0.0021, 0)</f>
        <v>47.715899999999998</v>
      </c>
      <c r="E401" s="17">
        <f>47.5772 * CHOOSE(CONTROL!$C$9, $D$9, 100%, $F$9) + CHOOSE(CONTROL!$C$27, 0.0021, 0)</f>
        <v>47.579299999999996</v>
      </c>
      <c r="F401" s="17">
        <f>47.5772 * CHOOSE(CONTROL!$C$9, $D$9, 100%, $F$9) + CHOOSE(CONTROL!$C$27, 0.0021, 0)</f>
        <v>47.579299999999996</v>
      </c>
      <c r="G401" s="17">
        <f>47.8486 * CHOOSE(CONTROL!$C$9, $D$9, 100%, $F$9) + CHOOSE(CONTROL!$C$27, 0.0021, 0)</f>
        <v>47.850699999999996</v>
      </c>
      <c r="H401" s="17">
        <f>47.7138 * CHOOSE(CONTROL!$C$9, $D$9, 100%, $F$9) + CHOOSE(CONTROL!$C$27, 0.0021, 0)</f>
        <v>47.715899999999998</v>
      </c>
      <c r="I401" s="17">
        <f>47.7138 * CHOOSE(CONTROL!$C$9, $D$9, 100%, $F$9) + CHOOSE(CONTROL!$C$27, 0.0021, 0)</f>
        <v>47.715899999999998</v>
      </c>
      <c r="J401" s="17">
        <f>47.7138 * CHOOSE(CONTROL!$C$9, $D$9, 100%, $F$9) + CHOOSE(CONTROL!$C$27, 0.0021, 0)</f>
        <v>47.715899999999998</v>
      </c>
      <c r="K401" s="17">
        <f>47.7138 * CHOOSE(CONTROL!$C$9, $D$9, 100%, $F$9) + CHOOSE(CONTROL!$C$27, 0.0021, 0)</f>
        <v>47.715899999999998</v>
      </c>
      <c r="L401" s="17"/>
    </row>
    <row r="402" spans="1:12" ht="15.75" x14ac:dyDescent="0.25">
      <c r="A402" s="14">
        <v>53174</v>
      </c>
      <c r="B402" s="17">
        <f>49.0666 * CHOOSE(CONTROL!$C$9, $D$9, 100%, $F$9) + CHOOSE(CONTROL!$C$27, 0.0021, 0)</f>
        <v>49.0687</v>
      </c>
      <c r="C402" s="17">
        <f>48.6344 * CHOOSE(CONTROL!$C$9, $D$9, 100%, $F$9) + CHOOSE(CONTROL!$C$27, 0.0021, 0)</f>
        <v>48.636499999999998</v>
      </c>
      <c r="D402" s="17">
        <f>48.6344 * CHOOSE(CONTROL!$C$9, $D$9, 100%, $F$9) + CHOOSE(CONTROL!$C$27, 0.0021, 0)</f>
        <v>48.636499999999998</v>
      </c>
      <c r="E402" s="17">
        <f>48.4977 * CHOOSE(CONTROL!$C$9, $D$9, 100%, $F$9) + CHOOSE(CONTROL!$C$27, 0.0021, 0)</f>
        <v>48.4998</v>
      </c>
      <c r="F402" s="17">
        <f>48.4977 * CHOOSE(CONTROL!$C$9, $D$9, 100%, $F$9) + CHOOSE(CONTROL!$C$27, 0.0021, 0)</f>
        <v>48.4998</v>
      </c>
      <c r="G402" s="17">
        <f>48.7691 * CHOOSE(CONTROL!$C$9, $D$9, 100%, $F$9) + CHOOSE(CONTROL!$C$27, 0.0021, 0)</f>
        <v>48.7712</v>
      </c>
      <c r="H402" s="17">
        <f>48.6344 * CHOOSE(CONTROL!$C$9, $D$9, 100%, $F$9) + CHOOSE(CONTROL!$C$27, 0.0021, 0)</f>
        <v>48.636499999999998</v>
      </c>
      <c r="I402" s="17">
        <f>48.6344 * CHOOSE(CONTROL!$C$9, $D$9, 100%, $F$9) + CHOOSE(CONTROL!$C$27, 0.0021, 0)</f>
        <v>48.636499999999998</v>
      </c>
      <c r="J402" s="17">
        <f>48.6344 * CHOOSE(CONTROL!$C$9, $D$9, 100%, $F$9) + CHOOSE(CONTROL!$C$27, 0.0021, 0)</f>
        <v>48.636499999999998</v>
      </c>
      <c r="K402" s="17">
        <f>48.6344 * CHOOSE(CONTROL!$C$9, $D$9, 100%, $F$9) + CHOOSE(CONTROL!$C$27, 0.0021, 0)</f>
        <v>48.636499999999998</v>
      </c>
      <c r="L402" s="17"/>
    </row>
    <row r="403" spans="1:12" ht="15.75" x14ac:dyDescent="0.25">
      <c r="A403" s="14">
        <v>53205</v>
      </c>
      <c r="B403" s="17">
        <f>49.3476 * CHOOSE(CONTROL!$C$9, $D$9, 100%, $F$9) + CHOOSE(CONTROL!$C$27, 0.0021, 0)</f>
        <v>49.349699999999999</v>
      </c>
      <c r="C403" s="17">
        <f>48.9154 * CHOOSE(CONTROL!$C$9, $D$9, 100%, $F$9) + CHOOSE(CONTROL!$C$27, 0.0021, 0)</f>
        <v>48.917499999999997</v>
      </c>
      <c r="D403" s="17">
        <f>48.9154 * CHOOSE(CONTROL!$C$9, $D$9, 100%, $F$9) + CHOOSE(CONTROL!$C$27, 0.0021, 0)</f>
        <v>48.917499999999997</v>
      </c>
      <c r="E403" s="17">
        <f>48.7787 * CHOOSE(CONTROL!$C$9, $D$9, 100%, $F$9) + CHOOSE(CONTROL!$C$27, 0.0021, 0)</f>
        <v>48.780799999999999</v>
      </c>
      <c r="F403" s="17">
        <f>48.7787 * CHOOSE(CONTROL!$C$9, $D$9, 100%, $F$9) + CHOOSE(CONTROL!$C$27, 0.0021, 0)</f>
        <v>48.780799999999999</v>
      </c>
      <c r="G403" s="17">
        <f>49.0501 * CHOOSE(CONTROL!$C$9, $D$9, 100%, $F$9) + CHOOSE(CONTROL!$C$27, 0.0021, 0)</f>
        <v>49.052199999999999</v>
      </c>
      <c r="H403" s="17">
        <f>48.9154 * CHOOSE(CONTROL!$C$9, $D$9, 100%, $F$9) + CHOOSE(CONTROL!$C$27, 0.0021, 0)</f>
        <v>48.917499999999997</v>
      </c>
      <c r="I403" s="17">
        <f>48.9154 * CHOOSE(CONTROL!$C$9, $D$9, 100%, $F$9) + CHOOSE(CONTROL!$C$27, 0.0021, 0)</f>
        <v>48.917499999999997</v>
      </c>
      <c r="J403" s="17">
        <f>48.9154 * CHOOSE(CONTROL!$C$9, $D$9, 100%, $F$9) + CHOOSE(CONTROL!$C$27, 0.0021, 0)</f>
        <v>48.917499999999997</v>
      </c>
      <c r="K403" s="17">
        <f>48.9154 * CHOOSE(CONTROL!$C$9, $D$9, 100%, $F$9) + CHOOSE(CONTROL!$C$27, 0.0021, 0)</f>
        <v>48.917499999999997</v>
      </c>
      <c r="L403" s="17"/>
    </row>
    <row r="404" spans="1:12" ht="15.75" x14ac:dyDescent="0.25">
      <c r="A404" s="14">
        <v>53235</v>
      </c>
      <c r="B404" s="17">
        <f>50.3045 * CHOOSE(CONTROL!$C$9, $D$9, 100%, $F$9) + CHOOSE(CONTROL!$C$27, 0.0021, 0)</f>
        <v>50.306599999999996</v>
      </c>
      <c r="C404" s="17">
        <f>49.8722 * CHOOSE(CONTROL!$C$9, $D$9, 100%, $F$9) + CHOOSE(CONTROL!$C$27, 0.0021, 0)</f>
        <v>49.874299999999998</v>
      </c>
      <c r="D404" s="17">
        <f>49.8722 * CHOOSE(CONTROL!$C$9, $D$9, 100%, $F$9) + CHOOSE(CONTROL!$C$27, 0.0021, 0)</f>
        <v>49.874299999999998</v>
      </c>
      <c r="E404" s="17">
        <f>49.7356 * CHOOSE(CONTROL!$C$9, $D$9, 100%, $F$9) + CHOOSE(CONTROL!$C$27, 0.0021, 0)</f>
        <v>49.737699999999997</v>
      </c>
      <c r="F404" s="17">
        <f>49.7356 * CHOOSE(CONTROL!$C$9, $D$9, 100%, $F$9) + CHOOSE(CONTROL!$C$27, 0.0021, 0)</f>
        <v>49.737699999999997</v>
      </c>
      <c r="G404" s="17">
        <f>50.007 * CHOOSE(CONTROL!$C$9, $D$9, 100%, $F$9) + CHOOSE(CONTROL!$C$27, 0.0021, 0)</f>
        <v>50.009099999999997</v>
      </c>
      <c r="H404" s="17">
        <f>49.8722 * CHOOSE(CONTROL!$C$9, $D$9, 100%, $F$9) + CHOOSE(CONTROL!$C$27, 0.0021, 0)</f>
        <v>49.874299999999998</v>
      </c>
      <c r="I404" s="17">
        <f>49.8722 * CHOOSE(CONTROL!$C$9, $D$9, 100%, $F$9) + CHOOSE(CONTROL!$C$27, 0.0021, 0)</f>
        <v>49.874299999999998</v>
      </c>
      <c r="J404" s="17">
        <f>49.8722 * CHOOSE(CONTROL!$C$9, $D$9, 100%, $F$9) + CHOOSE(CONTROL!$C$27, 0.0021, 0)</f>
        <v>49.874299999999998</v>
      </c>
      <c r="K404" s="17">
        <f>49.8722 * CHOOSE(CONTROL!$C$9, $D$9, 100%, $F$9) + CHOOSE(CONTROL!$C$27, 0.0021, 0)</f>
        <v>49.874299999999998</v>
      </c>
      <c r="L404" s="17"/>
    </row>
    <row r="405" spans="1:12" ht="15.75" x14ac:dyDescent="0.25">
      <c r="A405" s="14">
        <v>53266</v>
      </c>
      <c r="B405" s="17">
        <f>51.5157 * CHOOSE(CONTROL!$C$9, $D$9, 100%, $F$9) + CHOOSE(CONTROL!$C$27, 0.0021, 0)</f>
        <v>51.517800000000001</v>
      </c>
      <c r="C405" s="17">
        <f>51.0835 * CHOOSE(CONTROL!$C$9, $D$9, 100%, $F$9) + CHOOSE(CONTROL!$C$27, 0.0021, 0)</f>
        <v>51.085599999999999</v>
      </c>
      <c r="D405" s="17">
        <f>51.0835 * CHOOSE(CONTROL!$C$9, $D$9, 100%, $F$9) + CHOOSE(CONTROL!$C$27, 0.0021, 0)</f>
        <v>51.085599999999999</v>
      </c>
      <c r="E405" s="17">
        <f>50.9468 * CHOOSE(CONTROL!$C$9, $D$9, 100%, $F$9) + CHOOSE(CONTROL!$C$27, 0.0021, 0)</f>
        <v>50.948900000000002</v>
      </c>
      <c r="F405" s="17">
        <f>50.9468 * CHOOSE(CONTROL!$C$9, $D$9, 100%, $F$9) + CHOOSE(CONTROL!$C$27, 0.0021, 0)</f>
        <v>50.948900000000002</v>
      </c>
      <c r="G405" s="17">
        <f>51.2182 * CHOOSE(CONTROL!$C$9, $D$9, 100%, $F$9) + CHOOSE(CONTROL!$C$27, 0.0021, 0)</f>
        <v>51.220300000000002</v>
      </c>
      <c r="H405" s="17">
        <f>51.0835 * CHOOSE(CONTROL!$C$9, $D$9, 100%, $F$9) + CHOOSE(CONTROL!$C$27, 0.0021, 0)</f>
        <v>51.085599999999999</v>
      </c>
      <c r="I405" s="17">
        <f>51.0835 * CHOOSE(CONTROL!$C$9, $D$9, 100%, $F$9) + CHOOSE(CONTROL!$C$27, 0.0021, 0)</f>
        <v>51.085599999999999</v>
      </c>
      <c r="J405" s="17">
        <f>51.0835 * CHOOSE(CONTROL!$C$9, $D$9, 100%, $F$9) + CHOOSE(CONTROL!$C$27, 0.0021, 0)</f>
        <v>51.085599999999999</v>
      </c>
      <c r="K405" s="17">
        <f>51.0835 * CHOOSE(CONTROL!$C$9, $D$9, 100%, $F$9) + CHOOSE(CONTROL!$C$27, 0.0021, 0)</f>
        <v>51.085599999999999</v>
      </c>
      <c r="L405" s="17"/>
    </row>
    <row r="406" spans="1:12" ht="15.75" x14ac:dyDescent="0.25">
      <c r="A406" s="14">
        <v>53296</v>
      </c>
      <c r="B406" s="17">
        <f>51.6294 * CHOOSE(CONTROL!$C$9, $D$9, 100%, $F$9) + CHOOSE(CONTROL!$C$27, 0.0021, 0)</f>
        <v>51.631499999999996</v>
      </c>
      <c r="C406" s="17">
        <f>51.1972 * CHOOSE(CONTROL!$C$9, $D$9, 100%, $F$9) + CHOOSE(CONTROL!$C$27, 0.0021, 0)</f>
        <v>51.199300000000001</v>
      </c>
      <c r="D406" s="17">
        <f>51.1972 * CHOOSE(CONTROL!$C$9, $D$9, 100%, $F$9) + CHOOSE(CONTROL!$C$27, 0.0021, 0)</f>
        <v>51.199300000000001</v>
      </c>
      <c r="E406" s="17">
        <f>51.0605 * CHOOSE(CONTROL!$C$9, $D$9, 100%, $F$9) + CHOOSE(CONTROL!$C$27, 0.0021, 0)</f>
        <v>51.062599999999996</v>
      </c>
      <c r="F406" s="17">
        <f>51.0605 * CHOOSE(CONTROL!$C$9, $D$9, 100%, $F$9) + CHOOSE(CONTROL!$C$27, 0.0021, 0)</f>
        <v>51.062599999999996</v>
      </c>
      <c r="G406" s="17">
        <f>51.3319 * CHOOSE(CONTROL!$C$9, $D$9, 100%, $F$9) + CHOOSE(CONTROL!$C$27, 0.0021, 0)</f>
        <v>51.333999999999996</v>
      </c>
      <c r="H406" s="17">
        <f>51.1972 * CHOOSE(CONTROL!$C$9, $D$9, 100%, $F$9) + CHOOSE(CONTROL!$C$27, 0.0021, 0)</f>
        <v>51.199300000000001</v>
      </c>
      <c r="I406" s="17">
        <f>51.1972 * CHOOSE(CONTROL!$C$9, $D$9, 100%, $F$9) + CHOOSE(CONTROL!$C$27, 0.0021, 0)</f>
        <v>51.199300000000001</v>
      </c>
      <c r="J406" s="17">
        <f>51.1972 * CHOOSE(CONTROL!$C$9, $D$9, 100%, $F$9) + CHOOSE(CONTROL!$C$27, 0.0021, 0)</f>
        <v>51.199300000000001</v>
      </c>
      <c r="K406" s="17">
        <f>51.1972 * CHOOSE(CONTROL!$C$9, $D$9, 100%, $F$9) + CHOOSE(CONTROL!$C$27, 0.0021, 0)</f>
        <v>51.199300000000001</v>
      </c>
      <c r="L406" s="17"/>
    </row>
    <row r="407" spans="1:12" ht="15.75" x14ac:dyDescent="0.25">
      <c r="A407" s="14">
        <v>53327</v>
      </c>
      <c r="B407" s="17">
        <f>50.662 * CHOOSE(CONTROL!$C$9, $D$9, 100%, $F$9) + CHOOSE(CONTROL!$C$27, 0.0021, 0)</f>
        <v>50.664099999999998</v>
      </c>
      <c r="C407" s="17">
        <f>50.2298 * CHOOSE(CONTROL!$C$9, $D$9, 100%, $F$9) + CHOOSE(CONTROL!$C$27, 0.0021, 0)</f>
        <v>50.231899999999996</v>
      </c>
      <c r="D407" s="17">
        <f>50.2298 * CHOOSE(CONTROL!$C$9, $D$9, 100%, $F$9) + CHOOSE(CONTROL!$C$27, 0.0021, 0)</f>
        <v>50.231899999999996</v>
      </c>
      <c r="E407" s="17">
        <f>50.0931 * CHOOSE(CONTROL!$C$9, $D$9, 100%, $F$9) + CHOOSE(CONTROL!$C$27, 0.0021, 0)</f>
        <v>50.095199999999998</v>
      </c>
      <c r="F407" s="17">
        <f>50.0931 * CHOOSE(CONTROL!$C$9, $D$9, 100%, $F$9) + CHOOSE(CONTROL!$C$27, 0.0021, 0)</f>
        <v>50.095199999999998</v>
      </c>
      <c r="G407" s="17">
        <f>50.3645 * CHOOSE(CONTROL!$C$9, $D$9, 100%, $F$9) + CHOOSE(CONTROL!$C$27, 0.0021, 0)</f>
        <v>50.366599999999998</v>
      </c>
      <c r="H407" s="17">
        <f>50.2298 * CHOOSE(CONTROL!$C$9, $D$9, 100%, $F$9) + CHOOSE(CONTROL!$C$27, 0.0021, 0)</f>
        <v>50.231899999999996</v>
      </c>
      <c r="I407" s="17">
        <f>50.2298 * CHOOSE(CONTROL!$C$9, $D$9, 100%, $F$9) + CHOOSE(CONTROL!$C$27, 0.0021, 0)</f>
        <v>50.231899999999996</v>
      </c>
      <c r="J407" s="17">
        <f>50.2298 * CHOOSE(CONTROL!$C$9, $D$9, 100%, $F$9) + CHOOSE(CONTROL!$C$27, 0.0021, 0)</f>
        <v>50.231899999999996</v>
      </c>
      <c r="K407" s="17">
        <f>50.2298 * CHOOSE(CONTROL!$C$9, $D$9, 100%, $F$9) + CHOOSE(CONTROL!$C$27, 0.0021, 0)</f>
        <v>50.231899999999996</v>
      </c>
      <c r="L407" s="17"/>
    </row>
    <row r="408" spans="1:12" ht="15.75" x14ac:dyDescent="0.25">
      <c r="A408" s="14">
        <v>53358</v>
      </c>
      <c r="B408" s="17">
        <f>50.0506 * CHOOSE(CONTROL!$C$9, $D$9, 100%, $F$9) + CHOOSE(CONTROL!$C$27, 0.0021, 0)</f>
        <v>50.052700000000002</v>
      </c>
      <c r="C408" s="17">
        <f>49.6184 * CHOOSE(CONTROL!$C$9, $D$9, 100%, $F$9) + CHOOSE(CONTROL!$C$27, 0.0021, 0)</f>
        <v>49.6205</v>
      </c>
      <c r="D408" s="17">
        <f>49.6184 * CHOOSE(CONTROL!$C$9, $D$9, 100%, $F$9) + CHOOSE(CONTROL!$C$27, 0.0021, 0)</f>
        <v>49.6205</v>
      </c>
      <c r="E408" s="17">
        <f>49.4817 * CHOOSE(CONTROL!$C$9, $D$9, 100%, $F$9) + CHOOSE(CONTROL!$C$27, 0.0021, 0)</f>
        <v>49.483799999999995</v>
      </c>
      <c r="F408" s="17">
        <f>49.4817 * CHOOSE(CONTROL!$C$9, $D$9, 100%, $F$9) + CHOOSE(CONTROL!$C$27, 0.0021, 0)</f>
        <v>49.483799999999995</v>
      </c>
      <c r="G408" s="17">
        <f>49.7531 * CHOOSE(CONTROL!$C$9, $D$9, 100%, $F$9) + CHOOSE(CONTROL!$C$27, 0.0021, 0)</f>
        <v>49.755200000000002</v>
      </c>
      <c r="H408" s="17">
        <f>49.6184 * CHOOSE(CONTROL!$C$9, $D$9, 100%, $F$9) + CHOOSE(CONTROL!$C$27, 0.0021, 0)</f>
        <v>49.6205</v>
      </c>
      <c r="I408" s="17">
        <f>49.6184 * CHOOSE(CONTROL!$C$9, $D$9, 100%, $F$9) + CHOOSE(CONTROL!$C$27, 0.0021, 0)</f>
        <v>49.6205</v>
      </c>
      <c r="J408" s="17">
        <f>49.6184 * CHOOSE(CONTROL!$C$9, $D$9, 100%, $F$9) + CHOOSE(CONTROL!$C$27, 0.0021, 0)</f>
        <v>49.6205</v>
      </c>
      <c r="K408" s="17">
        <f>49.6184 * CHOOSE(CONTROL!$C$9, $D$9, 100%, $F$9) + CHOOSE(CONTROL!$C$27, 0.0021, 0)</f>
        <v>49.6205</v>
      </c>
      <c r="L408" s="17"/>
    </row>
    <row r="409" spans="1:12" ht="15.75" x14ac:dyDescent="0.25">
      <c r="A409" s="14">
        <v>53386</v>
      </c>
      <c r="B409" s="17">
        <f>48.6997 * CHOOSE(CONTROL!$C$9, $D$9, 100%, $F$9) + CHOOSE(CONTROL!$C$27, 0.0021, 0)</f>
        <v>48.701799999999999</v>
      </c>
      <c r="C409" s="17">
        <f>48.2675 * CHOOSE(CONTROL!$C$9, $D$9, 100%, $F$9) + CHOOSE(CONTROL!$C$27, 0.0021, 0)</f>
        <v>48.269599999999997</v>
      </c>
      <c r="D409" s="17">
        <f>48.2675 * CHOOSE(CONTROL!$C$9, $D$9, 100%, $F$9) + CHOOSE(CONTROL!$C$27, 0.0021, 0)</f>
        <v>48.269599999999997</v>
      </c>
      <c r="E409" s="17">
        <f>48.1308 * CHOOSE(CONTROL!$C$9, $D$9, 100%, $F$9) + CHOOSE(CONTROL!$C$27, 0.0021, 0)</f>
        <v>48.132899999999999</v>
      </c>
      <c r="F409" s="17">
        <f>48.1308 * CHOOSE(CONTROL!$C$9, $D$9, 100%, $F$9) + CHOOSE(CONTROL!$C$27, 0.0021, 0)</f>
        <v>48.132899999999999</v>
      </c>
      <c r="G409" s="17">
        <f>48.4022 * CHOOSE(CONTROL!$C$9, $D$9, 100%, $F$9) + CHOOSE(CONTROL!$C$27, 0.0021, 0)</f>
        <v>48.404299999999999</v>
      </c>
      <c r="H409" s="17">
        <f>48.2675 * CHOOSE(CONTROL!$C$9, $D$9, 100%, $F$9) + CHOOSE(CONTROL!$C$27, 0.0021, 0)</f>
        <v>48.269599999999997</v>
      </c>
      <c r="I409" s="17">
        <f>48.2675 * CHOOSE(CONTROL!$C$9, $D$9, 100%, $F$9) + CHOOSE(CONTROL!$C$27, 0.0021, 0)</f>
        <v>48.269599999999997</v>
      </c>
      <c r="J409" s="17">
        <f>48.2675 * CHOOSE(CONTROL!$C$9, $D$9, 100%, $F$9) + CHOOSE(CONTROL!$C$27, 0.0021, 0)</f>
        <v>48.269599999999997</v>
      </c>
      <c r="K409" s="17">
        <f>48.2675 * CHOOSE(CONTROL!$C$9, $D$9, 100%, $F$9) + CHOOSE(CONTROL!$C$27, 0.0021, 0)</f>
        <v>48.269599999999997</v>
      </c>
      <c r="L409" s="17"/>
    </row>
    <row r="410" spans="1:12" ht="15.75" x14ac:dyDescent="0.25">
      <c r="A410" s="14">
        <v>53417</v>
      </c>
      <c r="B410" s="17">
        <f>48.1421 * CHOOSE(CONTROL!$C$9, $D$9, 100%, $F$9) + CHOOSE(CONTROL!$C$27, 0.0021, 0)</f>
        <v>48.144199999999998</v>
      </c>
      <c r="C410" s="17">
        <f>47.7099 * CHOOSE(CONTROL!$C$9, $D$9, 100%, $F$9) + CHOOSE(CONTROL!$C$27, 0.0021, 0)</f>
        <v>47.711999999999996</v>
      </c>
      <c r="D410" s="17">
        <f>47.7099 * CHOOSE(CONTROL!$C$9, $D$9, 100%, $F$9) + CHOOSE(CONTROL!$C$27, 0.0021, 0)</f>
        <v>47.711999999999996</v>
      </c>
      <c r="E410" s="17">
        <f>47.5732 * CHOOSE(CONTROL!$C$9, $D$9, 100%, $F$9) + CHOOSE(CONTROL!$C$27, 0.0021, 0)</f>
        <v>47.575299999999999</v>
      </c>
      <c r="F410" s="17">
        <f>47.5732 * CHOOSE(CONTROL!$C$9, $D$9, 100%, $F$9) + CHOOSE(CONTROL!$C$27, 0.0021, 0)</f>
        <v>47.575299999999999</v>
      </c>
      <c r="G410" s="17">
        <f>47.8446 * CHOOSE(CONTROL!$C$9, $D$9, 100%, $F$9) + CHOOSE(CONTROL!$C$27, 0.0021, 0)</f>
        <v>47.846699999999998</v>
      </c>
      <c r="H410" s="17">
        <f>47.7099 * CHOOSE(CONTROL!$C$9, $D$9, 100%, $F$9) + CHOOSE(CONTROL!$C$27, 0.0021, 0)</f>
        <v>47.711999999999996</v>
      </c>
      <c r="I410" s="17">
        <f>47.7099 * CHOOSE(CONTROL!$C$9, $D$9, 100%, $F$9) + CHOOSE(CONTROL!$C$27, 0.0021, 0)</f>
        <v>47.711999999999996</v>
      </c>
      <c r="J410" s="17">
        <f>47.7099 * CHOOSE(CONTROL!$C$9, $D$9, 100%, $F$9) + CHOOSE(CONTROL!$C$27, 0.0021, 0)</f>
        <v>47.711999999999996</v>
      </c>
      <c r="K410" s="17">
        <f>47.7099 * CHOOSE(CONTROL!$C$9, $D$9, 100%, $F$9) + CHOOSE(CONTROL!$C$27, 0.0021, 0)</f>
        <v>47.711999999999996</v>
      </c>
      <c r="L410" s="17"/>
    </row>
    <row r="411" spans="1:12" ht="15.75" x14ac:dyDescent="0.25">
      <c r="A411" s="14">
        <v>53447</v>
      </c>
      <c r="B411" s="17">
        <f>47.4763 * CHOOSE(CONTROL!$C$9, $D$9, 100%, $F$9) + CHOOSE(CONTROL!$C$27, 0.0021, 0)</f>
        <v>47.478400000000001</v>
      </c>
      <c r="C411" s="17">
        <f>47.044 * CHOOSE(CONTROL!$C$9, $D$9, 100%, $F$9) + CHOOSE(CONTROL!$C$27, 0.0021, 0)</f>
        <v>47.046099999999996</v>
      </c>
      <c r="D411" s="17">
        <f>47.044 * CHOOSE(CONTROL!$C$9, $D$9, 100%, $F$9) + CHOOSE(CONTROL!$C$27, 0.0021, 0)</f>
        <v>47.046099999999996</v>
      </c>
      <c r="E411" s="17">
        <f>46.9074 * CHOOSE(CONTROL!$C$9, $D$9, 100%, $F$9) + CHOOSE(CONTROL!$C$27, 0.0021, 0)</f>
        <v>46.909500000000001</v>
      </c>
      <c r="F411" s="17">
        <f>46.9074 * CHOOSE(CONTROL!$C$9, $D$9, 100%, $F$9) + CHOOSE(CONTROL!$C$27, 0.0021, 0)</f>
        <v>46.909500000000001</v>
      </c>
      <c r="G411" s="17">
        <f>47.1788 * CHOOSE(CONTROL!$C$9, $D$9, 100%, $F$9) + CHOOSE(CONTROL!$C$27, 0.0021, 0)</f>
        <v>47.180900000000001</v>
      </c>
      <c r="H411" s="17">
        <f>47.044 * CHOOSE(CONTROL!$C$9, $D$9, 100%, $F$9) + CHOOSE(CONTROL!$C$27, 0.0021, 0)</f>
        <v>47.046099999999996</v>
      </c>
      <c r="I411" s="17">
        <f>47.044 * CHOOSE(CONTROL!$C$9, $D$9, 100%, $F$9) + CHOOSE(CONTROL!$C$27, 0.0021, 0)</f>
        <v>47.046099999999996</v>
      </c>
      <c r="J411" s="17">
        <f>47.044 * CHOOSE(CONTROL!$C$9, $D$9, 100%, $F$9) + CHOOSE(CONTROL!$C$27, 0.0021, 0)</f>
        <v>47.046099999999996</v>
      </c>
      <c r="K411" s="17">
        <f>47.044 * CHOOSE(CONTROL!$C$9, $D$9, 100%, $F$9) + CHOOSE(CONTROL!$C$27, 0.0021, 0)</f>
        <v>47.046099999999996</v>
      </c>
      <c r="L411" s="17"/>
    </row>
    <row r="412" spans="1:12" ht="15.75" x14ac:dyDescent="0.25">
      <c r="A412" s="14">
        <v>53478</v>
      </c>
      <c r="B412" s="17">
        <f>48.4252 * CHOOSE(CONTROL!$C$9, $D$9, 100%, $F$9) + CHOOSE(CONTROL!$C$27, 0.0021, 0)</f>
        <v>48.427299999999995</v>
      </c>
      <c r="C412" s="17">
        <f>47.9929 * CHOOSE(CONTROL!$C$9, $D$9, 100%, $F$9) + CHOOSE(CONTROL!$C$27, 0.0021, 0)</f>
        <v>47.994999999999997</v>
      </c>
      <c r="D412" s="17">
        <f>47.9929 * CHOOSE(CONTROL!$C$9, $D$9, 100%, $F$9) + CHOOSE(CONTROL!$C$27, 0.0021, 0)</f>
        <v>47.994999999999997</v>
      </c>
      <c r="E412" s="17">
        <f>47.8563 * CHOOSE(CONTROL!$C$9, $D$9, 100%, $F$9) + CHOOSE(CONTROL!$C$27, 0.0021, 0)</f>
        <v>47.858399999999996</v>
      </c>
      <c r="F412" s="17">
        <f>47.8563 * CHOOSE(CONTROL!$C$9, $D$9, 100%, $F$9) + CHOOSE(CONTROL!$C$27, 0.0021, 0)</f>
        <v>47.858399999999996</v>
      </c>
      <c r="G412" s="17">
        <f>48.1276 * CHOOSE(CONTROL!$C$9, $D$9, 100%, $F$9) + CHOOSE(CONTROL!$C$27, 0.0021, 0)</f>
        <v>48.1297</v>
      </c>
      <c r="H412" s="17">
        <f>47.9929 * CHOOSE(CONTROL!$C$9, $D$9, 100%, $F$9) + CHOOSE(CONTROL!$C$27, 0.0021, 0)</f>
        <v>47.994999999999997</v>
      </c>
      <c r="I412" s="17">
        <f>47.9929 * CHOOSE(CONTROL!$C$9, $D$9, 100%, $F$9) + CHOOSE(CONTROL!$C$27, 0.0021, 0)</f>
        <v>47.994999999999997</v>
      </c>
      <c r="J412" s="17">
        <f>47.9929 * CHOOSE(CONTROL!$C$9, $D$9, 100%, $F$9) + CHOOSE(CONTROL!$C$27, 0.0021, 0)</f>
        <v>47.994999999999997</v>
      </c>
      <c r="K412" s="17">
        <f>47.9929 * CHOOSE(CONTROL!$C$9, $D$9, 100%, $F$9) + CHOOSE(CONTROL!$C$27, 0.0021, 0)</f>
        <v>47.994999999999997</v>
      </c>
      <c r="L412" s="17"/>
    </row>
    <row r="413" spans="1:12" ht="15.75" x14ac:dyDescent="0.25">
      <c r="A413" s="14">
        <v>53508</v>
      </c>
      <c r="B413" s="17">
        <f>48.9935 * CHOOSE(CONTROL!$C$9, $D$9, 100%, $F$9) + CHOOSE(CONTROL!$C$27, 0.0021, 0)</f>
        <v>48.995599999999996</v>
      </c>
      <c r="C413" s="17">
        <f>48.5613 * CHOOSE(CONTROL!$C$9, $D$9, 100%, $F$9) + CHOOSE(CONTROL!$C$27, 0.0021, 0)</f>
        <v>48.563400000000001</v>
      </c>
      <c r="D413" s="17">
        <f>48.5613 * CHOOSE(CONTROL!$C$9, $D$9, 100%, $F$9) + CHOOSE(CONTROL!$C$27, 0.0021, 0)</f>
        <v>48.563400000000001</v>
      </c>
      <c r="E413" s="17">
        <f>48.4246 * CHOOSE(CONTROL!$C$9, $D$9, 100%, $F$9) + CHOOSE(CONTROL!$C$27, 0.0021, 0)</f>
        <v>48.426699999999997</v>
      </c>
      <c r="F413" s="17">
        <f>48.4246 * CHOOSE(CONTROL!$C$9, $D$9, 100%, $F$9) + CHOOSE(CONTROL!$C$27, 0.0021, 0)</f>
        <v>48.426699999999997</v>
      </c>
      <c r="G413" s="17">
        <f>48.696 * CHOOSE(CONTROL!$C$9, $D$9, 100%, $F$9) + CHOOSE(CONTROL!$C$27, 0.0021, 0)</f>
        <v>48.698099999999997</v>
      </c>
      <c r="H413" s="17">
        <f>48.5613 * CHOOSE(CONTROL!$C$9, $D$9, 100%, $F$9) + CHOOSE(CONTROL!$C$27, 0.0021, 0)</f>
        <v>48.563400000000001</v>
      </c>
      <c r="I413" s="17">
        <f>48.5613 * CHOOSE(CONTROL!$C$9, $D$9, 100%, $F$9) + CHOOSE(CONTROL!$C$27, 0.0021, 0)</f>
        <v>48.563400000000001</v>
      </c>
      <c r="J413" s="17">
        <f>48.5613 * CHOOSE(CONTROL!$C$9, $D$9, 100%, $F$9) + CHOOSE(CONTROL!$C$27, 0.0021, 0)</f>
        <v>48.563400000000001</v>
      </c>
      <c r="K413" s="17">
        <f>48.5613 * CHOOSE(CONTROL!$C$9, $D$9, 100%, $F$9) + CHOOSE(CONTROL!$C$27, 0.0021, 0)</f>
        <v>48.563400000000001</v>
      </c>
      <c r="L413" s="17"/>
    </row>
    <row r="414" spans="1:12" ht="15.75" x14ac:dyDescent="0.25">
      <c r="A414" s="14">
        <v>53539</v>
      </c>
      <c r="B414" s="17">
        <f>49.9311 * CHOOSE(CONTROL!$C$9, $D$9, 100%, $F$9) + CHOOSE(CONTROL!$C$27, 0.0021, 0)</f>
        <v>49.933199999999999</v>
      </c>
      <c r="C414" s="17">
        <f>49.4988 * CHOOSE(CONTROL!$C$9, $D$9, 100%, $F$9) + CHOOSE(CONTROL!$C$27, 0.0021, 0)</f>
        <v>49.500900000000001</v>
      </c>
      <c r="D414" s="17">
        <f>49.4988 * CHOOSE(CONTROL!$C$9, $D$9, 100%, $F$9) + CHOOSE(CONTROL!$C$27, 0.0021, 0)</f>
        <v>49.500900000000001</v>
      </c>
      <c r="E414" s="17">
        <f>49.3622 * CHOOSE(CONTROL!$C$9, $D$9, 100%, $F$9) + CHOOSE(CONTROL!$C$27, 0.0021, 0)</f>
        <v>49.3643</v>
      </c>
      <c r="F414" s="17">
        <f>49.3622 * CHOOSE(CONTROL!$C$9, $D$9, 100%, $F$9) + CHOOSE(CONTROL!$C$27, 0.0021, 0)</f>
        <v>49.3643</v>
      </c>
      <c r="G414" s="17">
        <f>49.6335 * CHOOSE(CONTROL!$C$9, $D$9, 100%, $F$9) + CHOOSE(CONTROL!$C$27, 0.0021, 0)</f>
        <v>49.635599999999997</v>
      </c>
      <c r="H414" s="17">
        <f>49.4988 * CHOOSE(CONTROL!$C$9, $D$9, 100%, $F$9) + CHOOSE(CONTROL!$C$27, 0.0021, 0)</f>
        <v>49.500900000000001</v>
      </c>
      <c r="I414" s="17">
        <f>49.4988 * CHOOSE(CONTROL!$C$9, $D$9, 100%, $F$9) + CHOOSE(CONTROL!$C$27, 0.0021, 0)</f>
        <v>49.500900000000001</v>
      </c>
      <c r="J414" s="17">
        <f>49.4988 * CHOOSE(CONTROL!$C$9, $D$9, 100%, $F$9) + CHOOSE(CONTROL!$C$27, 0.0021, 0)</f>
        <v>49.500900000000001</v>
      </c>
      <c r="K414" s="17">
        <f>49.4988 * CHOOSE(CONTROL!$C$9, $D$9, 100%, $F$9) + CHOOSE(CONTROL!$C$27, 0.0021, 0)</f>
        <v>49.500900000000001</v>
      </c>
      <c r="L414" s="17"/>
    </row>
    <row r="415" spans="1:12" ht="15.75" x14ac:dyDescent="0.25">
      <c r="A415" s="14">
        <v>53570</v>
      </c>
      <c r="B415" s="17">
        <f>50.2172 * CHOOSE(CONTROL!$C$9, $D$9, 100%, $F$9) + CHOOSE(CONTROL!$C$27, 0.0021, 0)</f>
        <v>50.219299999999997</v>
      </c>
      <c r="C415" s="17">
        <f>49.785 * CHOOSE(CONTROL!$C$9, $D$9, 100%, $F$9) + CHOOSE(CONTROL!$C$27, 0.0021, 0)</f>
        <v>49.787099999999995</v>
      </c>
      <c r="D415" s="17">
        <f>49.785 * CHOOSE(CONTROL!$C$9, $D$9, 100%, $F$9) + CHOOSE(CONTROL!$C$27, 0.0021, 0)</f>
        <v>49.787099999999995</v>
      </c>
      <c r="E415" s="17">
        <f>49.6483 * CHOOSE(CONTROL!$C$9, $D$9, 100%, $F$9) + CHOOSE(CONTROL!$C$27, 0.0021, 0)</f>
        <v>49.650399999999998</v>
      </c>
      <c r="F415" s="17">
        <f>49.6483 * CHOOSE(CONTROL!$C$9, $D$9, 100%, $F$9) + CHOOSE(CONTROL!$C$27, 0.0021, 0)</f>
        <v>49.650399999999998</v>
      </c>
      <c r="G415" s="17">
        <f>49.9197 * CHOOSE(CONTROL!$C$9, $D$9, 100%, $F$9) + CHOOSE(CONTROL!$C$27, 0.0021, 0)</f>
        <v>49.921799999999998</v>
      </c>
      <c r="H415" s="17">
        <f>49.785 * CHOOSE(CONTROL!$C$9, $D$9, 100%, $F$9) + CHOOSE(CONTROL!$C$27, 0.0021, 0)</f>
        <v>49.787099999999995</v>
      </c>
      <c r="I415" s="17">
        <f>49.785 * CHOOSE(CONTROL!$C$9, $D$9, 100%, $F$9) + CHOOSE(CONTROL!$C$27, 0.0021, 0)</f>
        <v>49.787099999999995</v>
      </c>
      <c r="J415" s="17">
        <f>49.785 * CHOOSE(CONTROL!$C$9, $D$9, 100%, $F$9) + CHOOSE(CONTROL!$C$27, 0.0021, 0)</f>
        <v>49.787099999999995</v>
      </c>
      <c r="K415" s="17">
        <f>49.785 * CHOOSE(CONTROL!$C$9, $D$9, 100%, $F$9) + CHOOSE(CONTROL!$C$27, 0.0021, 0)</f>
        <v>49.787099999999995</v>
      </c>
      <c r="L415" s="17"/>
    </row>
    <row r="416" spans="1:12" ht="15.75" x14ac:dyDescent="0.25">
      <c r="A416" s="14">
        <v>53600</v>
      </c>
      <c r="B416" s="17">
        <f>51.1918 * CHOOSE(CONTROL!$C$9, $D$9, 100%, $F$9) + CHOOSE(CONTROL!$C$27, 0.0021, 0)</f>
        <v>51.193899999999999</v>
      </c>
      <c r="C416" s="17">
        <f>50.7595 * CHOOSE(CONTROL!$C$9, $D$9, 100%, $F$9) + CHOOSE(CONTROL!$C$27, 0.0021, 0)</f>
        <v>50.761600000000001</v>
      </c>
      <c r="D416" s="17">
        <f>50.7595 * CHOOSE(CONTROL!$C$9, $D$9, 100%, $F$9) + CHOOSE(CONTROL!$C$27, 0.0021, 0)</f>
        <v>50.761600000000001</v>
      </c>
      <c r="E416" s="17">
        <f>50.6229 * CHOOSE(CONTROL!$C$9, $D$9, 100%, $F$9) + CHOOSE(CONTROL!$C$27, 0.0021, 0)</f>
        <v>50.625</v>
      </c>
      <c r="F416" s="17">
        <f>50.6229 * CHOOSE(CONTROL!$C$9, $D$9, 100%, $F$9) + CHOOSE(CONTROL!$C$27, 0.0021, 0)</f>
        <v>50.625</v>
      </c>
      <c r="G416" s="17">
        <f>50.8943 * CHOOSE(CONTROL!$C$9, $D$9, 100%, $F$9) + CHOOSE(CONTROL!$C$27, 0.0021, 0)</f>
        <v>50.8964</v>
      </c>
      <c r="H416" s="17">
        <f>50.7595 * CHOOSE(CONTROL!$C$9, $D$9, 100%, $F$9) + CHOOSE(CONTROL!$C$27, 0.0021, 0)</f>
        <v>50.761600000000001</v>
      </c>
      <c r="I416" s="17">
        <f>50.7595 * CHOOSE(CONTROL!$C$9, $D$9, 100%, $F$9) + CHOOSE(CONTROL!$C$27, 0.0021, 0)</f>
        <v>50.761600000000001</v>
      </c>
      <c r="J416" s="17">
        <f>50.7595 * CHOOSE(CONTROL!$C$9, $D$9, 100%, $F$9) + CHOOSE(CONTROL!$C$27, 0.0021, 0)</f>
        <v>50.761600000000001</v>
      </c>
      <c r="K416" s="17">
        <f>50.7595 * CHOOSE(CONTROL!$C$9, $D$9, 100%, $F$9) + CHOOSE(CONTROL!$C$27, 0.0021, 0)</f>
        <v>50.761600000000001</v>
      </c>
      <c r="L416" s="17"/>
    </row>
    <row r="417" spans="1:12" ht="15.75" x14ac:dyDescent="0.25">
      <c r="A417" s="14">
        <v>53631</v>
      </c>
      <c r="B417" s="17">
        <f>52.4254 * CHOOSE(CONTROL!$C$9, $D$9, 100%, $F$9) + CHOOSE(CONTROL!$C$27, 0.0021, 0)</f>
        <v>52.427500000000002</v>
      </c>
      <c r="C417" s="17">
        <f>51.9932 * CHOOSE(CONTROL!$C$9, $D$9, 100%, $F$9) + CHOOSE(CONTROL!$C$27, 0.0021, 0)</f>
        <v>51.9953</v>
      </c>
      <c r="D417" s="17">
        <f>51.9932 * CHOOSE(CONTROL!$C$9, $D$9, 100%, $F$9) + CHOOSE(CONTROL!$C$27, 0.0021, 0)</f>
        <v>51.9953</v>
      </c>
      <c r="E417" s="17">
        <f>51.8565 * CHOOSE(CONTROL!$C$9, $D$9, 100%, $F$9) + CHOOSE(CONTROL!$C$27, 0.0021, 0)</f>
        <v>51.858599999999996</v>
      </c>
      <c r="F417" s="17">
        <f>51.8565 * CHOOSE(CONTROL!$C$9, $D$9, 100%, $F$9) + CHOOSE(CONTROL!$C$27, 0.0021, 0)</f>
        <v>51.858599999999996</v>
      </c>
      <c r="G417" s="17">
        <f>52.1279 * CHOOSE(CONTROL!$C$9, $D$9, 100%, $F$9) + CHOOSE(CONTROL!$C$27, 0.0021, 0)</f>
        <v>52.129999999999995</v>
      </c>
      <c r="H417" s="17">
        <f>51.9932 * CHOOSE(CONTROL!$C$9, $D$9, 100%, $F$9) + CHOOSE(CONTROL!$C$27, 0.0021, 0)</f>
        <v>51.9953</v>
      </c>
      <c r="I417" s="17">
        <f>51.9932 * CHOOSE(CONTROL!$C$9, $D$9, 100%, $F$9) + CHOOSE(CONTROL!$C$27, 0.0021, 0)</f>
        <v>51.9953</v>
      </c>
      <c r="J417" s="17">
        <f>51.9932 * CHOOSE(CONTROL!$C$9, $D$9, 100%, $F$9) + CHOOSE(CONTROL!$C$27, 0.0021, 0)</f>
        <v>51.9953</v>
      </c>
      <c r="K417" s="17">
        <f>51.9932 * CHOOSE(CONTROL!$C$9, $D$9, 100%, $F$9) + CHOOSE(CONTROL!$C$27, 0.0021, 0)</f>
        <v>51.9953</v>
      </c>
      <c r="L417" s="17"/>
    </row>
    <row r="418" spans="1:12" ht="15.75" x14ac:dyDescent="0.25">
      <c r="A418" s="14">
        <v>53661</v>
      </c>
      <c r="B418" s="17">
        <f>52.5412 * CHOOSE(CONTROL!$C$9, $D$9, 100%, $F$9) + CHOOSE(CONTROL!$C$27, 0.0021, 0)</f>
        <v>52.543300000000002</v>
      </c>
      <c r="C418" s="17">
        <f>52.109 * CHOOSE(CONTROL!$C$9, $D$9, 100%, $F$9) + CHOOSE(CONTROL!$C$27, 0.0021, 0)</f>
        <v>52.1111</v>
      </c>
      <c r="D418" s="17">
        <f>52.109 * CHOOSE(CONTROL!$C$9, $D$9, 100%, $F$9) + CHOOSE(CONTROL!$C$27, 0.0021, 0)</f>
        <v>52.1111</v>
      </c>
      <c r="E418" s="17">
        <f>51.9723 * CHOOSE(CONTROL!$C$9, $D$9, 100%, $F$9) + CHOOSE(CONTROL!$C$27, 0.0021, 0)</f>
        <v>51.974399999999996</v>
      </c>
      <c r="F418" s="17">
        <f>51.9723 * CHOOSE(CONTROL!$C$9, $D$9, 100%, $F$9) + CHOOSE(CONTROL!$C$27, 0.0021, 0)</f>
        <v>51.974399999999996</v>
      </c>
      <c r="G418" s="17">
        <f>52.2437 * CHOOSE(CONTROL!$C$9, $D$9, 100%, $F$9) + CHOOSE(CONTROL!$C$27, 0.0021, 0)</f>
        <v>52.245799999999996</v>
      </c>
      <c r="H418" s="17">
        <f>52.109 * CHOOSE(CONTROL!$C$9, $D$9, 100%, $F$9) + CHOOSE(CONTROL!$C$27, 0.0021, 0)</f>
        <v>52.1111</v>
      </c>
      <c r="I418" s="17">
        <f>52.109 * CHOOSE(CONTROL!$C$9, $D$9, 100%, $F$9) + CHOOSE(CONTROL!$C$27, 0.0021, 0)</f>
        <v>52.1111</v>
      </c>
      <c r="J418" s="17">
        <f>52.109 * CHOOSE(CONTROL!$C$9, $D$9, 100%, $F$9) + CHOOSE(CONTROL!$C$27, 0.0021, 0)</f>
        <v>52.1111</v>
      </c>
      <c r="K418" s="17">
        <f>52.109 * CHOOSE(CONTROL!$C$9, $D$9, 100%, $F$9) + CHOOSE(CONTROL!$C$27, 0.0021, 0)</f>
        <v>52.1111</v>
      </c>
      <c r="L418" s="17"/>
    </row>
    <row r="419" spans="1:12" ht="15.75" x14ac:dyDescent="0.25">
      <c r="A419" s="14">
        <v>53692</v>
      </c>
      <c r="B419" s="17">
        <f>51.5559 * CHOOSE(CONTROL!$C$9, $D$9, 100%, $F$9) + CHOOSE(CONTROL!$C$27, 0.0021, 0)</f>
        <v>51.558</v>
      </c>
      <c r="C419" s="17">
        <f>51.1237 * CHOOSE(CONTROL!$C$9, $D$9, 100%, $F$9) + CHOOSE(CONTROL!$C$27, 0.0021, 0)</f>
        <v>51.125799999999998</v>
      </c>
      <c r="D419" s="17">
        <f>51.1237 * CHOOSE(CONTROL!$C$9, $D$9, 100%, $F$9) + CHOOSE(CONTROL!$C$27, 0.0021, 0)</f>
        <v>51.125799999999998</v>
      </c>
      <c r="E419" s="17">
        <f>50.987 * CHOOSE(CONTROL!$C$9, $D$9, 100%, $F$9) + CHOOSE(CONTROL!$C$27, 0.0021, 0)</f>
        <v>50.989100000000001</v>
      </c>
      <c r="F419" s="17">
        <f>50.987 * CHOOSE(CONTROL!$C$9, $D$9, 100%, $F$9) + CHOOSE(CONTROL!$C$27, 0.0021, 0)</f>
        <v>50.989100000000001</v>
      </c>
      <c r="G419" s="17">
        <f>51.2584 * CHOOSE(CONTROL!$C$9, $D$9, 100%, $F$9) + CHOOSE(CONTROL!$C$27, 0.0021, 0)</f>
        <v>51.2605</v>
      </c>
      <c r="H419" s="17">
        <f>51.1237 * CHOOSE(CONTROL!$C$9, $D$9, 100%, $F$9) + CHOOSE(CONTROL!$C$27, 0.0021, 0)</f>
        <v>51.125799999999998</v>
      </c>
      <c r="I419" s="17">
        <f>51.1237 * CHOOSE(CONTROL!$C$9, $D$9, 100%, $F$9) + CHOOSE(CONTROL!$C$27, 0.0021, 0)</f>
        <v>51.125799999999998</v>
      </c>
      <c r="J419" s="17">
        <f>51.1237 * CHOOSE(CONTROL!$C$9, $D$9, 100%, $F$9) + CHOOSE(CONTROL!$C$27, 0.0021, 0)</f>
        <v>51.125799999999998</v>
      </c>
      <c r="K419" s="17">
        <f>51.1237 * CHOOSE(CONTROL!$C$9, $D$9, 100%, $F$9) + CHOOSE(CONTROL!$C$27, 0.0021, 0)</f>
        <v>51.125799999999998</v>
      </c>
      <c r="L419" s="17"/>
    </row>
    <row r="420" spans="1:12" ht="15.75" x14ac:dyDescent="0.25">
      <c r="A420" s="14">
        <v>53723</v>
      </c>
      <c r="B420" s="17">
        <f>50.9332 * CHOOSE(CONTROL!$C$9, $D$9, 100%, $F$9) + CHOOSE(CONTROL!$C$27, 0.0021, 0)</f>
        <v>50.935299999999998</v>
      </c>
      <c r="C420" s="17">
        <f>50.501 * CHOOSE(CONTROL!$C$9, $D$9, 100%, $F$9) + CHOOSE(CONTROL!$C$27, 0.0021, 0)</f>
        <v>50.503099999999996</v>
      </c>
      <c r="D420" s="17">
        <f>50.501 * CHOOSE(CONTROL!$C$9, $D$9, 100%, $F$9) + CHOOSE(CONTROL!$C$27, 0.0021, 0)</f>
        <v>50.503099999999996</v>
      </c>
      <c r="E420" s="17">
        <f>50.3643 * CHOOSE(CONTROL!$C$9, $D$9, 100%, $F$9) + CHOOSE(CONTROL!$C$27, 0.0021, 0)</f>
        <v>50.366399999999999</v>
      </c>
      <c r="F420" s="17">
        <f>50.3643 * CHOOSE(CONTROL!$C$9, $D$9, 100%, $F$9) + CHOOSE(CONTROL!$C$27, 0.0021, 0)</f>
        <v>50.366399999999999</v>
      </c>
      <c r="G420" s="17">
        <f>50.6357 * CHOOSE(CONTROL!$C$9, $D$9, 100%, $F$9) + CHOOSE(CONTROL!$C$27, 0.0021, 0)</f>
        <v>50.637799999999999</v>
      </c>
      <c r="H420" s="17">
        <f>50.501 * CHOOSE(CONTROL!$C$9, $D$9, 100%, $F$9) + CHOOSE(CONTROL!$C$27, 0.0021, 0)</f>
        <v>50.503099999999996</v>
      </c>
      <c r="I420" s="17">
        <f>50.501 * CHOOSE(CONTROL!$C$9, $D$9, 100%, $F$9) + CHOOSE(CONTROL!$C$27, 0.0021, 0)</f>
        <v>50.503099999999996</v>
      </c>
      <c r="J420" s="17">
        <f>50.501 * CHOOSE(CONTROL!$C$9, $D$9, 100%, $F$9) + CHOOSE(CONTROL!$C$27, 0.0021, 0)</f>
        <v>50.503099999999996</v>
      </c>
      <c r="K420" s="17">
        <f>50.501 * CHOOSE(CONTROL!$C$9, $D$9, 100%, $F$9) + CHOOSE(CONTROL!$C$27, 0.0021, 0)</f>
        <v>50.503099999999996</v>
      </c>
      <c r="L420" s="17"/>
    </row>
    <row r="421" spans="1:12" ht="15.75" x14ac:dyDescent="0.25">
      <c r="A421" s="14">
        <v>53751</v>
      </c>
      <c r="B421" s="17">
        <f>49.5574 * CHOOSE(CONTROL!$C$9, $D$9, 100%, $F$9) + CHOOSE(CONTROL!$C$27, 0.0021, 0)</f>
        <v>49.5595</v>
      </c>
      <c r="C421" s="17">
        <f>49.1251 * CHOOSE(CONTROL!$C$9, $D$9, 100%, $F$9) + CHOOSE(CONTROL!$C$27, 0.0021, 0)</f>
        <v>49.127200000000002</v>
      </c>
      <c r="D421" s="17">
        <f>49.1251 * CHOOSE(CONTROL!$C$9, $D$9, 100%, $F$9) + CHOOSE(CONTROL!$C$27, 0.0021, 0)</f>
        <v>49.127200000000002</v>
      </c>
      <c r="E421" s="17">
        <f>48.9885 * CHOOSE(CONTROL!$C$9, $D$9, 100%, $F$9) + CHOOSE(CONTROL!$C$27, 0.0021, 0)</f>
        <v>48.990600000000001</v>
      </c>
      <c r="F421" s="17">
        <f>48.9885 * CHOOSE(CONTROL!$C$9, $D$9, 100%, $F$9) + CHOOSE(CONTROL!$C$27, 0.0021, 0)</f>
        <v>48.990600000000001</v>
      </c>
      <c r="G421" s="17">
        <f>49.2599 * CHOOSE(CONTROL!$C$9, $D$9, 100%, $F$9) + CHOOSE(CONTROL!$C$27, 0.0021, 0)</f>
        <v>49.262</v>
      </c>
      <c r="H421" s="17">
        <f>49.1251 * CHOOSE(CONTROL!$C$9, $D$9, 100%, $F$9) + CHOOSE(CONTROL!$C$27, 0.0021, 0)</f>
        <v>49.127200000000002</v>
      </c>
      <c r="I421" s="17">
        <f>49.1251 * CHOOSE(CONTROL!$C$9, $D$9, 100%, $F$9) + CHOOSE(CONTROL!$C$27, 0.0021, 0)</f>
        <v>49.127200000000002</v>
      </c>
      <c r="J421" s="17">
        <f>49.1251 * CHOOSE(CONTROL!$C$9, $D$9, 100%, $F$9) + CHOOSE(CONTROL!$C$27, 0.0021, 0)</f>
        <v>49.127200000000002</v>
      </c>
      <c r="K421" s="17">
        <f>49.1251 * CHOOSE(CONTROL!$C$9, $D$9, 100%, $F$9) + CHOOSE(CONTROL!$C$27, 0.0021, 0)</f>
        <v>49.127200000000002</v>
      </c>
      <c r="L421" s="17"/>
    </row>
    <row r="422" spans="1:12" ht="15.75" x14ac:dyDescent="0.25">
      <c r="A422" s="14">
        <v>53782</v>
      </c>
      <c r="B422" s="17">
        <f>48.9894 * CHOOSE(CONTROL!$C$9, $D$9, 100%, $F$9) + CHOOSE(CONTROL!$C$27, 0.0021, 0)</f>
        <v>48.991500000000002</v>
      </c>
      <c r="C422" s="17">
        <f>48.5572 * CHOOSE(CONTROL!$C$9, $D$9, 100%, $F$9) + CHOOSE(CONTROL!$C$27, 0.0021, 0)</f>
        <v>48.5593</v>
      </c>
      <c r="D422" s="17">
        <f>48.5572 * CHOOSE(CONTROL!$C$9, $D$9, 100%, $F$9) + CHOOSE(CONTROL!$C$27, 0.0021, 0)</f>
        <v>48.5593</v>
      </c>
      <c r="E422" s="17">
        <f>48.4205 * CHOOSE(CONTROL!$C$9, $D$9, 100%, $F$9) + CHOOSE(CONTROL!$C$27, 0.0021, 0)</f>
        <v>48.422599999999996</v>
      </c>
      <c r="F422" s="17">
        <f>48.4205 * CHOOSE(CONTROL!$C$9, $D$9, 100%, $F$9) + CHOOSE(CONTROL!$C$27, 0.0021, 0)</f>
        <v>48.422599999999996</v>
      </c>
      <c r="G422" s="17">
        <f>48.6919 * CHOOSE(CONTROL!$C$9, $D$9, 100%, $F$9) + CHOOSE(CONTROL!$C$27, 0.0021, 0)</f>
        <v>48.693999999999996</v>
      </c>
      <c r="H422" s="17">
        <f>48.5572 * CHOOSE(CONTROL!$C$9, $D$9, 100%, $F$9) + CHOOSE(CONTROL!$C$27, 0.0021, 0)</f>
        <v>48.5593</v>
      </c>
      <c r="I422" s="17">
        <f>48.5572 * CHOOSE(CONTROL!$C$9, $D$9, 100%, $F$9) + CHOOSE(CONTROL!$C$27, 0.0021, 0)</f>
        <v>48.5593</v>
      </c>
      <c r="J422" s="17">
        <f>48.5572 * CHOOSE(CONTROL!$C$9, $D$9, 100%, $F$9) + CHOOSE(CONTROL!$C$27, 0.0021, 0)</f>
        <v>48.5593</v>
      </c>
      <c r="K422" s="17">
        <f>48.5572 * CHOOSE(CONTROL!$C$9, $D$9, 100%, $F$9) + CHOOSE(CONTROL!$C$27, 0.0021, 0)</f>
        <v>48.5593</v>
      </c>
      <c r="L422" s="17"/>
    </row>
    <row r="423" spans="1:12" ht="15.75" x14ac:dyDescent="0.25">
      <c r="A423" s="14">
        <v>53812</v>
      </c>
      <c r="B423" s="17">
        <f>48.3113 * CHOOSE(CONTROL!$C$9, $D$9, 100%, $F$9) + CHOOSE(CONTROL!$C$27, 0.0021, 0)</f>
        <v>48.313400000000001</v>
      </c>
      <c r="C423" s="17">
        <f>47.8791 * CHOOSE(CONTROL!$C$9, $D$9, 100%, $F$9) + CHOOSE(CONTROL!$C$27, 0.0021, 0)</f>
        <v>47.8812</v>
      </c>
      <c r="D423" s="17">
        <f>47.8791 * CHOOSE(CONTROL!$C$9, $D$9, 100%, $F$9) + CHOOSE(CONTROL!$C$27, 0.0021, 0)</f>
        <v>47.8812</v>
      </c>
      <c r="E423" s="17">
        <f>47.7424 * CHOOSE(CONTROL!$C$9, $D$9, 100%, $F$9) + CHOOSE(CONTROL!$C$27, 0.0021, 0)</f>
        <v>47.744500000000002</v>
      </c>
      <c r="F423" s="17">
        <f>47.7424 * CHOOSE(CONTROL!$C$9, $D$9, 100%, $F$9) + CHOOSE(CONTROL!$C$27, 0.0021, 0)</f>
        <v>47.744500000000002</v>
      </c>
      <c r="G423" s="17">
        <f>48.0138 * CHOOSE(CONTROL!$C$9, $D$9, 100%, $F$9) + CHOOSE(CONTROL!$C$27, 0.0021, 0)</f>
        <v>48.015900000000002</v>
      </c>
      <c r="H423" s="17">
        <f>47.8791 * CHOOSE(CONTROL!$C$9, $D$9, 100%, $F$9) + CHOOSE(CONTROL!$C$27, 0.0021, 0)</f>
        <v>47.8812</v>
      </c>
      <c r="I423" s="17">
        <f>47.8791 * CHOOSE(CONTROL!$C$9, $D$9, 100%, $F$9) + CHOOSE(CONTROL!$C$27, 0.0021, 0)</f>
        <v>47.8812</v>
      </c>
      <c r="J423" s="17">
        <f>47.8791 * CHOOSE(CONTROL!$C$9, $D$9, 100%, $F$9) + CHOOSE(CONTROL!$C$27, 0.0021, 0)</f>
        <v>47.8812</v>
      </c>
      <c r="K423" s="17">
        <f>47.8791 * CHOOSE(CONTROL!$C$9, $D$9, 100%, $F$9) + CHOOSE(CONTROL!$C$27, 0.0021, 0)</f>
        <v>47.8812</v>
      </c>
      <c r="L423" s="17"/>
    </row>
    <row r="424" spans="1:12" ht="15.75" x14ac:dyDescent="0.25">
      <c r="A424" s="14">
        <v>53843</v>
      </c>
      <c r="B424" s="17">
        <f>49.2777 * CHOOSE(CONTROL!$C$9, $D$9, 100%, $F$9) + CHOOSE(CONTROL!$C$27, 0.0021, 0)</f>
        <v>49.279800000000002</v>
      </c>
      <c r="C424" s="17">
        <f>48.8455 * CHOOSE(CONTROL!$C$9, $D$9, 100%, $F$9) + CHOOSE(CONTROL!$C$27, 0.0021, 0)</f>
        <v>48.8476</v>
      </c>
      <c r="D424" s="17">
        <f>48.8455 * CHOOSE(CONTROL!$C$9, $D$9, 100%, $F$9) + CHOOSE(CONTROL!$C$27, 0.0021, 0)</f>
        <v>48.8476</v>
      </c>
      <c r="E424" s="17">
        <f>48.7088 * CHOOSE(CONTROL!$C$9, $D$9, 100%, $F$9) + CHOOSE(CONTROL!$C$27, 0.0021, 0)</f>
        <v>48.710899999999995</v>
      </c>
      <c r="F424" s="17">
        <f>48.7088 * CHOOSE(CONTROL!$C$9, $D$9, 100%, $F$9) + CHOOSE(CONTROL!$C$27, 0.0021, 0)</f>
        <v>48.710899999999995</v>
      </c>
      <c r="G424" s="17">
        <f>48.9802 * CHOOSE(CONTROL!$C$9, $D$9, 100%, $F$9) + CHOOSE(CONTROL!$C$27, 0.0021, 0)</f>
        <v>48.982300000000002</v>
      </c>
      <c r="H424" s="17">
        <f>48.8455 * CHOOSE(CONTROL!$C$9, $D$9, 100%, $F$9) + CHOOSE(CONTROL!$C$27, 0.0021, 0)</f>
        <v>48.8476</v>
      </c>
      <c r="I424" s="17">
        <f>48.8455 * CHOOSE(CONTROL!$C$9, $D$9, 100%, $F$9) + CHOOSE(CONTROL!$C$27, 0.0021, 0)</f>
        <v>48.8476</v>
      </c>
      <c r="J424" s="17">
        <f>48.8455 * CHOOSE(CONTROL!$C$9, $D$9, 100%, $F$9) + CHOOSE(CONTROL!$C$27, 0.0021, 0)</f>
        <v>48.8476</v>
      </c>
      <c r="K424" s="17">
        <f>48.8455 * CHOOSE(CONTROL!$C$9, $D$9, 100%, $F$9) + CHOOSE(CONTROL!$C$27, 0.0021, 0)</f>
        <v>48.8476</v>
      </c>
      <c r="L424" s="17"/>
    </row>
    <row r="425" spans="1:12" ht="15.75" x14ac:dyDescent="0.25">
      <c r="A425" s="14">
        <v>53873</v>
      </c>
      <c r="B425" s="17">
        <f>49.8566 * CHOOSE(CONTROL!$C$9, $D$9, 100%, $F$9) + CHOOSE(CONTROL!$C$27, 0.0021, 0)</f>
        <v>49.858699999999999</v>
      </c>
      <c r="C425" s="17">
        <f>49.4243 * CHOOSE(CONTROL!$C$9, $D$9, 100%, $F$9) + CHOOSE(CONTROL!$C$27, 0.0021, 0)</f>
        <v>49.426400000000001</v>
      </c>
      <c r="D425" s="17">
        <f>49.4243 * CHOOSE(CONTROL!$C$9, $D$9, 100%, $F$9) + CHOOSE(CONTROL!$C$27, 0.0021, 0)</f>
        <v>49.426400000000001</v>
      </c>
      <c r="E425" s="17">
        <f>49.2877 * CHOOSE(CONTROL!$C$9, $D$9, 100%, $F$9) + CHOOSE(CONTROL!$C$27, 0.0021, 0)</f>
        <v>49.2898</v>
      </c>
      <c r="F425" s="17">
        <f>49.2877 * CHOOSE(CONTROL!$C$9, $D$9, 100%, $F$9) + CHOOSE(CONTROL!$C$27, 0.0021, 0)</f>
        <v>49.2898</v>
      </c>
      <c r="G425" s="17">
        <f>49.5591 * CHOOSE(CONTROL!$C$9, $D$9, 100%, $F$9) + CHOOSE(CONTROL!$C$27, 0.0021, 0)</f>
        <v>49.561199999999999</v>
      </c>
      <c r="H425" s="17">
        <f>49.4243 * CHOOSE(CONTROL!$C$9, $D$9, 100%, $F$9) + CHOOSE(CONTROL!$C$27, 0.0021, 0)</f>
        <v>49.426400000000001</v>
      </c>
      <c r="I425" s="17">
        <f>49.4243 * CHOOSE(CONTROL!$C$9, $D$9, 100%, $F$9) + CHOOSE(CONTROL!$C$27, 0.0021, 0)</f>
        <v>49.426400000000001</v>
      </c>
      <c r="J425" s="17">
        <f>49.4243 * CHOOSE(CONTROL!$C$9, $D$9, 100%, $F$9) + CHOOSE(CONTROL!$C$27, 0.0021, 0)</f>
        <v>49.426400000000001</v>
      </c>
      <c r="K425" s="17">
        <f>49.4243 * CHOOSE(CONTROL!$C$9, $D$9, 100%, $F$9) + CHOOSE(CONTROL!$C$27, 0.0021, 0)</f>
        <v>49.426400000000001</v>
      </c>
      <c r="L425" s="17"/>
    </row>
    <row r="426" spans="1:12" ht="15.75" x14ac:dyDescent="0.25">
      <c r="A426" s="14">
        <v>53904</v>
      </c>
      <c r="B426" s="17">
        <f>50.8115 * CHOOSE(CONTROL!$C$9, $D$9, 100%, $F$9) + CHOOSE(CONTROL!$C$27, 0.0021, 0)</f>
        <v>50.813600000000001</v>
      </c>
      <c r="C426" s="17">
        <f>50.3792 * CHOOSE(CONTROL!$C$9, $D$9, 100%, $F$9) + CHOOSE(CONTROL!$C$27, 0.0021, 0)</f>
        <v>50.381299999999996</v>
      </c>
      <c r="D426" s="17">
        <f>50.3792 * CHOOSE(CONTROL!$C$9, $D$9, 100%, $F$9) + CHOOSE(CONTROL!$C$27, 0.0021, 0)</f>
        <v>50.381299999999996</v>
      </c>
      <c r="E426" s="17">
        <f>50.2426 * CHOOSE(CONTROL!$C$9, $D$9, 100%, $F$9) + CHOOSE(CONTROL!$C$27, 0.0021, 0)</f>
        <v>50.244700000000002</v>
      </c>
      <c r="F426" s="17">
        <f>50.2426 * CHOOSE(CONTROL!$C$9, $D$9, 100%, $F$9) + CHOOSE(CONTROL!$C$27, 0.0021, 0)</f>
        <v>50.244700000000002</v>
      </c>
      <c r="G426" s="17">
        <f>50.5139 * CHOOSE(CONTROL!$C$9, $D$9, 100%, $F$9) + CHOOSE(CONTROL!$C$27, 0.0021, 0)</f>
        <v>50.515999999999998</v>
      </c>
      <c r="H426" s="17">
        <f>50.3792 * CHOOSE(CONTROL!$C$9, $D$9, 100%, $F$9) + CHOOSE(CONTROL!$C$27, 0.0021, 0)</f>
        <v>50.381299999999996</v>
      </c>
      <c r="I426" s="17">
        <f>50.3792 * CHOOSE(CONTROL!$C$9, $D$9, 100%, $F$9) + CHOOSE(CONTROL!$C$27, 0.0021, 0)</f>
        <v>50.381299999999996</v>
      </c>
      <c r="J426" s="17">
        <f>50.3792 * CHOOSE(CONTROL!$C$9, $D$9, 100%, $F$9) + CHOOSE(CONTROL!$C$27, 0.0021, 0)</f>
        <v>50.381299999999996</v>
      </c>
      <c r="K426" s="17">
        <f>50.3792 * CHOOSE(CONTROL!$C$9, $D$9, 100%, $F$9) + CHOOSE(CONTROL!$C$27, 0.0021, 0)</f>
        <v>50.381299999999996</v>
      </c>
      <c r="L426" s="17"/>
    </row>
    <row r="427" spans="1:12" ht="15.75" x14ac:dyDescent="0.25">
      <c r="A427" s="14">
        <v>53935</v>
      </c>
      <c r="B427" s="17">
        <f>51.1029 * CHOOSE(CONTROL!$C$9, $D$9, 100%, $F$9) + CHOOSE(CONTROL!$C$27, 0.0021, 0)</f>
        <v>51.104999999999997</v>
      </c>
      <c r="C427" s="17">
        <f>50.6707 * CHOOSE(CONTROL!$C$9, $D$9, 100%, $F$9) + CHOOSE(CONTROL!$C$27, 0.0021, 0)</f>
        <v>50.672799999999995</v>
      </c>
      <c r="D427" s="17">
        <f>50.6707 * CHOOSE(CONTROL!$C$9, $D$9, 100%, $F$9) + CHOOSE(CONTROL!$C$27, 0.0021, 0)</f>
        <v>50.672799999999995</v>
      </c>
      <c r="E427" s="17">
        <f>50.534 * CHOOSE(CONTROL!$C$9, $D$9, 100%, $F$9) + CHOOSE(CONTROL!$C$27, 0.0021, 0)</f>
        <v>50.536099999999998</v>
      </c>
      <c r="F427" s="17">
        <f>50.534 * CHOOSE(CONTROL!$C$9, $D$9, 100%, $F$9) + CHOOSE(CONTROL!$C$27, 0.0021, 0)</f>
        <v>50.536099999999998</v>
      </c>
      <c r="G427" s="17">
        <f>50.8054 * CHOOSE(CONTROL!$C$9, $D$9, 100%, $F$9) + CHOOSE(CONTROL!$C$27, 0.0021, 0)</f>
        <v>50.807499999999997</v>
      </c>
      <c r="H427" s="17">
        <f>50.6707 * CHOOSE(CONTROL!$C$9, $D$9, 100%, $F$9) + CHOOSE(CONTROL!$C$27, 0.0021, 0)</f>
        <v>50.672799999999995</v>
      </c>
      <c r="I427" s="17">
        <f>50.6707 * CHOOSE(CONTROL!$C$9, $D$9, 100%, $F$9) + CHOOSE(CONTROL!$C$27, 0.0021, 0)</f>
        <v>50.672799999999995</v>
      </c>
      <c r="J427" s="17">
        <f>50.6707 * CHOOSE(CONTROL!$C$9, $D$9, 100%, $F$9) + CHOOSE(CONTROL!$C$27, 0.0021, 0)</f>
        <v>50.672799999999995</v>
      </c>
      <c r="K427" s="17">
        <f>50.6707 * CHOOSE(CONTROL!$C$9, $D$9, 100%, $F$9) + CHOOSE(CONTROL!$C$27, 0.0021, 0)</f>
        <v>50.672799999999995</v>
      </c>
      <c r="L427" s="17"/>
    </row>
    <row r="428" spans="1:12" ht="15.75" x14ac:dyDescent="0.25">
      <c r="A428" s="14">
        <v>53965</v>
      </c>
      <c r="B428" s="17">
        <f>52.0955 * CHOOSE(CONTROL!$C$9, $D$9, 100%, $F$9) + CHOOSE(CONTROL!$C$27, 0.0021, 0)</f>
        <v>52.0976</v>
      </c>
      <c r="C428" s="17">
        <f>51.6632 * CHOOSE(CONTROL!$C$9, $D$9, 100%, $F$9) + CHOOSE(CONTROL!$C$27, 0.0021, 0)</f>
        <v>51.665300000000002</v>
      </c>
      <c r="D428" s="17">
        <f>51.6632 * CHOOSE(CONTROL!$C$9, $D$9, 100%, $F$9) + CHOOSE(CONTROL!$C$27, 0.0021, 0)</f>
        <v>51.665300000000002</v>
      </c>
      <c r="E428" s="17">
        <f>51.5266 * CHOOSE(CONTROL!$C$9, $D$9, 100%, $F$9) + CHOOSE(CONTROL!$C$27, 0.0021, 0)</f>
        <v>51.528700000000001</v>
      </c>
      <c r="F428" s="17">
        <f>51.5266 * CHOOSE(CONTROL!$C$9, $D$9, 100%, $F$9) + CHOOSE(CONTROL!$C$27, 0.0021, 0)</f>
        <v>51.528700000000001</v>
      </c>
      <c r="G428" s="17">
        <f>51.798 * CHOOSE(CONTROL!$C$9, $D$9, 100%, $F$9) + CHOOSE(CONTROL!$C$27, 0.0021, 0)</f>
        <v>51.8001</v>
      </c>
      <c r="H428" s="17">
        <f>51.6632 * CHOOSE(CONTROL!$C$9, $D$9, 100%, $F$9) + CHOOSE(CONTROL!$C$27, 0.0021, 0)</f>
        <v>51.665300000000002</v>
      </c>
      <c r="I428" s="17">
        <f>51.6632 * CHOOSE(CONTROL!$C$9, $D$9, 100%, $F$9) + CHOOSE(CONTROL!$C$27, 0.0021, 0)</f>
        <v>51.665300000000002</v>
      </c>
      <c r="J428" s="17">
        <f>51.6632 * CHOOSE(CONTROL!$C$9, $D$9, 100%, $F$9) + CHOOSE(CONTROL!$C$27, 0.0021, 0)</f>
        <v>51.665300000000002</v>
      </c>
      <c r="K428" s="17">
        <f>51.6632 * CHOOSE(CONTROL!$C$9, $D$9, 100%, $F$9) + CHOOSE(CONTROL!$C$27, 0.0021, 0)</f>
        <v>51.665300000000002</v>
      </c>
      <c r="L428" s="17"/>
    </row>
    <row r="429" spans="1:12" ht="15.75" x14ac:dyDescent="0.25">
      <c r="A429" s="14">
        <v>53996</v>
      </c>
      <c r="B429" s="17">
        <f>53.3519 * CHOOSE(CONTROL!$C$9, $D$9, 100%, $F$9) + CHOOSE(CONTROL!$C$27, 0.0021, 0)</f>
        <v>53.353999999999999</v>
      </c>
      <c r="C429" s="17">
        <f>52.9197 * CHOOSE(CONTROL!$C$9, $D$9, 100%, $F$9) + CHOOSE(CONTROL!$C$27, 0.0021, 0)</f>
        <v>52.921799999999998</v>
      </c>
      <c r="D429" s="17">
        <f>52.9197 * CHOOSE(CONTROL!$C$9, $D$9, 100%, $F$9) + CHOOSE(CONTROL!$C$27, 0.0021, 0)</f>
        <v>52.921799999999998</v>
      </c>
      <c r="E429" s="17">
        <f>52.783 * CHOOSE(CONTROL!$C$9, $D$9, 100%, $F$9) + CHOOSE(CONTROL!$C$27, 0.0021, 0)</f>
        <v>52.7851</v>
      </c>
      <c r="F429" s="17">
        <f>52.783 * CHOOSE(CONTROL!$C$9, $D$9, 100%, $F$9) + CHOOSE(CONTROL!$C$27, 0.0021, 0)</f>
        <v>52.7851</v>
      </c>
      <c r="G429" s="17">
        <f>53.0544 * CHOOSE(CONTROL!$C$9, $D$9, 100%, $F$9) + CHOOSE(CONTROL!$C$27, 0.0021, 0)</f>
        <v>53.0565</v>
      </c>
      <c r="H429" s="17">
        <f>52.9197 * CHOOSE(CONTROL!$C$9, $D$9, 100%, $F$9) + CHOOSE(CONTROL!$C$27, 0.0021, 0)</f>
        <v>52.921799999999998</v>
      </c>
      <c r="I429" s="17">
        <f>52.9197 * CHOOSE(CONTROL!$C$9, $D$9, 100%, $F$9) + CHOOSE(CONTROL!$C$27, 0.0021, 0)</f>
        <v>52.921799999999998</v>
      </c>
      <c r="J429" s="17">
        <f>52.9197 * CHOOSE(CONTROL!$C$9, $D$9, 100%, $F$9) + CHOOSE(CONTROL!$C$27, 0.0021, 0)</f>
        <v>52.921799999999998</v>
      </c>
      <c r="K429" s="17">
        <f>52.9197 * CHOOSE(CONTROL!$C$9, $D$9, 100%, $F$9) + CHOOSE(CONTROL!$C$27, 0.0021, 0)</f>
        <v>52.921799999999998</v>
      </c>
      <c r="L429" s="17"/>
    </row>
    <row r="430" spans="1:12" ht="15.75" x14ac:dyDescent="0.25">
      <c r="A430" s="14">
        <v>54026</v>
      </c>
      <c r="B430" s="17">
        <f>53.4698 * CHOOSE(CONTROL!$C$9, $D$9, 100%, $F$9) + CHOOSE(CONTROL!$C$27, 0.0021, 0)</f>
        <v>53.471899999999998</v>
      </c>
      <c r="C430" s="17">
        <f>53.0376 * CHOOSE(CONTROL!$C$9, $D$9, 100%, $F$9) + CHOOSE(CONTROL!$C$27, 0.0021, 0)</f>
        <v>53.039699999999996</v>
      </c>
      <c r="D430" s="17">
        <f>53.0376 * CHOOSE(CONTROL!$C$9, $D$9, 100%, $F$9) + CHOOSE(CONTROL!$C$27, 0.0021, 0)</f>
        <v>53.039699999999996</v>
      </c>
      <c r="E430" s="17">
        <f>52.9009 * CHOOSE(CONTROL!$C$9, $D$9, 100%, $F$9) + CHOOSE(CONTROL!$C$27, 0.0021, 0)</f>
        <v>52.902999999999999</v>
      </c>
      <c r="F430" s="17">
        <f>52.9009 * CHOOSE(CONTROL!$C$9, $D$9, 100%, $F$9) + CHOOSE(CONTROL!$C$27, 0.0021, 0)</f>
        <v>52.902999999999999</v>
      </c>
      <c r="G430" s="17">
        <f>53.1723 * CHOOSE(CONTROL!$C$9, $D$9, 100%, $F$9) + CHOOSE(CONTROL!$C$27, 0.0021, 0)</f>
        <v>53.174399999999999</v>
      </c>
      <c r="H430" s="17">
        <f>53.0376 * CHOOSE(CONTROL!$C$9, $D$9, 100%, $F$9) + CHOOSE(CONTROL!$C$27, 0.0021, 0)</f>
        <v>53.039699999999996</v>
      </c>
      <c r="I430" s="17">
        <f>53.0376 * CHOOSE(CONTROL!$C$9, $D$9, 100%, $F$9) + CHOOSE(CONTROL!$C$27, 0.0021, 0)</f>
        <v>53.039699999999996</v>
      </c>
      <c r="J430" s="17">
        <f>53.0376 * CHOOSE(CONTROL!$C$9, $D$9, 100%, $F$9) + CHOOSE(CONTROL!$C$27, 0.0021, 0)</f>
        <v>53.039699999999996</v>
      </c>
      <c r="K430" s="17">
        <f>53.0376 * CHOOSE(CONTROL!$C$9, $D$9, 100%, $F$9) + CHOOSE(CONTROL!$C$27, 0.0021, 0)</f>
        <v>53.039699999999996</v>
      </c>
      <c r="L430" s="17"/>
    </row>
    <row r="431" spans="1:12" ht="15.75" x14ac:dyDescent="0.25">
      <c r="A431" s="14">
        <v>54057</v>
      </c>
      <c r="B431" s="17">
        <f>52.4664 * CHOOSE(CONTROL!$C$9, $D$9, 100%, $F$9) + CHOOSE(CONTROL!$C$27, 0.0021, 0)</f>
        <v>52.468499999999999</v>
      </c>
      <c r="C431" s="17">
        <f>52.0341 * CHOOSE(CONTROL!$C$9, $D$9, 100%, $F$9) + CHOOSE(CONTROL!$C$27, 0.0021, 0)</f>
        <v>52.036200000000001</v>
      </c>
      <c r="D431" s="17">
        <f>52.0341 * CHOOSE(CONTROL!$C$9, $D$9, 100%, $F$9) + CHOOSE(CONTROL!$C$27, 0.0021, 0)</f>
        <v>52.036200000000001</v>
      </c>
      <c r="E431" s="17">
        <f>51.8975 * CHOOSE(CONTROL!$C$9, $D$9, 100%, $F$9) + CHOOSE(CONTROL!$C$27, 0.0021, 0)</f>
        <v>51.8996</v>
      </c>
      <c r="F431" s="17">
        <f>51.8975 * CHOOSE(CONTROL!$C$9, $D$9, 100%, $F$9) + CHOOSE(CONTROL!$C$27, 0.0021, 0)</f>
        <v>51.8996</v>
      </c>
      <c r="G431" s="17">
        <f>52.1688 * CHOOSE(CONTROL!$C$9, $D$9, 100%, $F$9) + CHOOSE(CONTROL!$C$27, 0.0021, 0)</f>
        <v>52.170899999999996</v>
      </c>
      <c r="H431" s="17">
        <f>52.0341 * CHOOSE(CONTROL!$C$9, $D$9, 100%, $F$9) + CHOOSE(CONTROL!$C$27, 0.0021, 0)</f>
        <v>52.036200000000001</v>
      </c>
      <c r="I431" s="17">
        <f>52.0341 * CHOOSE(CONTROL!$C$9, $D$9, 100%, $F$9) + CHOOSE(CONTROL!$C$27, 0.0021, 0)</f>
        <v>52.036200000000001</v>
      </c>
      <c r="J431" s="17">
        <f>52.0341 * CHOOSE(CONTROL!$C$9, $D$9, 100%, $F$9) + CHOOSE(CONTROL!$C$27, 0.0021, 0)</f>
        <v>52.036200000000001</v>
      </c>
      <c r="K431" s="17">
        <f>52.0341 * CHOOSE(CONTROL!$C$9, $D$9, 100%, $F$9) + CHOOSE(CONTROL!$C$27, 0.0021, 0)</f>
        <v>52.036200000000001</v>
      </c>
      <c r="L431" s="17"/>
    </row>
    <row r="432" spans="1:12" ht="15.75" x14ac:dyDescent="0.25">
      <c r="A432" s="14">
        <v>54088</v>
      </c>
      <c r="B432" s="17">
        <f>51.8321 * CHOOSE(CONTROL!$C$9, $D$9, 100%, $F$9) + CHOOSE(CONTROL!$C$27, 0.0021, 0)</f>
        <v>51.834199999999996</v>
      </c>
      <c r="C432" s="17">
        <f>51.3999 * CHOOSE(CONTROL!$C$9, $D$9, 100%, $F$9) + CHOOSE(CONTROL!$C$27, 0.0021, 0)</f>
        <v>51.402000000000001</v>
      </c>
      <c r="D432" s="17">
        <f>51.3999 * CHOOSE(CONTROL!$C$9, $D$9, 100%, $F$9) + CHOOSE(CONTROL!$C$27, 0.0021, 0)</f>
        <v>51.402000000000001</v>
      </c>
      <c r="E432" s="17">
        <f>51.2632 * CHOOSE(CONTROL!$C$9, $D$9, 100%, $F$9) + CHOOSE(CONTROL!$C$27, 0.0021, 0)</f>
        <v>51.265299999999996</v>
      </c>
      <c r="F432" s="17">
        <f>51.2632 * CHOOSE(CONTROL!$C$9, $D$9, 100%, $F$9) + CHOOSE(CONTROL!$C$27, 0.0021, 0)</f>
        <v>51.265299999999996</v>
      </c>
      <c r="G432" s="17">
        <f>51.5346 * CHOOSE(CONTROL!$C$9, $D$9, 100%, $F$9) + CHOOSE(CONTROL!$C$27, 0.0021, 0)</f>
        <v>51.536699999999996</v>
      </c>
      <c r="H432" s="17">
        <f>51.3999 * CHOOSE(CONTROL!$C$9, $D$9, 100%, $F$9) + CHOOSE(CONTROL!$C$27, 0.0021, 0)</f>
        <v>51.402000000000001</v>
      </c>
      <c r="I432" s="17">
        <f>51.3999 * CHOOSE(CONTROL!$C$9, $D$9, 100%, $F$9) + CHOOSE(CONTROL!$C$27, 0.0021, 0)</f>
        <v>51.402000000000001</v>
      </c>
      <c r="J432" s="17">
        <f>51.3999 * CHOOSE(CONTROL!$C$9, $D$9, 100%, $F$9) + CHOOSE(CONTROL!$C$27, 0.0021, 0)</f>
        <v>51.402000000000001</v>
      </c>
      <c r="K432" s="17">
        <f>51.3999 * CHOOSE(CONTROL!$C$9, $D$9, 100%, $F$9) + CHOOSE(CONTROL!$C$27, 0.0021, 0)</f>
        <v>51.402000000000001</v>
      </c>
      <c r="L432" s="17"/>
    </row>
    <row r="433" spans="1:12" ht="15.75" x14ac:dyDescent="0.25">
      <c r="A433" s="14">
        <v>54116</v>
      </c>
      <c r="B433" s="17">
        <f>50.4309 * CHOOSE(CONTROL!$C$9, $D$9, 100%, $F$9) + CHOOSE(CONTROL!$C$27, 0.0021, 0)</f>
        <v>50.433</v>
      </c>
      <c r="C433" s="17">
        <f>49.9986 * CHOOSE(CONTROL!$C$9, $D$9, 100%, $F$9) + CHOOSE(CONTROL!$C$27, 0.0021, 0)</f>
        <v>50.000700000000002</v>
      </c>
      <c r="D433" s="17">
        <f>49.9986 * CHOOSE(CONTROL!$C$9, $D$9, 100%, $F$9) + CHOOSE(CONTROL!$C$27, 0.0021, 0)</f>
        <v>50.000700000000002</v>
      </c>
      <c r="E433" s="17">
        <f>49.862 * CHOOSE(CONTROL!$C$9, $D$9, 100%, $F$9) + CHOOSE(CONTROL!$C$27, 0.0021, 0)</f>
        <v>49.864100000000001</v>
      </c>
      <c r="F433" s="17">
        <f>49.862 * CHOOSE(CONTROL!$C$9, $D$9, 100%, $F$9) + CHOOSE(CONTROL!$C$27, 0.0021, 0)</f>
        <v>49.864100000000001</v>
      </c>
      <c r="G433" s="17">
        <f>50.1333 * CHOOSE(CONTROL!$C$9, $D$9, 100%, $F$9) + CHOOSE(CONTROL!$C$27, 0.0021, 0)</f>
        <v>50.135399999999997</v>
      </c>
      <c r="H433" s="17">
        <f>49.9986 * CHOOSE(CONTROL!$C$9, $D$9, 100%, $F$9) + CHOOSE(CONTROL!$C$27, 0.0021, 0)</f>
        <v>50.000700000000002</v>
      </c>
      <c r="I433" s="17">
        <f>49.9986 * CHOOSE(CONTROL!$C$9, $D$9, 100%, $F$9) + CHOOSE(CONTROL!$C$27, 0.0021, 0)</f>
        <v>50.000700000000002</v>
      </c>
      <c r="J433" s="17">
        <f>49.9986 * CHOOSE(CONTROL!$C$9, $D$9, 100%, $F$9) + CHOOSE(CONTROL!$C$27, 0.0021, 0)</f>
        <v>50.000700000000002</v>
      </c>
      <c r="K433" s="17">
        <f>49.9986 * CHOOSE(CONTROL!$C$9, $D$9, 100%, $F$9) + CHOOSE(CONTROL!$C$27, 0.0021, 0)</f>
        <v>50.000700000000002</v>
      </c>
      <c r="L433" s="17"/>
    </row>
    <row r="434" spans="1:12" ht="15.75" x14ac:dyDescent="0.25">
      <c r="A434" s="14">
        <v>54148</v>
      </c>
      <c r="B434" s="17">
        <f>49.8524 * CHOOSE(CONTROL!$C$9, $D$9, 100%, $F$9) + CHOOSE(CONTROL!$C$27, 0.0021, 0)</f>
        <v>49.854500000000002</v>
      </c>
      <c r="C434" s="17">
        <f>49.4202 * CHOOSE(CONTROL!$C$9, $D$9, 100%, $F$9) + CHOOSE(CONTROL!$C$27, 0.0021, 0)</f>
        <v>49.4223</v>
      </c>
      <c r="D434" s="17">
        <f>49.4202 * CHOOSE(CONTROL!$C$9, $D$9, 100%, $F$9) + CHOOSE(CONTROL!$C$27, 0.0021, 0)</f>
        <v>49.4223</v>
      </c>
      <c r="E434" s="17">
        <f>49.2835 * CHOOSE(CONTROL!$C$9, $D$9, 100%, $F$9) + CHOOSE(CONTROL!$C$27, 0.0021, 0)</f>
        <v>49.285599999999995</v>
      </c>
      <c r="F434" s="17">
        <f>49.2835 * CHOOSE(CONTROL!$C$9, $D$9, 100%, $F$9) + CHOOSE(CONTROL!$C$27, 0.0021, 0)</f>
        <v>49.285599999999995</v>
      </c>
      <c r="G434" s="17">
        <f>49.5549 * CHOOSE(CONTROL!$C$9, $D$9, 100%, $F$9) + CHOOSE(CONTROL!$C$27, 0.0021, 0)</f>
        <v>49.557000000000002</v>
      </c>
      <c r="H434" s="17">
        <f>49.4202 * CHOOSE(CONTROL!$C$9, $D$9, 100%, $F$9) + CHOOSE(CONTROL!$C$27, 0.0021, 0)</f>
        <v>49.4223</v>
      </c>
      <c r="I434" s="17">
        <f>49.4202 * CHOOSE(CONTROL!$C$9, $D$9, 100%, $F$9) + CHOOSE(CONTROL!$C$27, 0.0021, 0)</f>
        <v>49.4223</v>
      </c>
      <c r="J434" s="17">
        <f>49.4202 * CHOOSE(CONTROL!$C$9, $D$9, 100%, $F$9) + CHOOSE(CONTROL!$C$27, 0.0021, 0)</f>
        <v>49.4223</v>
      </c>
      <c r="K434" s="17">
        <f>49.4202 * CHOOSE(CONTROL!$C$9, $D$9, 100%, $F$9) + CHOOSE(CONTROL!$C$27, 0.0021, 0)</f>
        <v>49.4223</v>
      </c>
      <c r="L434" s="17"/>
    </row>
    <row r="435" spans="1:12" ht="15.75" x14ac:dyDescent="0.25">
      <c r="A435" s="14">
        <v>54178</v>
      </c>
      <c r="B435" s="17">
        <f>49.1618 * CHOOSE(CONTROL!$C$9, $D$9, 100%, $F$9) + CHOOSE(CONTROL!$C$27, 0.0021, 0)</f>
        <v>49.163899999999998</v>
      </c>
      <c r="C435" s="17">
        <f>48.7295 * CHOOSE(CONTROL!$C$9, $D$9, 100%, $F$9) + CHOOSE(CONTROL!$C$27, 0.0021, 0)</f>
        <v>48.7316</v>
      </c>
      <c r="D435" s="17">
        <f>48.7295 * CHOOSE(CONTROL!$C$9, $D$9, 100%, $F$9) + CHOOSE(CONTROL!$C$27, 0.0021, 0)</f>
        <v>48.7316</v>
      </c>
      <c r="E435" s="17">
        <f>48.5929 * CHOOSE(CONTROL!$C$9, $D$9, 100%, $F$9) + CHOOSE(CONTROL!$C$27, 0.0021, 0)</f>
        <v>48.594999999999999</v>
      </c>
      <c r="F435" s="17">
        <f>48.5929 * CHOOSE(CONTROL!$C$9, $D$9, 100%, $F$9) + CHOOSE(CONTROL!$C$27, 0.0021, 0)</f>
        <v>48.594999999999999</v>
      </c>
      <c r="G435" s="17">
        <f>48.8642 * CHOOSE(CONTROL!$C$9, $D$9, 100%, $F$9) + CHOOSE(CONTROL!$C$27, 0.0021, 0)</f>
        <v>48.866299999999995</v>
      </c>
      <c r="H435" s="17">
        <f>48.7295 * CHOOSE(CONTROL!$C$9, $D$9, 100%, $F$9) + CHOOSE(CONTROL!$C$27, 0.0021, 0)</f>
        <v>48.7316</v>
      </c>
      <c r="I435" s="17">
        <f>48.7295 * CHOOSE(CONTROL!$C$9, $D$9, 100%, $F$9) + CHOOSE(CONTROL!$C$27, 0.0021, 0)</f>
        <v>48.7316</v>
      </c>
      <c r="J435" s="17">
        <f>48.7295 * CHOOSE(CONTROL!$C$9, $D$9, 100%, $F$9) + CHOOSE(CONTROL!$C$27, 0.0021, 0)</f>
        <v>48.7316</v>
      </c>
      <c r="K435" s="17">
        <f>48.7295 * CHOOSE(CONTROL!$C$9, $D$9, 100%, $F$9) + CHOOSE(CONTROL!$C$27, 0.0021, 0)</f>
        <v>48.7316</v>
      </c>
      <c r="L435" s="17"/>
    </row>
    <row r="436" spans="1:12" ht="15.75" x14ac:dyDescent="0.25">
      <c r="A436" s="14">
        <v>54209</v>
      </c>
      <c r="B436" s="17">
        <f>50.1461 * CHOOSE(CONTROL!$C$9, $D$9, 100%, $F$9) + CHOOSE(CONTROL!$C$27, 0.0021, 0)</f>
        <v>50.148199999999996</v>
      </c>
      <c r="C436" s="17">
        <f>49.7138 * CHOOSE(CONTROL!$C$9, $D$9, 100%, $F$9) + CHOOSE(CONTROL!$C$27, 0.0021, 0)</f>
        <v>49.715899999999998</v>
      </c>
      <c r="D436" s="17">
        <f>49.7138 * CHOOSE(CONTROL!$C$9, $D$9, 100%, $F$9) + CHOOSE(CONTROL!$C$27, 0.0021, 0)</f>
        <v>49.715899999999998</v>
      </c>
      <c r="E436" s="17">
        <f>49.5772 * CHOOSE(CONTROL!$C$9, $D$9, 100%, $F$9) + CHOOSE(CONTROL!$C$27, 0.0021, 0)</f>
        <v>49.579299999999996</v>
      </c>
      <c r="F436" s="17">
        <f>49.5772 * CHOOSE(CONTROL!$C$9, $D$9, 100%, $F$9) + CHOOSE(CONTROL!$C$27, 0.0021, 0)</f>
        <v>49.579299999999996</v>
      </c>
      <c r="G436" s="17">
        <f>49.8485 * CHOOSE(CONTROL!$C$9, $D$9, 100%, $F$9) + CHOOSE(CONTROL!$C$27, 0.0021, 0)</f>
        <v>49.8506</v>
      </c>
      <c r="H436" s="17">
        <f>49.7138 * CHOOSE(CONTROL!$C$9, $D$9, 100%, $F$9) + CHOOSE(CONTROL!$C$27, 0.0021, 0)</f>
        <v>49.715899999999998</v>
      </c>
      <c r="I436" s="17">
        <f>49.7138 * CHOOSE(CONTROL!$C$9, $D$9, 100%, $F$9) + CHOOSE(CONTROL!$C$27, 0.0021, 0)</f>
        <v>49.715899999999998</v>
      </c>
      <c r="J436" s="17">
        <f>49.7138 * CHOOSE(CONTROL!$C$9, $D$9, 100%, $F$9) + CHOOSE(CONTROL!$C$27, 0.0021, 0)</f>
        <v>49.715899999999998</v>
      </c>
      <c r="K436" s="17">
        <f>49.7138 * CHOOSE(CONTROL!$C$9, $D$9, 100%, $F$9) + CHOOSE(CONTROL!$C$27, 0.0021, 0)</f>
        <v>49.715899999999998</v>
      </c>
      <c r="L436" s="17"/>
    </row>
    <row r="437" spans="1:12" ht="15.75" x14ac:dyDescent="0.25">
      <c r="A437" s="14">
        <v>54239</v>
      </c>
      <c r="B437" s="17">
        <f>50.7356 * CHOOSE(CONTROL!$C$9, $D$9, 100%, $F$9) + CHOOSE(CONTROL!$C$27, 0.0021, 0)</f>
        <v>50.737699999999997</v>
      </c>
      <c r="C437" s="17">
        <f>50.3034 * CHOOSE(CONTROL!$C$9, $D$9, 100%, $F$9) + CHOOSE(CONTROL!$C$27, 0.0021, 0)</f>
        <v>50.305500000000002</v>
      </c>
      <c r="D437" s="17">
        <f>50.3034 * CHOOSE(CONTROL!$C$9, $D$9, 100%, $F$9) + CHOOSE(CONTROL!$C$27, 0.0021, 0)</f>
        <v>50.305500000000002</v>
      </c>
      <c r="E437" s="17">
        <f>50.1667 * CHOOSE(CONTROL!$C$9, $D$9, 100%, $F$9) + CHOOSE(CONTROL!$C$27, 0.0021, 0)</f>
        <v>50.168799999999997</v>
      </c>
      <c r="F437" s="17">
        <f>50.1667 * CHOOSE(CONTROL!$C$9, $D$9, 100%, $F$9) + CHOOSE(CONTROL!$C$27, 0.0021, 0)</f>
        <v>50.168799999999997</v>
      </c>
      <c r="G437" s="17">
        <f>50.4381 * CHOOSE(CONTROL!$C$9, $D$9, 100%, $F$9) + CHOOSE(CONTROL!$C$27, 0.0021, 0)</f>
        <v>50.440199999999997</v>
      </c>
      <c r="H437" s="17">
        <f>50.3034 * CHOOSE(CONTROL!$C$9, $D$9, 100%, $F$9) + CHOOSE(CONTROL!$C$27, 0.0021, 0)</f>
        <v>50.305500000000002</v>
      </c>
      <c r="I437" s="17">
        <f>50.3034 * CHOOSE(CONTROL!$C$9, $D$9, 100%, $F$9) + CHOOSE(CONTROL!$C$27, 0.0021, 0)</f>
        <v>50.305500000000002</v>
      </c>
      <c r="J437" s="17">
        <f>50.3034 * CHOOSE(CONTROL!$C$9, $D$9, 100%, $F$9) + CHOOSE(CONTROL!$C$27, 0.0021, 0)</f>
        <v>50.305500000000002</v>
      </c>
      <c r="K437" s="17">
        <f>50.3034 * CHOOSE(CONTROL!$C$9, $D$9, 100%, $F$9) + CHOOSE(CONTROL!$C$27, 0.0021, 0)</f>
        <v>50.305500000000002</v>
      </c>
      <c r="L437" s="17"/>
    </row>
    <row r="438" spans="1:12" ht="15.75" x14ac:dyDescent="0.25">
      <c r="A438" s="14">
        <v>54270</v>
      </c>
      <c r="B438" s="17">
        <f>51.7081 * CHOOSE(CONTROL!$C$9, $D$9, 100%, $F$9) + CHOOSE(CONTROL!$C$27, 0.0021, 0)</f>
        <v>51.7102</v>
      </c>
      <c r="C438" s="17">
        <f>51.2759 * CHOOSE(CONTROL!$C$9, $D$9, 100%, $F$9) + CHOOSE(CONTROL!$C$27, 0.0021, 0)</f>
        <v>51.277999999999999</v>
      </c>
      <c r="D438" s="17">
        <f>51.2759 * CHOOSE(CONTROL!$C$9, $D$9, 100%, $F$9) + CHOOSE(CONTROL!$C$27, 0.0021, 0)</f>
        <v>51.277999999999999</v>
      </c>
      <c r="E438" s="17">
        <f>51.1392 * CHOOSE(CONTROL!$C$9, $D$9, 100%, $F$9) + CHOOSE(CONTROL!$C$27, 0.0021, 0)</f>
        <v>51.141300000000001</v>
      </c>
      <c r="F438" s="17">
        <f>51.1392 * CHOOSE(CONTROL!$C$9, $D$9, 100%, $F$9) + CHOOSE(CONTROL!$C$27, 0.0021, 0)</f>
        <v>51.141300000000001</v>
      </c>
      <c r="G438" s="17">
        <f>51.4106 * CHOOSE(CONTROL!$C$9, $D$9, 100%, $F$9) + CHOOSE(CONTROL!$C$27, 0.0021, 0)</f>
        <v>51.412700000000001</v>
      </c>
      <c r="H438" s="17">
        <f>51.2759 * CHOOSE(CONTROL!$C$9, $D$9, 100%, $F$9) + CHOOSE(CONTROL!$C$27, 0.0021, 0)</f>
        <v>51.277999999999999</v>
      </c>
      <c r="I438" s="17">
        <f>51.2759 * CHOOSE(CONTROL!$C$9, $D$9, 100%, $F$9) + CHOOSE(CONTROL!$C$27, 0.0021, 0)</f>
        <v>51.277999999999999</v>
      </c>
      <c r="J438" s="17">
        <f>51.2759 * CHOOSE(CONTROL!$C$9, $D$9, 100%, $F$9) + CHOOSE(CONTROL!$C$27, 0.0021, 0)</f>
        <v>51.277999999999999</v>
      </c>
      <c r="K438" s="17">
        <f>51.2759 * CHOOSE(CONTROL!$C$9, $D$9, 100%, $F$9) + CHOOSE(CONTROL!$C$27, 0.0021, 0)</f>
        <v>51.277999999999999</v>
      </c>
      <c r="L438" s="17"/>
    </row>
    <row r="439" spans="1:12" ht="15.75" x14ac:dyDescent="0.25">
      <c r="A439" s="14">
        <v>54301</v>
      </c>
      <c r="B439" s="17">
        <f>52.005 * CHOOSE(CONTROL!$C$9, $D$9, 100%, $F$9) + CHOOSE(CONTROL!$C$27, 0.0021, 0)</f>
        <v>52.007100000000001</v>
      </c>
      <c r="C439" s="17">
        <f>51.5727 * CHOOSE(CONTROL!$C$9, $D$9, 100%, $F$9) + CHOOSE(CONTROL!$C$27, 0.0021, 0)</f>
        <v>51.574799999999996</v>
      </c>
      <c r="D439" s="17">
        <f>51.5727 * CHOOSE(CONTROL!$C$9, $D$9, 100%, $F$9) + CHOOSE(CONTROL!$C$27, 0.0021, 0)</f>
        <v>51.574799999999996</v>
      </c>
      <c r="E439" s="17">
        <f>51.4361 * CHOOSE(CONTROL!$C$9, $D$9, 100%, $F$9) + CHOOSE(CONTROL!$C$27, 0.0021, 0)</f>
        <v>51.438200000000002</v>
      </c>
      <c r="F439" s="17">
        <f>51.4361 * CHOOSE(CONTROL!$C$9, $D$9, 100%, $F$9) + CHOOSE(CONTROL!$C$27, 0.0021, 0)</f>
        <v>51.438200000000002</v>
      </c>
      <c r="G439" s="17">
        <f>51.7074 * CHOOSE(CONTROL!$C$9, $D$9, 100%, $F$9) + CHOOSE(CONTROL!$C$27, 0.0021, 0)</f>
        <v>51.709499999999998</v>
      </c>
      <c r="H439" s="17">
        <f>51.5727 * CHOOSE(CONTROL!$C$9, $D$9, 100%, $F$9) + CHOOSE(CONTROL!$C$27, 0.0021, 0)</f>
        <v>51.574799999999996</v>
      </c>
      <c r="I439" s="17">
        <f>51.5727 * CHOOSE(CONTROL!$C$9, $D$9, 100%, $F$9) + CHOOSE(CONTROL!$C$27, 0.0021, 0)</f>
        <v>51.574799999999996</v>
      </c>
      <c r="J439" s="17">
        <f>51.5727 * CHOOSE(CONTROL!$C$9, $D$9, 100%, $F$9) + CHOOSE(CONTROL!$C$27, 0.0021, 0)</f>
        <v>51.574799999999996</v>
      </c>
      <c r="K439" s="17">
        <f>51.5727 * CHOOSE(CONTROL!$C$9, $D$9, 100%, $F$9) + CHOOSE(CONTROL!$C$27, 0.0021, 0)</f>
        <v>51.574799999999996</v>
      </c>
      <c r="L439" s="17"/>
    </row>
    <row r="440" spans="1:12" ht="15.75" x14ac:dyDescent="0.25">
      <c r="A440" s="14">
        <v>54331</v>
      </c>
      <c r="B440" s="17">
        <f>53.0159 * CHOOSE(CONTROL!$C$9, $D$9, 100%, $F$9) + CHOOSE(CONTROL!$C$27, 0.0021, 0)</f>
        <v>53.018000000000001</v>
      </c>
      <c r="C440" s="17">
        <f>52.5836 * CHOOSE(CONTROL!$C$9, $D$9, 100%, $F$9) + CHOOSE(CONTROL!$C$27, 0.0021, 0)</f>
        <v>52.585699999999996</v>
      </c>
      <c r="D440" s="17">
        <f>52.5836 * CHOOSE(CONTROL!$C$9, $D$9, 100%, $F$9) + CHOOSE(CONTROL!$C$27, 0.0021, 0)</f>
        <v>52.585699999999996</v>
      </c>
      <c r="E440" s="17">
        <f>52.447 * CHOOSE(CONTROL!$C$9, $D$9, 100%, $F$9) + CHOOSE(CONTROL!$C$27, 0.0021, 0)</f>
        <v>52.449100000000001</v>
      </c>
      <c r="F440" s="17">
        <f>52.447 * CHOOSE(CONTROL!$C$9, $D$9, 100%, $F$9) + CHOOSE(CONTROL!$C$27, 0.0021, 0)</f>
        <v>52.449100000000001</v>
      </c>
      <c r="G440" s="17">
        <f>52.7184 * CHOOSE(CONTROL!$C$9, $D$9, 100%, $F$9) + CHOOSE(CONTROL!$C$27, 0.0021, 0)</f>
        <v>52.720500000000001</v>
      </c>
      <c r="H440" s="17">
        <f>52.5836 * CHOOSE(CONTROL!$C$9, $D$9, 100%, $F$9) + CHOOSE(CONTROL!$C$27, 0.0021, 0)</f>
        <v>52.585699999999996</v>
      </c>
      <c r="I440" s="17">
        <f>52.5836 * CHOOSE(CONTROL!$C$9, $D$9, 100%, $F$9) + CHOOSE(CONTROL!$C$27, 0.0021, 0)</f>
        <v>52.585699999999996</v>
      </c>
      <c r="J440" s="17">
        <f>52.5836 * CHOOSE(CONTROL!$C$9, $D$9, 100%, $F$9) + CHOOSE(CONTROL!$C$27, 0.0021, 0)</f>
        <v>52.585699999999996</v>
      </c>
      <c r="K440" s="17">
        <f>52.5836 * CHOOSE(CONTROL!$C$9, $D$9, 100%, $F$9) + CHOOSE(CONTROL!$C$27, 0.0021, 0)</f>
        <v>52.585699999999996</v>
      </c>
      <c r="L440" s="17"/>
    </row>
    <row r="441" spans="1:12" ht="15.75" x14ac:dyDescent="0.25">
      <c r="A441" s="14">
        <v>54362</v>
      </c>
      <c r="B441" s="17">
        <f>54.2955 * CHOOSE(CONTROL!$C$9, $D$9, 100%, $F$9) + CHOOSE(CONTROL!$C$27, 0.0021, 0)</f>
        <v>54.297599999999996</v>
      </c>
      <c r="C441" s="17">
        <f>53.8633 * CHOOSE(CONTROL!$C$9, $D$9, 100%, $F$9) + CHOOSE(CONTROL!$C$27, 0.0021, 0)</f>
        <v>53.865400000000001</v>
      </c>
      <c r="D441" s="17">
        <f>53.8633 * CHOOSE(CONTROL!$C$9, $D$9, 100%, $F$9) + CHOOSE(CONTROL!$C$27, 0.0021, 0)</f>
        <v>53.865400000000001</v>
      </c>
      <c r="E441" s="17">
        <f>53.7266 * CHOOSE(CONTROL!$C$9, $D$9, 100%, $F$9) + CHOOSE(CONTROL!$C$27, 0.0021, 0)</f>
        <v>53.728699999999996</v>
      </c>
      <c r="F441" s="17">
        <f>53.7266 * CHOOSE(CONTROL!$C$9, $D$9, 100%, $F$9) + CHOOSE(CONTROL!$C$27, 0.0021, 0)</f>
        <v>53.728699999999996</v>
      </c>
      <c r="G441" s="17">
        <f>53.998 * CHOOSE(CONTROL!$C$9, $D$9, 100%, $F$9) + CHOOSE(CONTROL!$C$27, 0.0021, 0)</f>
        <v>54.000099999999996</v>
      </c>
      <c r="H441" s="17">
        <f>53.8633 * CHOOSE(CONTROL!$C$9, $D$9, 100%, $F$9) + CHOOSE(CONTROL!$C$27, 0.0021, 0)</f>
        <v>53.865400000000001</v>
      </c>
      <c r="I441" s="17">
        <f>53.8633 * CHOOSE(CONTROL!$C$9, $D$9, 100%, $F$9) + CHOOSE(CONTROL!$C$27, 0.0021, 0)</f>
        <v>53.865400000000001</v>
      </c>
      <c r="J441" s="17">
        <f>53.8633 * CHOOSE(CONTROL!$C$9, $D$9, 100%, $F$9) + CHOOSE(CONTROL!$C$27, 0.0021, 0)</f>
        <v>53.865400000000001</v>
      </c>
      <c r="K441" s="17">
        <f>53.8633 * CHOOSE(CONTROL!$C$9, $D$9, 100%, $F$9) + CHOOSE(CONTROL!$C$27, 0.0021, 0)</f>
        <v>53.865400000000001</v>
      </c>
      <c r="L441" s="17"/>
    </row>
    <row r="442" spans="1:12" ht="15.75" x14ac:dyDescent="0.25">
      <c r="A442" s="14">
        <v>54392</v>
      </c>
      <c r="B442" s="17">
        <f>54.4156 * CHOOSE(CONTROL!$C$9, $D$9, 100%, $F$9) + CHOOSE(CONTROL!$C$27, 0.0021, 0)</f>
        <v>54.417699999999996</v>
      </c>
      <c r="C442" s="17">
        <f>53.9834 * CHOOSE(CONTROL!$C$9, $D$9, 100%, $F$9) + CHOOSE(CONTROL!$C$27, 0.0021, 0)</f>
        <v>53.985500000000002</v>
      </c>
      <c r="D442" s="17">
        <f>53.9834 * CHOOSE(CONTROL!$C$9, $D$9, 100%, $F$9) + CHOOSE(CONTROL!$C$27, 0.0021, 0)</f>
        <v>53.985500000000002</v>
      </c>
      <c r="E442" s="17">
        <f>53.8467 * CHOOSE(CONTROL!$C$9, $D$9, 100%, $F$9) + CHOOSE(CONTROL!$C$27, 0.0021, 0)</f>
        <v>53.848799999999997</v>
      </c>
      <c r="F442" s="17">
        <f>53.8467 * CHOOSE(CONTROL!$C$9, $D$9, 100%, $F$9) + CHOOSE(CONTROL!$C$27, 0.0021, 0)</f>
        <v>53.848799999999997</v>
      </c>
      <c r="G442" s="17">
        <f>54.1181 * CHOOSE(CONTROL!$C$9, $D$9, 100%, $F$9) + CHOOSE(CONTROL!$C$27, 0.0021, 0)</f>
        <v>54.120199999999997</v>
      </c>
      <c r="H442" s="17">
        <f>53.9834 * CHOOSE(CONTROL!$C$9, $D$9, 100%, $F$9) + CHOOSE(CONTROL!$C$27, 0.0021, 0)</f>
        <v>53.985500000000002</v>
      </c>
      <c r="I442" s="17">
        <f>53.9834 * CHOOSE(CONTROL!$C$9, $D$9, 100%, $F$9) + CHOOSE(CONTROL!$C$27, 0.0021, 0)</f>
        <v>53.985500000000002</v>
      </c>
      <c r="J442" s="17">
        <f>53.9834 * CHOOSE(CONTROL!$C$9, $D$9, 100%, $F$9) + CHOOSE(CONTROL!$C$27, 0.0021, 0)</f>
        <v>53.985500000000002</v>
      </c>
      <c r="K442" s="17">
        <f>53.9834 * CHOOSE(CONTROL!$C$9, $D$9, 100%, $F$9) + CHOOSE(CONTROL!$C$27, 0.0021, 0)</f>
        <v>53.985500000000002</v>
      </c>
      <c r="L442" s="17"/>
    </row>
    <row r="443" spans="1:12" ht="15.75" x14ac:dyDescent="0.25">
      <c r="A443" s="14">
        <v>54423</v>
      </c>
      <c r="B443" s="17">
        <f>53.3936 * CHOOSE(CONTROL!$C$9, $D$9, 100%, $F$9) + CHOOSE(CONTROL!$C$27, 0.0021, 0)</f>
        <v>53.395699999999998</v>
      </c>
      <c r="C443" s="17">
        <f>52.9614 * CHOOSE(CONTROL!$C$9, $D$9, 100%, $F$9) + CHOOSE(CONTROL!$C$27, 0.0021, 0)</f>
        <v>52.963499999999996</v>
      </c>
      <c r="D443" s="17">
        <f>52.9614 * CHOOSE(CONTROL!$C$9, $D$9, 100%, $F$9) + CHOOSE(CONTROL!$C$27, 0.0021, 0)</f>
        <v>52.963499999999996</v>
      </c>
      <c r="E443" s="17">
        <f>52.8247 * CHOOSE(CONTROL!$C$9, $D$9, 100%, $F$9) + CHOOSE(CONTROL!$C$27, 0.0021, 0)</f>
        <v>52.826799999999999</v>
      </c>
      <c r="F443" s="17">
        <f>52.8247 * CHOOSE(CONTROL!$C$9, $D$9, 100%, $F$9) + CHOOSE(CONTROL!$C$27, 0.0021, 0)</f>
        <v>52.826799999999999</v>
      </c>
      <c r="G443" s="17">
        <f>53.0961 * CHOOSE(CONTROL!$C$9, $D$9, 100%, $F$9) + CHOOSE(CONTROL!$C$27, 0.0021, 0)</f>
        <v>53.098199999999999</v>
      </c>
      <c r="H443" s="17">
        <f>52.9614 * CHOOSE(CONTROL!$C$9, $D$9, 100%, $F$9) + CHOOSE(CONTROL!$C$27, 0.0021, 0)</f>
        <v>52.963499999999996</v>
      </c>
      <c r="I443" s="17">
        <f>52.9614 * CHOOSE(CONTROL!$C$9, $D$9, 100%, $F$9) + CHOOSE(CONTROL!$C$27, 0.0021, 0)</f>
        <v>52.963499999999996</v>
      </c>
      <c r="J443" s="17">
        <f>52.9614 * CHOOSE(CONTROL!$C$9, $D$9, 100%, $F$9) + CHOOSE(CONTROL!$C$27, 0.0021, 0)</f>
        <v>52.963499999999996</v>
      </c>
      <c r="K443" s="17">
        <f>52.9614 * CHOOSE(CONTROL!$C$9, $D$9, 100%, $F$9) + CHOOSE(CONTROL!$C$27, 0.0021, 0)</f>
        <v>52.963499999999996</v>
      </c>
      <c r="L443" s="17"/>
    </row>
    <row r="444" spans="1:12" ht="15.75" x14ac:dyDescent="0.25">
      <c r="A444" s="14">
        <v>54454</v>
      </c>
      <c r="B444" s="17">
        <f>52.7477 * CHOOSE(CONTROL!$C$9, $D$9, 100%, $F$9) + CHOOSE(CONTROL!$C$27, 0.0021, 0)</f>
        <v>52.7498</v>
      </c>
      <c r="C444" s="17">
        <f>52.3154 * CHOOSE(CONTROL!$C$9, $D$9, 100%, $F$9) + CHOOSE(CONTROL!$C$27, 0.0021, 0)</f>
        <v>52.317499999999995</v>
      </c>
      <c r="D444" s="17">
        <f>52.3154 * CHOOSE(CONTROL!$C$9, $D$9, 100%, $F$9) + CHOOSE(CONTROL!$C$27, 0.0021, 0)</f>
        <v>52.317499999999995</v>
      </c>
      <c r="E444" s="17">
        <f>52.1788 * CHOOSE(CONTROL!$C$9, $D$9, 100%, $F$9) + CHOOSE(CONTROL!$C$27, 0.0021, 0)</f>
        <v>52.180900000000001</v>
      </c>
      <c r="F444" s="17">
        <f>52.1788 * CHOOSE(CONTROL!$C$9, $D$9, 100%, $F$9) + CHOOSE(CONTROL!$C$27, 0.0021, 0)</f>
        <v>52.180900000000001</v>
      </c>
      <c r="G444" s="17">
        <f>52.4501 * CHOOSE(CONTROL!$C$9, $D$9, 100%, $F$9) + CHOOSE(CONTROL!$C$27, 0.0021, 0)</f>
        <v>52.452199999999998</v>
      </c>
      <c r="H444" s="17">
        <f>52.3154 * CHOOSE(CONTROL!$C$9, $D$9, 100%, $F$9) + CHOOSE(CONTROL!$C$27, 0.0021, 0)</f>
        <v>52.317499999999995</v>
      </c>
      <c r="I444" s="17">
        <f>52.3154 * CHOOSE(CONTROL!$C$9, $D$9, 100%, $F$9) + CHOOSE(CONTROL!$C$27, 0.0021, 0)</f>
        <v>52.317499999999995</v>
      </c>
      <c r="J444" s="17">
        <f>52.3154 * CHOOSE(CONTROL!$C$9, $D$9, 100%, $F$9) + CHOOSE(CONTROL!$C$27, 0.0021, 0)</f>
        <v>52.317499999999995</v>
      </c>
      <c r="K444" s="17">
        <f>52.3154 * CHOOSE(CONTROL!$C$9, $D$9, 100%, $F$9) + CHOOSE(CONTROL!$C$27, 0.0021, 0)</f>
        <v>52.317499999999995</v>
      </c>
      <c r="L444" s="17"/>
    </row>
    <row r="445" spans="1:12" ht="15.75" x14ac:dyDescent="0.25">
      <c r="A445" s="14">
        <v>54482</v>
      </c>
      <c r="B445" s="17">
        <f>51.3205 * CHOOSE(CONTROL!$C$9, $D$9, 100%, $F$9) + CHOOSE(CONTROL!$C$27, 0.0021, 0)</f>
        <v>51.322600000000001</v>
      </c>
      <c r="C445" s="17">
        <f>50.8883 * CHOOSE(CONTROL!$C$9, $D$9, 100%, $F$9) + CHOOSE(CONTROL!$C$27, 0.0021, 0)</f>
        <v>50.8904</v>
      </c>
      <c r="D445" s="17">
        <f>50.8883 * CHOOSE(CONTROL!$C$9, $D$9, 100%, $F$9) + CHOOSE(CONTROL!$C$27, 0.0021, 0)</f>
        <v>50.8904</v>
      </c>
      <c r="E445" s="17">
        <f>50.7516 * CHOOSE(CONTROL!$C$9, $D$9, 100%, $F$9) + CHOOSE(CONTROL!$C$27, 0.0021, 0)</f>
        <v>50.753700000000002</v>
      </c>
      <c r="F445" s="17">
        <f>50.7516 * CHOOSE(CONTROL!$C$9, $D$9, 100%, $F$9) + CHOOSE(CONTROL!$C$27, 0.0021, 0)</f>
        <v>50.753700000000002</v>
      </c>
      <c r="G445" s="17">
        <f>51.023 * CHOOSE(CONTROL!$C$9, $D$9, 100%, $F$9) + CHOOSE(CONTROL!$C$27, 0.0021, 0)</f>
        <v>51.025100000000002</v>
      </c>
      <c r="H445" s="17">
        <f>50.8883 * CHOOSE(CONTROL!$C$9, $D$9, 100%, $F$9) + CHOOSE(CONTROL!$C$27, 0.0021, 0)</f>
        <v>50.8904</v>
      </c>
      <c r="I445" s="17">
        <f>50.8883 * CHOOSE(CONTROL!$C$9, $D$9, 100%, $F$9) + CHOOSE(CONTROL!$C$27, 0.0021, 0)</f>
        <v>50.8904</v>
      </c>
      <c r="J445" s="17">
        <f>50.8883 * CHOOSE(CONTROL!$C$9, $D$9, 100%, $F$9) + CHOOSE(CONTROL!$C$27, 0.0021, 0)</f>
        <v>50.8904</v>
      </c>
      <c r="K445" s="17">
        <f>50.8883 * CHOOSE(CONTROL!$C$9, $D$9, 100%, $F$9) + CHOOSE(CONTROL!$C$27, 0.0021, 0)</f>
        <v>50.8904</v>
      </c>
      <c r="L445" s="17"/>
    </row>
    <row r="446" spans="1:12" ht="15.75" x14ac:dyDescent="0.25">
      <c r="A446" s="14">
        <v>54513</v>
      </c>
      <c r="B446" s="17">
        <f>50.7314 * CHOOSE(CONTROL!$C$9, $D$9, 100%, $F$9) + CHOOSE(CONTROL!$C$27, 0.0021, 0)</f>
        <v>50.733499999999999</v>
      </c>
      <c r="C446" s="17">
        <f>50.2991 * CHOOSE(CONTROL!$C$9, $D$9, 100%, $F$9) + CHOOSE(CONTROL!$C$27, 0.0021, 0)</f>
        <v>50.301200000000001</v>
      </c>
      <c r="D446" s="17">
        <f>50.2991 * CHOOSE(CONTROL!$C$9, $D$9, 100%, $F$9) + CHOOSE(CONTROL!$C$27, 0.0021, 0)</f>
        <v>50.301200000000001</v>
      </c>
      <c r="E446" s="17">
        <f>50.1625 * CHOOSE(CONTROL!$C$9, $D$9, 100%, $F$9) + CHOOSE(CONTROL!$C$27, 0.0021, 0)</f>
        <v>50.1646</v>
      </c>
      <c r="F446" s="17">
        <f>50.1625 * CHOOSE(CONTROL!$C$9, $D$9, 100%, $F$9) + CHOOSE(CONTROL!$C$27, 0.0021, 0)</f>
        <v>50.1646</v>
      </c>
      <c r="G446" s="17">
        <f>50.4339 * CHOOSE(CONTROL!$C$9, $D$9, 100%, $F$9) + CHOOSE(CONTROL!$C$27, 0.0021, 0)</f>
        <v>50.436</v>
      </c>
      <c r="H446" s="17">
        <f>50.2991 * CHOOSE(CONTROL!$C$9, $D$9, 100%, $F$9) + CHOOSE(CONTROL!$C$27, 0.0021, 0)</f>
        <v>50.301200000000001</v>
      </c>
      <c r="I446" s="17">
        <f>50.2991 * CHOOSE(CONTROL!$C$9, $D$9, 100%, $F$9) + CHOOSE(CONTROL!$C$27, 0.0021, 0)</f>
        <v>50.301200000000001</v>
      </c>
      <c r="J446" s="17">
        <f>50.2991 * CHOOSE(CONTROL!$C$9, $D$9, 100%, $F$9) + CHOOSE(CONTROL!$C$27, 0.0021, 0)</f>
        <v>50.301200000000001</v>
      </c>
      <c r="K446" s="17">
        <f>50.2991 * CHOOSE(CONTROL!$C$9, $D$9, 100%, $F$9) + CHOOSE(CONTROL!$C$27, 0.0021, 0)</f>
        <v>50.301200000000001</v>
      </c>
      <c r="L446" s="17"/>
    </row>
    <row r="447" spans="1:12" ht="15.75" x14ac:dyDescent="0.25">
      <c r="A447" s="14">
        <v>54543</v>
      </c>
      <c r="B447" s="17">
        <f>50.028 * CHOOSE(CONTROL!$C$9, $D$9, 100%, $F$9) + CHOOSE(CONTROL!$C$27, 0.0021, 0)</f>
        <v>50.030099999999997</v>
      </c>
      <c r="C447" s="17">
        <f>49.5957 * CHOOSE(CONTROL!$C$9, $D$9, 100%, $F$9) + CHOOSE(CONTROL!$C$27, 0.0021, 0)</f>
        <v>49.597799999999999</v>
      </c>
      <c r="D447" s="17">
        <f>49.5957 * CHOOSE(CONTROL!$C$9, $D$9, 100%, $F$9) + CHOOSE(CONTROL!$C$27, 0.0021, 0)</f>
        <v>49.597799999999999</v>
      </c>
      <c r="E447" s="17">
        <f>49.4591 * CHOOSE(CONTROL!$C$9, $D$9, 100%, $F$9) + CHOOSE(CONTROL!$C$27, 0.0021, 0)</f>
        <v>49.461199999999998</v>
      </c>
      <c r="F447" s="17">
        <f>49.4591 * CHOOSE(CONTROL!$C$9, $D$9, 100%, $F$9) + CHOOSE(CONTROL!$C$27, 0.0021, 0)</f>
        <v>49.461199999999998</v>
      </c>
      <c r="G447" s="17">
        <f>49.7304 * CHOOSE(CONTROL!$C$9, $D$9, 100%, $F$9) + CHOOSE(CONTROL!$C$27, 0.0021, 0)</f>
        <v>49.732500000000002</v>
      </c>
      <c r="H447" s="17">
        <f>49.5957 * CHOOSE(CONTROL!$C$9, $D$9, 100%, $F$9) + CHOOSE(CONTROL!$C$27, 0.0021, 0)</f>
        <v>49.597799999999999</v>
      </c>
      <c r="I447" s="17">
        <f>49.5957 * CHOOSE(CONTROL!$C$9, $D$9, 100%, $F$9) + CHOOSE(CONTROL!$C$27, 0.0021, 0)</f>
        <v>49.597799999999999</v>
      </c>
      <c r="J447" s="17">
        <f>49.5957 * CHOOSE(CONTROL!$C$9, $D$9, 100%, $F$9) + CHOOSE(CONTROL!$C$27, 0.0021, 0)</f>
        <v>49.597799999999999</v>
      </c>
      <c r="K447" s="17">
        <f>49.5957 * CHOOSE(CONTROL!$C$9, $D$9, 100%, $F$9) + CHOOSE(CONTROL!$C$27, 0.0021, 0)</f>
        <v>49.597799999999999</v>
      </c>
      <c r="L447" s="17"/>
    </row>
    <row r="448" spans="1:12" ht="15.75" x14ac:dyDescent="0.25">
      <c r="A448" s="14">
        <v>54574</v>
      </c>
      <c r="B448" s="17">
        <f>51.0304 * CHOOSE(CONTROL!$C$9, $D$9, 100%, $F$9) + CHOOSE(CONTROL!$C$27, 0.0021, 0)</f>
        <v>51.032499999999999</v>
      </c>
      <c r="C448" s="17">
        <f>50.5982 * CHOOSE(CONTROL!$C$9, $D$9, 100%, $F$9) + CHOOSE(CONTROL!$C$27, 0.0021, 0)</f>
        <v>50.600299999999997</v>
      </c>
      <c r="D448" s="17">
        <f>50.5982 * CHOOSE(CONTROL!$C$9, $D$9, 100%, $F$9) + CHOOSE(CONTROL!$C$27, 0.0021, 0)</f>
        <v>50.600299999999997</v>
      </c>
      <c r="E448" s="17">
        <f>50.4615 * CHOOSE(CONTROL!$C$9, $D$9, 100%, $F$9) + CHOOSE(CONTROL!$C$27, 0.0021, 0)</f>
        <v>50.4636</v>
      </c>
      <c r="F448" s="17">
        <f>50.4615 * CHOOSE(CONTROL!$C$9, $D$9, 100%, $F$9) + CHOOSE(CONTROL!$C$27, 0.0021, 0)</f>
        <v>50.4636</v>
      </c>
      <c r="G448" s="17">
        <f>50.7329 * CHOOSE(CONTROL!$C$9, $D$9, 100%, $F$9) + CHOOSE(CONTROL!$C$27, 0.0021, 0)</f>
        <v>50.734999999999999</v>
      </c>
      <c r="H448" s="17">
        <f>50.5982 * CHOOSE(CONTROL!$C$9, $D$9, 100%, $F$9) + CHOOSE(CONTROL!$C$27, 0.0021, 0)</f>
        <v>50.600299999999997</v>
      </c>
      <c r="I448" s="17">
        <f>50.5982 * CHOOSE(CONTROL!$C$9, $D$9, 100%, $F$9) + CHOOSE(CONTROL!$C$27, 0.0021, 0)</f>
        <v>50.600299999999997</v>
      </c>
      <c r="J448" s="17">
        <f>50.5982 * CHOOSE(CONTROL!$C$9, $D$9, 100%, $F$9) + CHOOSE(CONTROL!$C$27, 0.0021, 0)</f>
        <v>50.600299999999997</v>
      </c>
      <c r="K448" s="17">
        <f>50.5982 * CHOOSE(CONTROL!$C$9, $D$9, 100%, $F$9) + CHOOSE(CONTROL!$C$27, 0.0021, 0)</f>
        <v>50.600299999999997</v>
      </c>
      <c r="L448" s="17"/>
    </row>
    <row r="449" spans="1:12" ht="15.75" x14ac:dyDescent="0.25">
      <c r="A449" s="14">
        <v>54604</v>
      </c>
      <c r="B449" s="17">
        <f>51.6309 * CHOOSE(CONTROL!$C$9, $D$9, 100%, $F$9) + CHOOSE(CONTROL!$C$27, 0.0021, 0)</f>
        <v>51.632999999999996</v>
      </c>
      <c r="C449" s="17">
        <f>51.1986 * CHOOSE(CONTROL!$C$9, $D$9, 100%, $F$9) + CHOOSE(CONTROL!$C$27, 0.0021, 0)</f>
        <v>51.200699999999998</v>
      </c>
      <c r="D449" s="17">
        <f>51.1986 * CHOOSE(CONTROL!$C$9, $D$9, 100%, $F$9) + CHOOSE(CONTROL!$C$27, 0.0021, 0)</f>
        <v>51.200699999999998</v>
      </c>
      <c r="E449" s="17">
        <f>51.062 * CHOOSE(CONTROL!$C$9, $D$9, 100%, $F$9) + CHOOSE(CONTROL!$C$27, 0.0021, 0)</f>
        <v>51.064099999999996</v>
      </c>
      <c r="F449" s="17">
        <f>51.062 * CHOOSE(CONTROL!$C$9, $D$9, 100%, $F$9) + CHOOSE(CONTROL!$C$27, 0.0021, 0)</f>
        <v>51.064099999999996</v>
      </c>
      <c r="G449" s="17">
        <f>51.3333 * CHOOSE(CONTROL!$C$9, $D$9, 100%, $F$9) + CHOOSE(CONTROL!$C$27, 0.0021, 0)</f>
        <v>51.3354</v>
      </c>
      <c r="H449" s="17">
        <f>51.1986 * CHOOSE(CONTROL!$C$9, $D$9, 100%, $F$9) + CHOOSE(CONTROL!$C$27, 0.0021, 0)</f>
        <v>51.200699999999998</v>
      </c>
      <c r="I449" s="17">
        <f>51.1986 * CHOOSE(CONTROL!$C$9, $D$9, 100%, $F$9) + CHOOSE(CONTROL!$C$27, 0.0021, 0)</f>
        <v>51.200699999999998</v>
      </c>
      <c r="J449" s="17">
        <f>51.1986 * CHOOSE(CONTROL!$C$9, $D$9, 100%, $F$9) + CHOOSE(CONTROL!$C$27, 0.0021, 0)</f>
        <v>51.200699999999998</v>
      </c>
      <c r="K449" s="17">
        <f>51.1986 * CHOOSE(CONTROL!$C$9, $D$9, 100%, $F$9) + CHOOSE(CONTROL!$C$27, 0.0021, 0)</f>
        <v>51.200699999999998</v>
      </c>
      <c r="L449" s="17"/>
    </row>
    <row r="450" spans="1:12" ht="15.75" x14ac:dyDescent="0.25">
      <c r="A450" s="14">
        <v>54635</v>
      </c>
      <c r="B450" s="17">
        <f>52.6214 * CHOOSE(CONTROL!$C$9, $D$9, 100%, $F$9) + CHOOSE(CONTROL!$C$27, 0.0021, 0)</f>
        <v>52.6235</v>
      </c>
      <c r="C450" s="17">
        <f>52.1891 * CHOOSE(CONTROL!$C$9, $D$9, 100%, $F$9) + CHOOSE(CONTROL!$C$27, 0.0021, 0)</f>
        <v>52.191200000000002</v>
      </c>
      <c r="D450" s="17">
        <f>52.1891 * CHOOSE(CONTROL!$C$9, $D$9, 100%, $F$9) + CHOOSE(CONTROL!$C$27, 0.0021, 0)</f>
        <v>52.191200000000002</v>
      </c>
      <c r="E450" s="17">
        <f>52.0525 * CHOOSE(CONTROL!$C$9, $D$9, 100%, $F$9) + CHOOSE(CONTROL!$C$27, 0.0021, 0)</f>
        <v>52.054600000000001</v>
      </c>
      <c r="F450" s="17">
        <f>52.0525 * CHOOSE(CONTROL!$C$9, $D$9, 100%, $F$9) + CHOOSE(CONTROL!$C$27, 0.0021, 0)</f>
        <v>52.054600000000001</v>
      </c>
      <c r="G450" s="17">
        <f>52.3238 * CHOOSE(CONTROL!$C$9, $D$9, 100%, $F$9) + CHOOSE(CONTROL!$C$27, 0.0021, 0)</f>
        <v>52.325899999999997</v>
      </c>
      <c r="H450" s="17">
        <f>52.1891 * CHOOSE(CONTROL!$C$9, $D$9, 100%, $F$9) + CHOOSE(CONTROL!$C$27, 0.0021, 0)</f>
        <v>52.191200000000002</v>
      </c>
      <c r="I450" s="17">
        <f>52.1891 * CHOOSE(CONTROL!$C$9, $D$9, 100%, $F$9) + CHOOSE(CONTROL!$C$27, 0.0021, 0)</f>
        <v>52.191200000000002</v>
      </c>
      <c r="J450" s="17">
        <f>52.1891 * CHOOSE(CONTROL!$C$9, $D$9, 100%, $F$9) + CHOOSE(CONTROL!$C$27, 0.0021, 0)</f>
        <v>52.191200000000002</v>
      </c>
      <c r="K450" s="17">
        <f>52.1891 * CHOOSE(CONTROL!$C$9, $D$9, 100%, $F$9) + CHOOSE(CONTROL!$C$27, 0.0021, 0)</f>
        <v>52.191200000000002</v>
      </c>
      <c r="L450" s="17"/>
    </row>
    <row r="451" spans="1:12" ht="15.75" x14ac:dyDescent="0.25">
      <c r="A451" s="14">
        <v>54666</v>
      </c>
      <c r="B451" s="17">
        <f>52.9237 * CHOOSE(CONTROL!$C$9, $D$9, 100%, $F$9) + CHOOSE(CONTROL!$C$27, 0.0021, 0)</f>
        <v>52.925799999999995</v>
      </c>
      <c r="C451" s="17">
        <f>52.4915 * CHOOSE(CONTROL!$C$9, $D$9, 100%, $F$9) + CHOOSE(CONTROL!$C$27, 0.0021, 0)</f>
        <v>52.493600000000001</v>
      </c>
      <c r="D451" s="17">
        <f>52.4915 * CHOOSE(CONTROL!$C$9, $D$9, 100%, $F$9) + CHOOSE(CONTROL!$C$27, 0.0021, 0)</f>
        <v>52.493600000000001</v>
      </c>
      <c r="E451" s="17">
        <f>52.3548 * CHOOSE(CONTROL!$C$9, $D$9, 100%, $F$9) + CHOOSE(CONTROL!$C$27, 0.0021, 0)</f>
        <v>52.356899999999996</v>
      </c>
      <c r="F451" s="17">
        <f>52.3548 * CHOOSE(CONTROL!$C$9, $D$9, 100%, $F$9) + CHOOSE(CONTROL!$C$27, 0.0021, 0)</f>
        <v>52.356899999999996</v>
      </c>
      <c r="G451" s="17">
        <f>52.6262 * CHOOSE(CONTROL!$C$9, $D$9, 100%, $F$9) + CHOOSE(CONTROL!$C$27, 0.0021, 0)</f>
        <v>52.628299999999996</v>
      </c>
      <c r="H451" s="17">
        <f>52.4915 * CHOOSE(CONTROL!$C$9, $D$9, 100%, $F$9) + CHOOSE(CONTROL!$C$27, 0.0021, 0)</f>
        <v>52.493600000000001</v>
      </c>
      <c r="I451" s="17">
        <f>52.4915 * CHOOSE(CONTROL!$C$9, $D$9, 100%, $F$9) + CHOOSE(CONTROL!$C$27, 0.0021, 0)</f>
        <v>52.493600000000001</v>
      </c>
      <c r="J451" s="17">
        <f>52.4915 * CHOOSE(CONTROL!$C$9, $D$9, 100%, $F$9) + CHOOSE(CONTROL!$C$27, 0.0021, 0)</f>
        <v>52.493600000000001</v>
      </c>
      <c r="K451" s="17">
        <f>52.4915 * CHOOSE(CONTROL!$C$9, $D$9, 100%, $F$9) + CHOOSE(CONTROL!$C$27, 0.0021, 0)</f>
        <v>52.493600000000001</v>
      </c>
      <c r="L451" s="17"/>
    </row>
    <row r="452" spans="1:12" ht="15.75" x14ac:dyDescent="0.25">
      <c r="A452" s="14">
        <v>54696</v>
      </c>
      <c r="B452" s="17">
        <f>53.9533 * CHOOSE(CONTROL!$C$9, $D$9, 100%, $F$9) + CHOOSE(CONTROL!$C$27, 0.0021, 0)</f>
        <v>53.955399999999997</v>
      </c>
      <c r="C452" s="17">
        <f>53.521 * CHOOSE(CONTROL!$C$9, $D$9, 100%, $F$9) + CHOOSE(CONTROL!$C$27, 0.0021, 0)</f>
        <v>53.523099999999999</v>
      </c>
      <c r="D452" s="17">
        <f>53.521 * CHOOSE(CONTROL!$C$9, $D$9, 100%, $F$9) + CHOOSE(CONTROL!$C$27, 0.0021, 0)</f>
        <v>53.523099999999999</v>
      </c>
      <c r="E452" s="17">
        <f>53.3844 * CHOOSE(CONTROL!$C$9, $D$9, 100%, $F$9) + CHOOSE(CONTROL!$C$27, 0.0021, 0)</f>
        <v>53.386499999999998</v>
      </c>
      <c r="F452" s="17">
        <f>53.3844 * CHOOSE(CONTROL!$C$9, $D$9, 100%, $F$9) + CHOOSE(CONTROL!$C$27, 0.0021, 0)</f>
        <v>53.386499999999998</v>
      </c>
      <c r="G452" s="17">
        <f>53.6558 * CHOOSE(CONTROL!$C$9, $D$9, 100%, $F$9) + CHOOSE(CONTROL!$C$27, 0.0021, 0)</f>
        <v>53.657899999999998</v>
      </c>
      <c r="H452" s="17">
        <f>53.521 * CHOOSE(CONTROL!$C$9, $D$9, 100%, $F$9) + CHOOSE(CONTROL!$C$27, 0.0021, 0)</f>
        <v>53.523099999999999</v>
      </c>
      <c r="I452" s="17">
        <f>53.521 * CHOOSE(CONTROL!$C$9, $D$9, 100%, $F$9) + CHOOSE(CONTROL!$C$27, 0.0021, 0)</f>
        <v>53.523099999999999</v>
      </c>
      <c r="J452" s="17">
        <f>53.521 * CHOOSE(CONTROL!$C$9, $D$9, 100%, $F$9) + CHOOSE(CONTROL!$C$27, 0.0021, 0)</f>
        <v>53.523099999999999</v>
      </c>
      <c r="K452" s="17">
        <f>53.521 * CHOOSE(CONTROL!$C$9, $D$9, 100%, $F$9) + CHOOSE(CONTROL!$C$27, 0.0021, 0)</f>
        <v>53.523099999999999</v>
      </c>
      <c r="L452" s="17"/>
    </row>
    <row r="453" spans="1:12" ht="15.75" x14ac:dyDescent="0.25">
      <c r="A453" s="14">
        <v>54727</v>
      </c>
      <c r="B453" s="17">
        <f>55.2566 * CHOOSE(CONTROL!$C$9, $D$9, 100%, $F$9) + CHOOSE(CONTROL!$C$27, 0.0021, 0)</f>
        <v>55.258699999999997</v>
      </c>
      <c r="C453" s="17">
        <f>54.8243 * CHOOSE(CONTROL!$C$9, $D$9, 100%, $F$9) + CHOOSE(CONTROL!$C$27, 0.0021, 0)</f>
        <v>54.8264</v>
      </c>
      <c r="D453" s="17">
        <f>54.8243 * CHOOSE(CONTROL!$C$9, $D$9, 100%, $F$9) + CHOOSE(CONTROL!$C$27, 0.0021, 0)</f>
        <v>54.8264</v>
      </c>
      <c r="E453" s="17">
        <f>54.6877 * CHOOSE(CONTROL!$C$9, $D$9, 100%, $F$9) + CHOOSE(CONTROL!$C$27, 0.0021, 0)</f>
        <v>54.689799999999998</v>
      </c>
      <c r="F453" s="17">
        <f>54.6877 * CHOOSE(CONTROL!$C$9, $D$9, 100%, $F$9) + CHOOSE(CONTROL!$C$27, 0.0021, 0)</f>
        <v>54.689799999999998</v>
      </c>
      <c r="G453" s="17">
        <f>54.959 * CHOOSE(CONTROL!$C$9, $D$9, 100%, $F$9) + CHOOSE(CONTROL!$C$27, 0.0021, 0)</f>
        <v>54.961100000000002</v>
      </c>
      <c r="H453" s="17">
        <f>54.8243 * CHOOSE(CONTROL!$C$9, $D$9, 100%, $F$9) + CHOOSE(CONTROL!$C$27, 0.0021, 0)</f>
        <v>54.8264</v>
      </c>
      <c r="I453" s="17">
        <f>54.8243 * CHOOSE(CONTROL!$C$9, $D$9, 100%, $F$9) + CHOOSE(CONTROL!$C$27, 0.0021, 0)</f>
        <v>54.8264</v>
      </c>
      <c r="J453" s="17">
        <f>54.8243 * CHOOSE(CONTROL!$C$9, $D$9, 100%, $F$9) + CHOOSE(CONTROL!$C$27, 0.0021, 0)</f>
        <v>54.8264</v>
      </c>
      <c r="K453" s="17">
        <f>54.8243 * CHOOSE(CONTROL!$C$9, $D$9, 100%, $F$9) + CHOOSE(CONTROL!$C$27, 0.0021, 0)</f>
        <v>54.8264</v>
      </c>
      <c r="L453" s="17"/>
    </row>
    <row r="454" spans="1:12" ht="15.75" x14ac:dyDescent="0.25">
      <c r="A454" s="14">
        <v>54757</v>
      </c>
      <c r="B454" s="17">
        <f>55.3789 * CHOOSE(CONTROL!$C$9, $D$9, 100%, $F$9) + CHOOSE(CONTROL!$C$27, 0.0021, 0)</f>
        <v>55.381</v>
      </c>
      <c r="C454" s="17">
        <f>54.9467 * CHOOSE(CONTROL!$C$9, $D$9, 100%, $F$9) + CHOOSE(CONTROL!$C$27, 0.0021, 0)</f>
        <v>54.948799999999999</v>
      </c>
      <c r="D454" s="17">
        <f>54.9467 * CHOOSE(CONTROL!$C$9, $D$9, 100%, $F$9) + CHOOSE(CONTROL!$C$27, 0.0021, 0)</f>
        <v>54.948799999999999</v>
      </c>
      <c r="E454" s="17">
        <f>54.81 * CHOOSE(CONTROL!$C$9, $D$9, 100%, $F$9) + CHOOSE(CONTROL!$C$27, 0.0021, 0)</f>
        <v>54.812100000000001</v>
      </c>
      <c r="F454" s="17">
        <f>54.81 * CHOOSE(CONTROL!$C$9, $D$9, 100%, $F$9) + CHOOSE(CONTROL!$C$27, 0.0021, 0)</f>
        <v>54.812100000000001</v>
      </c>
      <c r="G454" s="17">
        <f>55.0814 * CHOOSE(CONTROL!$C$9, $D$9, 100%, $F$9) + CHOOSE(CONTROL!$C$27, 0.0021, 0)</f>
        <v>55.083500000000001</v>
      </c>
      <c r="H454" s="17">
        <f>54.9467 * CHOOSE(CONTROL!$C$9, $D$9, 100%, $F$9) + CHOOSE(CONTROL!$C$27, 0.0021, 0)</f>
        <v>54.948799999999999</v>
      </c>
      <c r="I454" s="17">
        <f>54.9467 * CHOOSE(CONTROL!$C$9, $D$9, 100%, $F$9) + CHOOSE(CONTROL!$C$27, 0.0021, 0)</f>
        <v>54.948799999999999</v>
      </c>
      <c r="J454" s="17">
        <f>54.9467 * CHOOSE(CONTROL!$C$9, $D$9, 100%, $F$9) + CHOOSE(CONTROL!$C$27, 0.0021, 0)</f>
        <v>54.948799999999999</v>
      </c>
      <c r="K454" s="17">
        <f>54.9467 * CHOOSE(CONTROL!$C$9, $D$9, 100%, $F$9) + CHOOSE(CONTROL!$C$27, 0.0021, 0)</f>
        <v>54.948799999999999</v>
      </c>
      <c r="L454" s="17"/>
    </row>
    <row r="455" spans="1:12" ht="15.75" x14ac:dyDescent="0.25">
      <c r="A455" s="14">
        <v>54788</v>
      </c>
      <c r="B455" s="17">
        <f>54.338 * CHOOSE(CONTROL!$C$9, $D$9, 100%, $F$9) + CHOOSE(CONTROL!$C$27, 0.0021, 0)</f>
        <v>54.3401</v>
      </c>
      <c r="C455" s="17">
        <f>53.9058 * CHOOSE(CONTROL!$C$9, $D$9, 100%, $F$9) + CHOOSE(CONTROL!$C$27, 0.0021, 0)</f>
        <v>53.907899999999998</v>
      </c>
      <c r="D455" s="17">
        <f>53.9058 * CHOOSE(CONTROL!$C$9, $D$9, 100%, $F$9) + CHOOSE(CONTROL!$C$27, 0.0021, 0)</f>
        <v>53.907899999999998</v>
      </c>
      <c r="E455" s="17">
        <f>53.7691 * CHOOSE(CONTROL!$C$9, $D$9, 100%, $F$9) + CHOOSE(CONTROL!$C$27, 0.0021, 0)</f>
        <v>53.7712</v>
      </c>
      <c r="F455" s="17">
        <f>53.7691 * CHOOSE(CONTROL!$C$9, $D$9, 100%, $F$9) + CHOOSE(CONTROL!$C$27, 0.0021, 0)</f>
        <v>53.7712</v>
      </c>
      <c r="G455" s="17">
        <f>54.0405 * CHOOSE(CONTROL!$C$9, $D$9, 100%, $F$9) + CHOOSE(CONTROL!$C$27, 0.0021, 0)</f>
        <v>54.0426</v>
      </c>
      <c r="H455" s="17">
        <f>53.9058 * CHOOSE(CONTROL!$C$9, $D$9, 100%, $F$9) + CHOOSE(CONTROL!$C$27, 0.0021, 0)</f>
        <v>53.907899999999998</v>
      </c>
      <c r="I455" s="17">
        <f>53.9058 * CHOOSE(CONTROL!$C$9, $D$9, 100%, $F$9) + CHOOSE(CONTROL!$C$27, 0.0021, 0)</f>
        <v>53.907899999999998</v>
      </c>
      <c r="J455" s="17">
        <f>53.9058 * CHOOSE(CONTROL!$C$9, $D$9, 100%, $F$9) + CHOOSE(CONTROL!$C$27, 0.0021, 0)</f>
        <v>53.907899999999998</v>
      </c>
      <c r="K455" s="17">
        <f>53.9058 * CHOOSE(CONTROL!$C$9, $D$9, 100%, $F$9) + CHOOSE(CONTROL!$C$27, 0.0021, 0)</f>
        <v>53.907899999999998</v>
      </c>
      <c r="L455" s="17"/>
    </row>
    <row r="456" spans="1:12" ht="15.75" x14ac:dyDescent="0.25">
      <c r="A456" s="14">
        <v>54819</v>
      </c>
      <c r="B456" s="17">
        <f>53.6801 * CHOOSE(CONTROL!$C$9, $D$9, 100%, $F$9) + CHOOSE(CONTROL!$C$27, 0.0021, 0)</f>
        <v>53.682200000000002</v>
      </c>
      <c r="C456" s="17">
        <f>53.2479 * CHOOSE(CONTROL!$C$9, $D$9, 100%, $F$9) + CHOOSE(CONTROL!$C$27, 0.0021, 0)</f>
        <v>53.25</v>
      </c>
      <c r="D456" s="17">
        <f>53.2479 * CHOOSE(CONTROL!$C$9, $D$9, 100%, $F$9) + CHOOSE(CONTROL!$C$27, 0.0021, 0)</f>
        <v>53.25</v>
      </c>
      <c r="E456" s="17">
        <f>53.1112 * CHOOSE(CONTROL!$C$9, $D$9, 100%, $F$9) + CHOOSE(CONTROL!$C$27, 0.0021, 0)</f>
        <v>53.113299999999995</v>
      </c>
      <c r="F456" s="17">
        <f>53.1112 * CHOOSE(CONTROL!$C$9, $D$9, 100%, $F$9) + CHOOSE(CONTROL!$C$27, 0.0021, 0)</f>
        <v>53.113299999999995</v>
      </c>
      <c r="G456" s="17">
        <f>53.3826 * CHOOSE(CONTROL!$C$9, $D$9, 100%, $F$9) + CHOOSE(CONTROL!$C$27, 0.0021, 0)</f>
        <v>53.384699999999995</v>
      </c>
      <c r="H456" s="17">
        <f>53.2479 * CHOOSE(CONTROL!$C$9, $D$9, 100%, $F$9) + CHOOSE(CONTROL!$C$27, 0.0021, 0)</f>
        <v>53.25</v>
      </c>
      <c r="I456" s="17">
        <f>53.2479 * CHOOSE(CONTROL!$C$9, $D$9, 100%, $F$9) + CHOOSE(CONTROL!$C$27, 0.0021, 0)</f>
        <v>53.25</v>
      </c>
      <c r="J456" s="17">
        <f>53.2479 * CHOOSE(CONTROL!$C$9, $D$9, 100%, $F$9) + CHOOSE(CONTROL!$C$27, 0.0021, 0)</f>
        <v>53.25</v>
      </c>
      <c r="K456" s="17">
        <f>53.2479 * CHOOSE(CONTROL!$C$9, $D$9, 100%, $F$9) + CHOOSE(CONTROL!$C$27, 0.0021, 0)</f>
        <v>53.25</v>
      </c>
      <c r="L456" s="17"/>
    </row>
    <row r="457" spans="1:12" ht="15.75" x14ac:dyDescent="0.25">
      <c r="A457" s="14">
        <v>54847</v>
      </c>
      <c r="B457" s="17">
        <f>52.2266 * CHOOSE(CONTROL!$C$9, $D$9, 100%, $F$9) + CHOOSE(CONTROL!$C$27, 0.0021, 0)</f>
        <v>52.228699999999996</v>
      </c>
      <c r="C457" s="17">
        <f>51.7943 * CHOOSE(CONTROL!$C$9, $D$9, 100%, $F$9) + CHOOSE(CONTROL!$C$27, 0.0021, 0)</f>
        <v>51.796399999999998</v>
      </c>
      <c r="D457" s="17">
        <f>51.7943 * CHOOSE(CONTROL!$C$9, $D$9, 100%, $F$9) + CHOOSE(CONTROL!$C$27, 0.0021, 0)</f>
        <v>51.796399999999998</v>
      </c>
      <c r="E457" s="17">
        <f>51.6577 * CHOOSE(CONTROL!$C$9, $D$9, 100%, $F$9) + CHOOSE(CONTROL!$C$27, 0.0021, 0)</f>
        <v>51.659799999999997</v>
      </c>
      <c r="F457" s="17">
        <f>51.6577 * CHOOSE(CONTROL!$C$9, $D$9, 100%, $F$9) + CHOOSE(CONTROL!$C$27, 0.0021, 0)</f>
        <v>51.659799999999997</v>
      </c>
      <c r="G457" s="17">
        <f>51.9291 * CHOOSE(CONTROL!$C$9, $D$9, 100%, $F$9) + CHOOSE(CONTROL!$C$27, 0.0021, 0)</f>
        <v>51.931199999999997</v>
      </c>
      <c r="H457" s="17">
        <f>51.7943 * CHOOSE(CONTROL!$C$9, $D$9, 100%, $F$9) + CHOOSE(CONTROL!$C$27, 0.0021, 0)</f>
        <v>51.796399999999998</v>
      </c>
      <c r="I457" s="17">
        <f>51.7943 * CHOOSE(CONTROL!$C$9, $D$9, 100%, $F$9) + CHOOSE(CONTROL!$C$27, 0.0021, 0)</f>
        <v>51.796399999999998</v>
      </c>
      <c r="J457" s="17">
        <f>51.7943 * CHOOSE(CONTROL!$C$9, $D$9, 100%, $F$9) + CHOOSE(CONTROL!$C$27, 0.0021, 0)</f>
        <v>51.796399999999998</v>
      </c>
      <c r="K457" s="17">
        <f>51.7943 * CHOOSE(CONTROL!$C$9, $D$9, 100%, $F$9) + CHOOSE(CONTROL!$C$27, 0.0021, 0)</f>
        <v>51.796399999999998</v>
      </c>
      <c r="L457" s="17"/>
    </row>
    <row r="458" spans="1:12" ht="15.75" x14ac:dyDescent="0.25">
      <c r="A458" s="14">
        <v>54878</v>
      </c>
      <c r="B458" s="17">
        <f>51.6266 * CHOOSE(CONTROL!$C$9, $D$9, 100%, $F$9) + CHOOSE(CONTROL!$C$27, 0.0021, 0)</f>
        <v>51.628700000000002</v>
      </c>
      <c r="C458" s="17">
        <f>51.1943 * CHOOSE(CONTROL!$C$9, $D$9, 100%, $F$9) + CHOOSE(CONTROL!$C$27, 0.0021, 0)</f>
        <v>51.196399999999997</v>
      </c>
      <c r="D458" s="17">
        <f>51.1943 * CHOOSE(CONTROL!$C$9, $D$9, 100%, $F$9) + CHOOSE(CONTROL!$C$27, 0.0021, 0)</f>
        <v>51.196399999999997</v>
      </c>
      <c r="E458" s="17">
        <f>51.0577 * CHOOSE(CONTROL!$C$9, $D$9, 100%, $F$9) + CHOOSE(CONTROL!$C$27, 0.0021, 0)</f>
        <v>51.059799999999996</v>
      </c>
      <c r="F458" s="17">
        <f>51.0577 * CHOOSE(CONTROL!$C$9, $D$9, 100%, $F$9) + CHOOSE(CONTROL!$C$27, 0.0021, 0)</f>
        <v>51.059799999999996</v>
      </c>
      <c r="G458" s="17">
        <f>51.3291 * CHOOSE(CONTROL!$C$9, $D$9, 100%, $F$9) + CHOOSE(CONTROL!$C$27, 0.0021, 0)</f>
        <v>51.331199999999995</v>
      </c>
      <c r="H458" s="17">
        <f>51.1943 * CHOOSE(CONTROL!$C$9, $D$9, 100%, $F$9) + CHOOSE(CONTROL!$C$27, 0.0021, 0)</f>
        <v>51.196399999999997</v>
      </c>
      <c r="I458" s="17">
        <f>51.1943 * CHOOSE(CONTROL!$C$9, $D$9, 100%, $F$9) + CHOOSE(CONTROL!$C$27, 0.0021, 0)</f>
        <v>51.196399999999997</v>
      </c>
      <c r="J458" s="17">
        <f>51.1943 * CHOOSE(CONTROL!$C$9, $D$9, 100%, $F$9) + CHOOSE(CONTROL!$C$27, 0.0021, 0)</f>
        <v>51.196399999999997</v>
      </c>
      <c r="K458" s="17">
        <f>51.1943 * CHOOSE(CONTROL!$C$9, $D$9, 100%, $F$9) + CHOOSE(CONTROL!$C$27, 0.0021, 0)</f>
        <v>51.196399999999997</v>
      </c>
      <c r="L458" s="17"/>
    </row>
    <row r="459" spans="1:12" ht="15.75" x14ac:dyDescent="0.25">
      <c r="A459" s="14">
        <v>54908</v>
      </c>
      <c r="B459" s="17">
        <f>50.9102 * CHOOSE(CONTROL!$C$9, $D$9, 100%, $F$9) + CHOOSE(CONTROL!$C$27, 0.0021, 0)</f>
        <v>50.912300000000002</v>
      </c>
      <c r="C459" s="17">
        <f>50.4779 * CHOOSE(CONTROL!$C$9, $D$9, 100%, $F$9) + CHOOSE(CONTROL!$C$27, 0.0021, 0)</f>
        <v>50.48</v>
      </c>
      <c r="D459" s="17">
        <f>50.4779 * CHOOSE(CONTROL!$C$9, $D$9, 100%, $F$9) + CHOOSE(CONTROL!$C$27, 0.0021, 0)</f>
        <v>50.48</v>
      </c>
      <c r="E459" s="17">
        <f>50.3412 * CHOOSE(CONTROL!$C$9, $D$9, 100%, $F$9) + CHOOSE(CONTROL!$C$27, 0.0021, 0)</f>
        <v>50.343299999999999</v>
      </c>
      <c r="F459" s="17">
        <f>50.3412 * CHOOSE(CONTROL!$C$9, $D$9, 100%, $F$9) + CHOOSE(CONTROL!$C$27, 0.0021, 0)</f>
        <v>50.343299999999999</v>
      </c>
      <c r="G459" s="17">
        <f>50.6126 * CHOOSE(CONTROL!$C$9, $D$9, 100%, $F$9) + CHOOSE(CONTROL!$C$27, 0.0021, 0)</f>
        <v>50.614699999999999</v>
      </c>
      <c r="H459" s="17">
        <f>50.4779 * CHOOSE(CONTROL!$C$9, $D$9, 100%, $F$9) + CHOOSE(CONTROL!$C$27, 0.0021, 0)</f>
        <v>50.48</v>
      </c>
      <c r="I459" s="17">
        <f>50.4779 * CHOOSE(CONTROL!$C$9, $D$9, 100%, $F$9) + CHOOSE(CONTROL!$C$27, 0.0021, 0)</f>
        <v>50.48</v>
      </c>
      <c r="J459" s="17">
        <f>50.4779 * CHOOSE(CONTROL!$C$9, $D$9, 100%, $F$9) + CHOOSE(CONTROL!$C$27, 0.0021, 0)</f>
        <v>50.48</v>
      </c>
      <c r="K459" s="17">
        <f>50.4779 * CHOOSE(CONTROL!$C$9, $D$9, 100%, $F$9) + CHOOSE(CONTROL!$C$27, 0.0021, 0)</f>
        <v>50.48</v>
      </c>
      <c r="L459" s="17"/>
    </row>
    <row r="460" spans="1:12" ht="15.75" x14ac:dyDescent="0.25">
      <c r="A460" s="14">
        <v>54939</v>
      </c>
      <c r="B460" s="17">
        <f>51.9311 * CHOOSE(CONTROL!$C$9, $D$9, 100%, $F$9) + CHOOSE(CONTROL!$C$27, 0.0021, 0)</f>
        <v>51.933199999999999</v>
      </c>
      <c r="C460" s="17">
        <f>51.4989 * CHOOSE(CONTROL!$C$9, $D$9, 100%, $F$9) + CHOOSE(CONTROL!$C$27, 0.0021, 0)</f>
        <v>51.500999999999998</v>
      </c>
      <c r="D460" s="17">
        <f>51.4989 * CHOOSE(CONTROL!$C$9, $D$9, 100%, $F$9) + CHOOSE(CONTROL!$C$27, 0.0021, 0)</f>
        <v>51.500999999999998</v>
      </c>
      <c r="E460" s="17">
        <f>51.3622 * CHOOSE(CONTROL!$C$9, $D$9, 100%, $F$9) + CHOOSE(CONTROL!$C$27, 0.0021, 0)</f>
        <v>51.3643</v>
      </c>
      <c r="F460" s="17">
        <f>51.3622 * CHOOSE(CONTROL!$C$9, $D$9, 100%, $F$9) + CHOOSE(CONTROL!$C$27, 0.0021, 0)</f>
        <v>51.3643</v>
      </c>
      <c r="G460" s="17">
        <f>51.6336 * CHOOSE(CONTROL!$C$9, $D$9, 100%, $F$9) + CHOOSE(CONTROL!$C$27, 0.0021, 0)</f>
        <v>51.6357</v>
      </c>
      <c r="H460" s="17">
        <f>51.4989 * CHOOSE(CONTROL!$C$9, $D$9, 100%, $F$9) + CHOOSE(CONTROL!$C$27, 0.0021, 0)</f>
        <v>51.500999999999998</v>
      </c>
      <c r="I460" s="17">
        <f>51.4989 * CHOOSE(CONTROL!$C$9, $D$9, 100%, $F$9) + CHOOSE(CONTROL!$C$27, 0.0021, 0)</f>
        <v>51.500999999999998</v>
      </c>
      <c r="J460" s="17">
        <f>51.4989 * CHOOSE(CONTROL!$C$9, $D$9, 100%, $F$9) + CHOOSE(CONTROL!$C$27, 0.0021, 0)</f>
        <v>51.500999999999998</v>
      </c>
      <c r="K460" s="17">
        <f>51.4989 * CHOOSE(CONTROL!$C$9, $D$9, 100%, $F$9) + CHOOSE(CONTROL!$C$27, 0.0021, 0)</f>
        <v>51.500999999999998</v>
      </c>
      <c r="L460" s="17"/>
    </row>
    <row r="461" spans="1:12" ht="15.75" x14ac:dyDescent="0.25">
      <c r="A461" s="14">
        <v>54969</v>
      </c>
      <c r="B461" s="17">
        <f>52.5427 * CHOOSE(CONTROL!$C$9, $D$9, 100%, $F$9) + CHOOSE(CONTROL!$C$27, 0.0021, 0)</f>
        <v>52.544800000000002</v>
      </c>
      <c r="C461" s="17">
        <f>52.1104 * CHOOSE(CONTROL!$C$9, $D$9, 100%, $F$9) + CHOOSE(CONTROL!$C$27, 0.0021, 0)</f>
        <v>52.112499999999997</v>
      </c>
      <c r="D461" s="17">
        <f>52.1104 * CHOOSE(CONTROL!$C$9, $D$9, 100%, $F$9) + CHOOSE(CONTROL!$C$27, 0.0021, 0)</f>
        <v>52.112499999999997</v>
      </c>
      <c r="E461" s="17">
        <f>51.9738 * CHOOSE(CONTROL!$C$9, $D$9, 100%, $F$9) + CHOOSE(CONTROL!$C$27, 0.0021, 0)</f>
        <v>51.975899999999996</v>
      </c>
      <c r="F461" s="17">
        <f>51.9738 * CHOOSE(CONTROL!$C$9, $D$9, 100%, $F$9) + CHOOSE(CONTROL!$C$27, 0.0021, 0)</f>
        <v>51.975899999999996</v>
      </c>
      <c r="G461" s="17">
        <f>52.2452 * CHOOSE(CONTROL!$C$9, $D$9, 100%, $F$9) + CHOOSE(CONTROL!$C$27, 0.0021, 0)</f>
        <v>52.247299999999996</v>
      </c>
      <c r="H461" s="17">
        <f>52.1104 * CHOOSE(CONTROL!$C$9, $D$9, 100%, $F$9) + CHOOSE(CONTROL!$C$27, 0.0021, 0)</f>
        <v>52.112499999999997</v>
      </c>
      <c r="I461" s="17">
        <f>52.1104 * CHOOSE(CONTROL!$C$9, $D$9, 100%, $F$9) + CHOOSE(CONTROL!$C$27, 0.0021, 0)</f>
        <v>52.112499999999997</v>
      </c>
      <c r="J461" s="17">
        <f>52.1104 * CHOOSE(CONTROL!$C$9, $D$9, 100%, $F$9) + CHOOSE(CONTROL!$C$27, 0.0021, 0)</f>
        <v>52.112499999999997</v>
      </c>
      <c r="K461" s="17">
        <f>52.1104 * CHOOSE(CONTROL!$C$9, $D$9, 100%, $F$9) + CHOOSE(CONTROL!$C$27, 0.0021, 0)</f>
        <v>52.112499999999997</v>
      </c>
      <c r="L461" s="17"/>
    </row>
    <row r="462" spans="1:12" ht="15.75" x14ac:dyDescent="0.25">
      <c r="A462" s="14">
        <v>55000</v>
      </c>
      <c r="B462" s="17">
        <f>53.5515 * CHOOSE(CONTROL!$C$9, $D$9, 100%, $F$9) + CHOOSE(CONTROL!$C$27, 0.0021, 0)</f>
        <v>53.553599999999996</v>
      </c>
      <c r="C462" s="17">
        <f>53.1192 * CHOOSE(CONTROL!$C$9, $D$9, 100%, $F$9) + CHOOSE(CONTROL!$C$27, 0.0021, 0)</f>
        <v>53.121299999999998</v>
      </c>
      <c r="D462" s="17">
        <f>53.1192 * CHOOSE(CONTROL!$C$9, $D$9, 100%, $F$9) + CHOOSE(CONTROL!$C$27, 0.0021, 0)</f>
        <v>53.121299999999998</v>
      </c>
      <c r="E462" s="17">
        <f>52.9826 * CHOOSE(CONTROL!$C$9, $D$9, 100%, $F$9) + CHOOSE(CONTROL!$C$27, 0.0021, 0)</f>
        <v>52.984699999999997</v>
      </c>
      <c r="F462" s="17">
        <f>52.9826 * CHOOSE(CONTROL!$C$9, $D$9, 100%, $F$9) + CHOOSE(CONTROL!$C$27, 0.0021, 0)</f>
        <v>52.984699999999997</v>
      </c>
      <c r="G462" s="17">
        <f>53.254 * CHOOSE(CONTROL!$C$9, $D$9, 100%, $F$9) + CHOOSE(CONTROL!$C$27, 0.0021, 0)</f>
        <v>53.256099999999996</v>
      </c>
      <c r="H462" s="17">
        <f>53.1192 * CHOOSE(CONTROL!$C$9, $D$9, 100%, $F$9) + CHOOSE(CONTROL!$C$27, 0.0021, 0)</f>
        <v>53.121299999999998</v>
      </c>
      <c r="I462" s="17">
        <f>53.1192 * CHOOSE(CONTROL!$C$9, $D$9, 100%, $F$9) + CHOOSE(CONTROL!$C$27, 0.0021, 0)</f>
        <v>53.121299999999998</v>
      </c>
      <c r="J462" s="17">
        <f>53.1192 * CHOOSE(CONTROL!$C$9, $D$9, 100%, $F$9) + CHOOSE(CONTROL!$C$27, 0.0021, 0)</f>
        <v>53.121299999999998</v>
      </c>
      <c r="K462" s="17">
        <f>53.1192 * CHOOSE(CONTROL!$C$9, $D$9, 100%, $F$9) + CHOOSE(CONTROL!$C$27, 0.0021, 0)</f>
        <v>53.121299999999998</v>
      </c>
      <c r="L462" s="17"/>
    </row>
    <row r="463" spans="1:12" ht="15.75" x14ac:dyDescent="0.25">
      <c r="A463" s="14">
        <v>55031</v>
      </c>
      <c r="B463" s="17">
        <f>53.8594 * CHOOSE(CONTROL!$C$9, $D$9, 100%, $F$9) + CHOOSE(CONTROL!$C$27, 0.0021, 0)</f>
        <v>53.861499999999999</v>
      </c>
      <c r="C463" s="17">
        <f>53.4272 * CHOOSE(CONTROL!$C$9, $D$9, 100%, $F$9) + CHOOSE(CONTROL!$C$27, 0.0021, 0)</f>
        <v>53.429299999999998</v>
      </c>
      <c r="D463" s="17">
        <f>53.4272 * CHOOSE(CONTROL!$C$9, $D$9, 100%, $F$9) + CHOOSE(CONTROL!$C$27, 0.0021, 0)</f>
        <v>53.429299999999998</v>
      </c>
      <c r="E463" s="17">
        <f>53.2905 * CHOOSE(CONTROL!$C$9, $D$9, 100%, $F$9) + CHOOSE(CONTROL!$C$27, 0.0021, 0)</f>
        <v>53.2926</v>
      </c>
      <c r="F463" s="17">
        <f>53.2905 * CHOOSE(CONTROL!$C$9, $D$9, 100%, $F$9) + CHOOSE(CONTROL!$C$27, 0.0021, 0)</f>
        <v>53.2926</v>
      </c>
      <c r="G463" s="17">
        <f>53.5619 * CHOOSE(CONTROL!$C$9, $D$9, 100%, $F$9) + CHOOSE(CONTROL!$C$27, 0.0021, 0)</f>
        <v>53.564</v>
      </c>
      <c r="H463" s="17">
        <f>53.4272 * CHOOSE(CONTROL!$C$9, $D$9, 100%, $F$9) + CHOOSE(CONTROL!$C$27, 0.0021, 0)</f>
        <v>53.429299999999998</v>
      </c>
      <c r="I463" s="17">
        <f>53.4272 * CHOOSE(CONTROL!$C$9, $D$9, 100%, $F$9) + CHOOSE(CONTROL!$C$27, 0.0021, 0)</f>
        <v>53.429299999999998</v>
      </c>
      <c r="J463" s="17">
        <f>53.4272 * CHOOSE(CONTROL!$C$9, $D$9, 100%, $F$9) + CHOOSE(CONTROL!$C$27, 0.0021, 0)</f>
        <v>53.429299999999998</v>
      </c>
      <c r="K463" s="17">
        <f>53.4272 * CHOOSE(CONTROL!$C$9, $D$9, 100%, $F$9) + CHOOSE(CONTROL!$C$27, 0.0021, 0)</f>
        <v>53.429299999999998</v>
      </c>
      <c r="L463" s="17"/>
    </row>
    <row r="464" spans="1:12" ht="15.75" x14ac:dyDescent="0.25">
      <c r="A464" s="14">
        <v>55061</v>
      </c>
      <c r="B464" s="17">
        <f>54.908 * CHOOSE(CONTROL!$C$9, $D$9, 100%, $F$9) + CHOOSE(CONTROL!$C$27, 0.0021, 0)</f>
        <v>54.9101</v>
      </c>
      <c r="C464" s="17">
        <f>54.4758 * CHOOSE(CONTROL!$C$9, $D$9, 100%, $F$9) + CHOOSE(CONTROL!$C$27, 0.0021, 0)</f>
        <v>54.477899999999998</v>
      </c>
      <c r="D464" s="17">
        <f>54.4758 * CHOOSE(CONTROL!$C$9, $D$9, 100%, $F$9) + CHOOSE(CONTROL!$C$27, 0.0021, 0)</f>
        <v>54.477899999999998</v>
      </c>
      <c r="E464" s="17">
        <f>54.3391 * CHOOSE(CONTROL!$C$9, $D$9, 100%, $F$9) + CHOOSE(CONTROL!$C$27, 0.0021, 0)</f>
        <v>54.341200000000001</v>
      </c>
      <c r="F464" s="17">
        <f>54.3391 * CHOOSE(CONTROL!$C$9, $D$9, 100%, $F$9) + CHOOSE(CONTROL!$C$27, 0.0021, 0)</f>
        <v>54.341200000000001</v>
      </c>
      <c r="G464" s="17">
        <f>54.6105 * CHOOSE(CONTROL!$C$9, $D$9, 100%, $F$9) + CHOOSE(CONTROL!$C$27, 0.0021, 0)</f>
        <v>54.6126</v>
      </c>
      <c r="H464" s="17">
        <f>54.4758 * CHOOSE(CONTROL!$C$9, $D$9, 100%, $F$9) + CHOOSE(CONTROL!$C$27, 0.0021, 0)</f>
        <v>54.477899999999998</v>
      </c>
      <c r="I464" s="17">
        <f>54.4758 * CHOOSE(CONTROL!$C$9, $D$9, 100%, $F$9) + CHOOSE(CONTROL!$C$27, 0.0021, 0)</f>
        <v>54.477899999999998</v>
      </c>
      <c r="J464" s="17">
        <f>54.4758 * CHOOSE(CONTROL!$C$9, $D$9, 100%, $F$9) + CHOOSE(CONTROL!$C$27, 0.0021, 0)</f>
        <v>54.477899999999998</v>
      </c>
      <c r="K464" s="17">
        <f>54.4758 * CHOOSE(CONTROL!$C$9, $D$9, 100%, $F$9) + CHOOSE(CONTROL!$C$27, 0.0021, 0)</f>
        <v>54.477899999999998</v>
      </c>
      <c r="L464" s="17"/>
    </row>
    <row r="465" spans="1:12" ht="15.75" x14ac:dyDescent="0.25">
      <c r="A465" s="14">
        <v>55092</v>
      </c>
      <c r="B465" s="17">
        <f>56.2354 * CHOOSE(CONTROL!$C$9, $D$9, 100%, $F$9) + CHOOSE(CONTROL!$C$27, 0.0021, 0)</f>
        <v>56.237499999999997</v>
      </c>
      <c r="C465" s="17">
        <f>55.8031 * CHOOSE(CONTROL!$C$9, $D$9, 100%, $F$9) + CHOOSE(CONTROL!$C$27, 0.0021, 0)</f>
        <v>55.805199999999999</v>
      </c>
      <c r="D465" s="17">
        <f>55.8031 * CHOOSE(CONTROL!$C$9, $D$9, 100%, $F$9) + CHOOSE(CONTROL!$C$27, 0.0021, 0)</f>
        <v>55.805199999999999</v>
      </c>
      <c r="E465" s="17">
        <f>55.6665 * CHOOSE(CONTROL!$C$9, $D$9, 100%, $F$9) + CHOOSE(CONTROL!$C$27, 0.0021, 0)</f>
        <v>55.668599999999998</v>
      </c>
      <c r="F465" s="17">
        <f>55.6665 * CHOOSE(CONTROL!$C$9, $D$9, 100%, $F$9) + CHOOSE(CONTROL!$C$27, 0.0021, 0)</f>
        <v>55.668599999999998</v>
      </c>
      <c r="G465" s="17">
        <f>55.9379 * CHOOSE(CONTROL!$C$9, $D$9, 100%, $F$9) + CHOOSE(CONTROL!$C$27, 0.0021, 0)</f>
        <v>55.94</v>
      </c>
      <c r="H465" s="17">
        <f>55.8031 * CHOOSE(CONTROL!$C$9, $D$9, 100%, $F$9) + CHOOSE(CONTROL!$C$27, 0.0021, 0)</f>
        <v>55.805199999999999</v>
      </c>
      <c r="I465" s="17">
        <f>55.8031 * CHOOSE(CONTROL!$C$9, $D$9, 100%, $F$9) + CHOOSE(CONTROL!$C$27, 0.0021, 0)</f>
        <v>55.805199999999999</v>
      </c>
      <c r="J465" s="17">
        <f>55.8031 * CHOOSE(CONTROL!$C$9, $D$9, 100%, $F$9) + CHOOSE(CONTROL!$C$27, 0.0021, 0)</f>
        <v>55.805199999999999</v>
      </c>
      <c r="K465" s="17">
        <f>55.8031 * CHOOSE(CONTROL!$C$9, $D$9, 100%, $F$9) + CHOOSE(CONTROL!$C$27, 0.0021, 0)</f>
        <v>55.805199999999999</v>
      </c>
      <c r="L465" s="17"/>
    </row>
    <row r="466" spans="1:12" ht="15.75" x14ac:dyDescent="0.25">
      <c r="A466" s="14">
        <v>55122</v>
      </c>
      <c r="B466" s="17">
        <f>56.36 * CHOOSE(CONTROL!$C$9, $D$9, 100%, $F$9) + CHOOSE(CONTROL!$C$27, 0.0021, 0)</f>
        <v>56.362099999999998</v>
      </c>
      <c r="C466" s="17">
        <f>55.9278 * CHOOSE(CONTROL!$C$9, $D$9, 100%, $F$9) + CHOOSE(CONTROL!$C$27, 0.0021, 0)</f>
        <v>55.929899999999996</v>
      </c>
      <c r="D466" s="17">
        <f>55.9278 * CHOOSE(CONTROL!$C$9, $D$9, 100%, $F$9) + CHOOSE(CONTROL!$C$27, 0.0021, 0)</f>
        <v>55.929899999999996</v>
      </c>
      <c r="E466" s="17">
        <f>55.7911 * CHOOSE(CONTROL!$C$9, $D$9, 100%, $F$9) + CHOOSE(CONTROL!$C$27, 0.0021, 0)</f>
        <v>55.793199999999999</v>
      </c>
      <c r="F466" s="17">
        <f>55.7911 * CHOOSE(CONTROL!$C$9, $D$9, 100%, $F$9) + CHOOSE(CONTROL!$C$27, 0.0021, 0)</f>
        <v>55.793199999999999</v>
      </c>
      <c r="G466" s="17">
        <f>56.0625 * CHOOSE(CONTROL!$C$9, $D$9, 100%, $F$9) + CHOOSE(CONTROL!$C$27, 0.0021, 0)</f>
        <v>56.064599999999999</v>
      </c>
      <c r="H466" s="17">
        <f>55.9278 * CHOOSE(CONTROL!$C$9, $D$9, 100%, $F$9) + CHOOSE(CONTROL!$C$27, 0.0021, 0)</f>
        <v>55.929899999999996</v>
      </c>
      <c r="I466" s="17">
        <f>55.9278 * CHOOSE(CONTROL!$C$9, $D$9, 100%, $F$9) + CHOOSE(CONTROL!$C$27, 0.0021, 0)</f>
        <v>55.929899999999996</v>
      </c>
      <c r="J466" s="17">
        <f>55.9278 * CHOOSE(CONTROL!$C$9, $D$9, 100%, $F$9) + CHOOSE(CONTROL!$C$27, 0.0021, 0)</f>
        <v>55.929899999999996</v>
      </c>
      <c r="K466" s="17">
        <f>55.9278 * CHOOSE(CONTROL!$C$9, $D$9, 100%, $F$9) + CHOOSE(CONTROL!$C$27, 0.0021, 0)</f>
        <v>55.929899999999996</v>
      </c>
      <c r="L466" s="17"/>
    </row>
    <row r="467" spans="1:12" ht="15.75" x14ac:dyDescent="0.25">
      <c r="A467" s="14">
        <v>55153</v>
      </c>
      <c r="B467" s="17">
        <f>55.2999 * CHOOSE(CONTROL!$C$9, $D$9, 100%, $F$9) + CHOOSE(CONTROL!$C$27, 0.0021, 0)</f>
        <v>55.302</v>
      </c>
      <c r="C467" s="17">
        <f>54.8676 * CHOOSE(CONTROL!$C$9, $D$9, 100%, $F$9) + CHOOSE(CONTROL!$C$27, 0.0021, 0)</f>
        <v>54.869700000000002</v>
      </c>
      <c r="D467" s="17">
        <f>54.8676 * CHOOSE(CONTROL!$C$9, $D$9, 100%, $F$9) + CHOOSE(CONTROL!$C$27, 0.0021, 0)</f>
        <v>54.869700000000002</v>
      </c>
      <c r="E467" s="17">
        <f>54.731 * CHOOSE(CONTROL!$C$9, $D$9, 100%, $F$9) + CHOOSE(CONTROL!$C$27, 0.0021, 0)</f>
        <v>54.7331</v>
      </c>
      <c r="F467" s="17">
        <f>54.731 * CHOOSE(CONTROL!$C$9, $D$9, 100%, $F$9) + CHOOSE(CONTROL!$C$27, 0.0021, 0)</f>
        <v>54.7331</v>
      </c>
      <c r="G467" s="17">
        <f>55.0023 * CHOOSE(CONTROL!$C$9, $D$9, 100%, $F$9) + CHOOSE(CONTROL!$C$27, 0.0021, 0)</f>
        <v>55.004399999999997</v>
      </c>
      <c r="H467" s="17">
        <f>54.8676 * CHOOSE(CONTROL!$C$9, $D$9, 100%, $F$9) + CHOOSE(CONTROL!$C$27, 0.0021, 0)</f>
        <v>54.869700000000002</v>
      </c>
      <c r="I467" s="17">
        <f>54.8676 * CHOOSE(CONTROL!$C$9, $D$9, 100%, $F$9) + CHOOSE(CONTROL!$C$27, 0.0021, 0)</f>
        <v>54.869700000000002</v>
      </c>
      <c r="J467" s="17">
        <f>54.8676 * CHOOSE(CONTROL!$C$9, $D$9, 100%, $F$9) + CHOOSE(CONTROL!$C$27, 0.0021, 0)</f>
        <v>54.869700000000002</v>
      </c>
      <c r="K467" s="17">
        <f>54.8676 * CHOOSE(CONTROL!$C$9, $D$9, 100%, $F$9) + CHOOSE(CONTROL!$C$27, 0.0021, 0)</f>
        <v>54.869700000000002</v>
      </c>
      <c r="L467" s="17"/>
    </row>
    <row r="468" spans="1:12" ht="15.75" x14ac:dyDescent="0.25">
      <c r="A468" s="14">
        <v>55184</v>
      </c>
      <c r="B468" s="17">
        <f>54.6298 * CHOOSE(CONTROL!$C$9, $D$9, 100%, $F$9) + CHOOSE(CONTROL!$C$27, 0.0021, 0)</f>
        <v>54.631900000000002</v>
      </c>
      <c r="C468" s="17">
        <f>54.1976 * CHOOSE(CONTROL!$C$9, $D$9, 100%, $F$9) + CHOOSE(CONTROL!$C$27, 0.0021, 0)</f>
        <v>54.1997</v>
      </c>
      <c r="D468" s="17">
        <f>54.1976 * CHOOSE(CONTROL!$C$9, $D$9, 100%, $F$9) + CHOOSE(CONTROL!$C$27, 0.0021, 0)</f>
        <v>54.1997</v>
      </c>
      <c r="E468" s="17">
        <f>54.0609 * CHOOSE(CONTROL!$C$9, $D$9, 100%, $F$9) + CHOOSE(CONTROL!$C$27, 0.0021, 0)</f>
        <v>54.062999999999995</v>
      </c>
      <c r="F468" s="17">
        <f>54.0609 * CHOOSE(CONTROL!$C$9, $D$9, 100%, $F$9) + CHOOSE(CONTROL!$C$27, 0.0021, 0)</f>
        <v>54.062999999999995</v>
      </c>
      <c r="G468" s="17">
        <f>54.3323 * CHOOSE(CONTROL!$C$9, $D$9, 100%, $F$9) + CHOOSE(CONTROL!$C$27, 0.0021, 0)</f>
        <v>54.334399999999995</v>
      </c>
      <c r="H468" s="17">
        <f>54.1976 * CHOOSE(CONTROL!$C$9, $D$9, 100%, $F$9) + CHOOSE(CONTROL!$C$27, 0.0021, 0)</f>
        <v>54.1997</v>
      </c>
      <c r="I468" s="17">
        <f>54.1976 * CHOOSE(CONTROL!$C$9, $D$9, 100%, $F$9) + CHOOSE(CONTROL!$C$27, 0.0021, 0)</f>
        <v>54.1997</v>
      </c>
      <c r="J468" s="17">
        <f>54.1976 * CHOOSE(CONTROL!$C$9, $D$9, 100%, $F$9) + CHOOSE(CONTROL!$C$27, 0.0021, 0)</f>
        <v>54.1997</v>
      </c>
      <c r="K468" s="17">
        <f>54.1976 * CHOOSE(CONTROL!$C$9, $D$9, 100%, $F$9) + CHOOSE(CONTROL!$C$27, 0.0021, 0)</f>
        <v>54.1997</v>
      </c>
      <c r="L468" s="17"/>
    </row>
    <row r="469" spans="1:12" ht="15.75" x14ac:dyDescent="0.25">
      <c r="A469" s="14">
        <v>55212</v>
      </c>
      <c r="B469" s="17">
        <f>53.1494 * CHOOSE(CONTROL!$C$9, $D$9, 100%, $F$9) + CHOOSE(CONTROL!$C$27, 0.0021, 0)</f>
        <v>53.151499999999999</v>
      </c>
      <c r="C469" s="17">
        <f>52.7172 * CHOOSE(CONTROL!$C$9, $D$9, 100%, $F$9) + CHOOSE(CONTROL!$C$27, 0.0021, 0)</f>
        <v>52.719299999999997</v>
      </c>
      <c r="D469" s="17">
        <f>52.7172 * CHOOSE(CONTROL!$C$9, $D$9, 100%, $F$9) + CHOOSE(CONTROL!$C$27, 0.0021, 0)</f>
        <v>52.719299999999997</v>
      </c>
      <c r="E469" s="17">
        <f>52.5805 * CHOOSE(CONTROL!$C$9, $D$9, 100%, $F$9) + CHOOSE(CONTROL!$C$27, 0.0021, 0)</f>
        <v>52.582599999999999</v>
      </c>
      <c r="F469" s="17">
        <f>52.5805 * CHOOSE(CONTROL!$C$9, $D$9, 100%, $F$9) + CHOOSE(CONTROL!$C$27, 0.0021, 0)</f>
        <v>52.582599999999999</v>
      </c>
      <c r="G469" s="17">
        <f>52.8519 * CHOOSE(CONTROL!$C$9, $D$9, 100%, $F$9) + CHOOSE(CONTROL!$C$27, 0.0021, 0)</f>
        <v>52.853999999999999</v>
      </c>
      <c r="H469" s="17">
        <f>52.7172 * CHOOSE(CONTROL!$C$9, $D$9, 100%, $F$9) + CHOOSE(CONTROL!$C$27, 0.0021, 0)</f>
        <v>52.719299999999997</v>
      </c>
      <c r="I469" s="17">
        <f>52.7172 * CHOOSE(CONTROL!$C$9, $D$9, 100%, $F$9) + CHOOSE(CONTROL!$C$27, 0.0021, 0)</f>
        <v>52.719299999999997</v>
      </c>
      <c r="J469" s="17">
        <f>52.7172 * CHOOSE(CONTROL!$C$9, $D$9, 100%, $F$9) + CHOOSE(CONTROL!$C$27, 0.0021, 0)</f>
        <v>52.719299999999997</v>
      </c>
      <c r="K469" s="17">
        <f>52.7172 * CHOOSE(CONTROL!$C$9, $D$9, 100%, $F$9) + CHOOSE(CONTROL!$C$27, 0.0021, 0)</f>
        <v>52.719299999999997</v>
      </c>
      <c r="L469" s="17"/>
    </row>
    <row r="470" spans="1:12" ht="15.75" x14ac:dyDescent="0.25">
      <c r="A470" s="14">
        <v>55243</v>
      </c>
      <c r="B470" s="17">
        <f>52.5383 * CHOOSE(CONTROL!$C$9, $D$9, 100%, $F$9) + CHOOSE(CONTROL!$C$27, 0.0021, 0)</f>
        <v>52.540399999999998</v>
      </c>
      <c r="C470" s="17">
        <f>52.1061 * CHOOSE(CONTROL!$C$9, $D$9, 100%, $F$9) + CHOOSE(CONTROL!$C$27, 0.0021, 0)</f>
        <v>52.108199999999997</v>
      </c>
      <c r="D470" s="17">
        <f>52.1061 * CHOOSE(CONTROL!$C$9, $D$9, 100%, $F$9) + CHOOSE(CONTROL!$C$27, 0.0021, 0)</f>
        <v>52.108199999999997</v>
      </c>
      <c r="E470" s="17">
        <f>51.9694 * CHOOSE(CONTROL!$C$9, $D$9, 100%, $F$9) + CHOOSE(CONTROL!$C$27, 0.0021, 0)</f>
        <v>51.971499999999999</v>
      </c>
      <c r="F470" s="17">
        <f>51.9694 * CHOOSE(CONTROL!$C$9, $D$9, 100%, $F$9) + CHOOSE(CONTROL!$C$27, 0.0021, 0)</f>
        <v>51.971499999999999</v>
      </c>
      <c r="G470" s="17">
        <f>52.2408 * CHOOSE(CONTROL!$C$9, $D$9, 100%, $F$9) + CHOOSE(CONTROL!$C$27, 0.0021, 0)</f>
        <v>52.242899999999999</v>
      </c>
      <c r="H470" s="17">
        <f>52.1061 * CHOOSE(CONTROL!$C$9, $D$9, 100%, $F$9) + CHOOSE(CONTROL!$C$27, 0.0021, 0)</f>
        <v>52.108199999999997</v>
      </c>
      <c r="I470" s="17">
        <f>52.1061 * CHOOSE(CONTROL!$C$9, $D$9, 100%, $F$9) + CHOOSE(CONTROL!$C$27, 0.0021, 0)</f>
        <v>52.108199999999997</v>
      </c>
      <c r="J470" s="17">
        <f>52.1061 * CHOOSE(CONTROL!$C$9, $D$9, 100%, $F$9) + CHOOSE(CONTROL!$C$27, 0.0021, 0)</f>
        <v>52.108199999999997</v>
      </c>
      <c r="K470" s="17">
        <f>52.1061 * CHOOSE(CONTROL!$C$9, $D$9, 100%, $F$9) + CHOOSE(CONTROL!$C$27, 0.0021, 0)</f>
        <v>52.108199999999997</v>
      </c>
      <c r="L470" s="17"/>
    </row>
    <row r="471" spans="1:12" ht="15.75" x14ac:dyDescent="0.25">
      <c r="A471" s="14">
        <v>55273</v>
      </c>
      <c r="B471" s="17">
        <f>51.8086 * CHOOSE(CONTROL!$C$9, $D$9, 100%, $F$9) + CHOOSE(CONTROL!$C$27, 0.0021, 0)</f>
        <v>51.810699999999997</v>
      </c>
      <c r="C471" s="17">
        <f>51.3764 * CHOOSE(CONTROL!$C$9, $D$9, 100%, $F$9) + CHOOSE(CONTROL!$C$27, 0.0021, 0)</f>
        <v>51.378499999999995</v>
      </c>
      <c r="D471" s="17">
        <f>51.3764 * CHOOSE(CONTROL!$C$9, $D$9, 100%, $F$9) + CHOOSE(CONTROL!$C$27, 0.0021, 0)</f>
        <v>51.378499999999995</v>
      </c>
      <c r="E471" s="17">
        <f>51.2397 * CHOOSE(CONTROL!$C$9, $D$9, 100%, $F$9) + CHOOSE(CONTROL!$C$27, 0.0021, 0)</f>
        <v>51.241799999999998</v>
      </c>
      <c r="F471" s="17">
        <f>51.2397 * CHOOSE(CONTROL!$C$9, $D$9, 100%, $F$9) + CHOOSE(CONTROL!$C$27, 0.0021, 0)</f>
        <v>51.241799999999998</v>
      </c>
      <c r="G471" s="17">
        <f>51.5111 * CHOOSE(CONTROL!$C$9, $D$9, 100%, $F$9) + CHOOSE(CONTROL!$C$27, 0.0021, 0)</f>
        <v>51.513199999999998</v>
      </c>
      <c r="H471" s="17">
        <f>51.3764 * CHOOSE(CONTROL!$C$9, $D$9, 100%, $F$9) + CHOOSE(CONTROL!$C$27, 0.0021, 0)</f>
        <v>51.378499999999995</v>
      </c>
      <c r="I471" s="17">
        <f>51.3764 * CHOOSE(CONTROL!$C$9, $D$9, 100%, $F$9) + CHOOSE(CONTROL!$C$27, 0.0021, 0)</f>
        <v>51.378499999999995</v>
      </c>
      <c r="J471" s="17">
        <f>51.3764 * CHOOSE(CONTROL!$C$9, $D$9, 100%, $F$9) + CHOOSE(CONTROL!$C$27, 0.0021, 0)</f>
        <v>51.378499999999995</v>
      </c>
      <c r="K471" s="17">
        <f>51.3764 * CHOOSE(CONTROL!$C$9, $D$9, 100%, $F$9) + CHOOSE(CONTROL!$C$27, 0.0021, 0)</f>
        <v>51.378499999999995</v>
      </c>
      <c r="L471" s="17"/>
    </row>
    <row r="472" spans="1:12" ht="15.75" x14ac:dyDescent="0.25">
      <c r="A472" s="14">
        <v>55304</v>
      </c>
      <c r="B472" s="17">
        <f>52.8485 * CHOOSE(CONTROL!$C$9, $D$9, 100%, $F$9) + CHOOSE(CONTROL!$C$27, 0.0021, 0)</f>
        <v>52.8506</v>
      </c>
      <c r="C472" s="17">
        <f>52.4163 * CHOOSE(CONTROL!$C$9, $D$9, 100%, $F$9) + CHOOSE(CONTROL!$C$27, 0.0021, 0)</f>
        <v>52.418399999999998</v>
      </c>
      <c r="D472" s="17">
        <f>52.4163 * CHOOSE(CONTROL!$C$9, $D$9, 100%, $F$9) + CHOOSE(CONTROL!$C$27, 0.0021, 0)</f>
        <v>52.418399999999998</v>
      </c>
      <c r="E472" s="17">
        <f>52.2796 * CHOOSE(CONTROL!$C$9, $D$9, 100%, $F$9) + CHOOSE(CONTROL!$C$27, 0.0021, 0)</f>
        <v>52.281700000000001</v>
      </c>
      <c r="F472" s="17">
        <f>52.2796 * CHOOSE(CONTROL!$C$9, $D$9, 100%, $F$9) + CHOOSE(CONTROL!$C$27, 0.0021, 0)</f>
        <v>52.281700000000001</v>
      </c>
      <c r="G472" s="17">
        <f>52.551 * CHOOSE(CONTROL!$C$9, $D$9, 100%, $F$9) + CHOOSE(CONTROL!$C$27, 0.0021, 0)</f>
        <v>52.553100000000001</v>
      </c>
      <c r="H472" s="17">
        <f>52.4163 * CHOOSE(CONTROL!$C$9, $D$9, 100%, $F$9) + CHOOSE(CONTROL!$C$27, 0.0021, 0)</f>
        <v>52.418399999999998</v>
      </c>
      <c r="I472" s="17">
        <f>52.4163 * CHOOSE(CONTROL!$C$9, $D$9, 100%, $F$9) + CHOOSE(CONTROL!$C$27, 0.0021, 0)</f>
        <v>52.418399999999998</v>
      </c>
      <c r="J472" s="17">
        <f>52.4163 * CHOOSE(CONTROL!$C$9, $D$9, 100%, $F$9) + CHOOSE(CONTROL!$C$27, 0.0021, 0)</f>
        <v>52.418399999999998</v>
      </c>
      <c r="K472" s="17">
        <f>52.4163 * CHOOSE(CONTROL!$C$9, $D$9, 100%, $F$9) + CHOOSE(CONTROL!$C$27, 0.0021, 0)</f>
        <v>52.418399999999998</v>
      </c>
      <c r="L472" s="17"/>
    </row>
    <row r="473" spans="1:12" ht="15.75" x14ac:dyDescent="0.25">
      <c r="A473" s="14">
        <v>55334</v>
      </c>
      <c r="B473" s="17">
        <f>53.4713 * CHOOSE(CONTROL!$C$9, $D$9, 100%, $F$9) + CHOOSE(CONTROL!$C$27, 0.0021, 0)</f>
        <v>53.473399999999998</v>
      </c>
      <c r="C473" s="17">
        <f>53.0391 * CHOOSE(CONTROL!$C$9, $D$9, 100%, $F$9) + CHOOSE(CONTROL!$C$27, 0.0021, 0)</f>
        <v>53.041199999999996</v>
      </c>
      <c r="D473" s="17">
        <f>53.0391 * CHOOSE(CONTROL!$C$9, $D$9, 100%, $F$9) + CHOOSE(CONTROL!$C$27, 0.0021, 0)</f>
        <v>53.041199999999996</v>
      </c>
      <c r="E473" s="17">
        <f>52.9024 * CHOOSE(CONTROL!$C$9, $D$9, 100%, $F$9) + CHOOSE(CONTROL!$C$27, 0.0021, 0)</f>
        <v>52.904499999999999</v>
      </c>
      <c r="F473" s="17">
        <f>52.9024 * CHOOSE(CONTROL!$C$9, $D$9, 100%, $F$9) + CHOOSE(CONTROL!$C$27, 0.0021, 0)</f>
        <v>52.904499999999999</v>
      </c>
      <c r="G473" s="17">
        <f>53.1738 * CHOOSE(CONTROL!$C$9, $D$9, 100%, $F$9) + CHOOSE(CONTROL!$C$27, 0.0021, 0)</f>
        <v>53.175899999999999</v>
      </c>
      <c r="H473" s="17">
        <f>53.0391 * CHOOSE(CONTROL!$C$9, $D$9, 100%, $F$9) + CHOOSE(CONTROL!$C$27, 0.0021, 0)</f>
        <v>53.041199999999996</v>
      </c>
      <c r="I473" s="17">
        <f>53.0391 * CHOOSE(CONTROL!$C$9, $D$9, 100%, $F$9) + CHOOSE(CONTROL!$C$27, 0.0021, 0)</f>
        <v>53.041199999999996</v>
      </c>
      <c r="J473" s="17">
        <f>53.0391 * CHOOSE(CONTROL!$C$9, $D$9, 100%, $F$9) + CHOOSE(CONTROL!$C$27, 0.0021, 0)</f>
        <v>53.041199999999996</v>
      </c>
      <c r="K473" s="17">
        <f>53.0391 * CHOOSE(CONTROL!$C$9, $D$9, 100%, $F$9) + CHOOSE(CONTROL!$C$27, 0.0021, 0)</f>
        <v>53.041199999999996</v>
      </c>
      <c r="L473" s="17"/>
    </row>
    <row r="474" spans="1:12" ht="15.75" x14ac:dyDescent="0.25">
      <c r="A474" s="14">
        <v>55365</v>
      </c>
      <c r="B474" s="17">
        <f>54.4988 * CHOOSE(CONTROL!$C$9, $D$9, 100%, $F$9) + CHOOSE(CONTROL!$C$27, 0.0021, 0)</f>
        <v>54.500900000000001</v>
      </c>
      <c r="C474" s="17">
        <f>54.0666 * CHOOSE(CONTROL!$C$9, $D$9, 100%, $F$9) + CHOOSE(CONTROL!$C$27, 0.0021, 0)</f>
        <v>54.0687</v>
      </c>
      <c r="D474" s="17">
        <f>54.0666 * CHOOSE(CONTROL!$C$9, $D$9, 100%, $F$9) + CHOOSE(CONTROL!$C$27, 0.0021, 0)</f>
        <v>54.0687</v>
      </c>
      <c r="E474" s="17">
        <f>53.9299 * CHOOSE(CONTROL!$C$9, $D$9, 100%, $F$9) + CHOOSE(CONTROL!$C$27, 0.0021, 0)</f>
        <v>53.932000000000002</v>
      </c>
      <c r="F474" s="17">
        <f>53.9299 * CHOOSE(CONTROL!$C$9, $D$9, 100%, $F$9) + CHOOSE(CONTROL!$C$27, 0.0021, 0)</f>
        <v>53.932000000000002</v>
      </c>
      <c r="G474" s="17">
        <f>54.2013 * CHOOSE(CONTROL!$C$9, $D$9, 100%, $F$9) + CHOOSE(CONTROL!$C$27, 0.0021, 0)</f>
        <v>54.203400000000002</v>
      </c>
      <c r="H474" s="17">
        <f>54.0666 * CHOOSE(CONTROL!$C$9, $D$9, 100%, $F$9) + CHOOSE(CONTROL!$C$27, 0.0021, 0)</f>
        <v>54.0687</v>
      </c>
      <c r="I474" s="17">
        <f>54.0666 * CHOOSE(CONTROL!$C$9, $D$9, 100%, $F$9) + CHOOSE(CONTROL!$C$27, 0.0021, 0)</f>
        <v>54.0687</v>
      </c>
      <c r="J474" s="17">
        <f>54.0666 * CHOOSE(CONTROL!$C$9, $D$9, 100%, $F$9) + CHOOSE(CONTROL!$C$27, 0.0021, 0)</f>
        <v>54.0687</v>
      </c>
      <c r="K474" s="17">
        <f>54.0666 * CHOOSE(CONTROL!$C$9, $D$9, 100%, $F$9) + CHOOSE(CONTROL!$C$27, 0.0021, 0)</f>
        <v>54.0687</v>
      </c>
      <c r="L474" s="17"/>
    </row>
    <row r="475" spans="1:12" ht="15.75" x14ac:dyDescent="0.25">
      <c r="A475" s="14">
        <v>55396</v>
      </c>
      <c r="B475" s="17">
        <f>54.8124 * CHOOSE(CONTROL!$C$9, $D$9, 100%, $F$9) + CHOOSE(CONTROL!$C$27, 0.0021, 0)</f>
        <v>54.814499999999995</v>
      </c>
      <c r="C475" s="17">
        <f>54.3802 * CHOOSE(CONTROL!$C$9, $D$9, 100%, $F$9) + CHOOSE(CONTROL!$C$27, 0.0021, 0)</f>
        <v>54.382300000000001</v>
      </c>
      <c r="D475" s="17">
        <f>54.3802 * CHOOSE(CONTROL!$C$9, $D$9, 100%, $F$9) + CHOOSE(CONTROL!$C$27, 0.0021, 0)</f>
        <v>54.382300000000001</v>
      </c>
      <c r="E475" s="17">
        <f>54.2435 * CHOOSE(CONTROL!$C$9, $D$9, 100%, $F$9) + CHOOSE(CONTROL!$C$27, 0.0021, 0)</f>
        <v>54.245599999999996</v>
      </c>
      <c r="F475" s="17">
        <f>54.2435 * CHOOSE(CONTROL!$C$9, $D$9, 100%, $F$9) + CHOOSE(CONTROL!$C$27, 0.0021, 0)</f>
        <v>54.245599999999996</v>
      </c>
      <c r="G475" s="17">
        <f>54.5149 * CHOOSE(CONTROL!$C$9, $D$9, 100%, $F$9) + CHOOSE(CONTROL!$C$27, 0.0021, 0)</f>
        <v>54.516999999999996</v>
      </c>
      <c r="H475" s="17">
        <f>54.3802 * CHOOSE(CONTROL!$C$9, $D$9, 100%, $F$9) + CHOOSE(CONTROL!$C$27, 0.0021, 0)</f>
        <v>54.382300000000001</v>
      </c>
      <c r="I475" s="17">
        <f>54.3802 * CHOOSE(CONTROL!$C$9, $D$9, 100%, $F$9) + CHOOSE(CONTROL!$C$27, 0.0021, 0)</f>
        <v>54.382300000000001</v>
      </c>
      <c r="J475" s="17">
        <f>54.3802 * CHOOSE(CONTROL!$C$9, $D$9, 100%, $F$9) + CHOOSE(CONTROL!$C$27, 0.0021, 0)</f>
        <v>54.382300000000001</v>
      </c>
      <c r="K475" s="17">
        <f>54.3802 * CHOOSE(CONTROL!$C$9, $D$9, 100%, $F$9) + CHOOSE(CONTROL!$C$27, 0.0021, 0)</f>
        <v>54.382300000000001</v>
      </c>
      <c r="L475" s="17"/>
    </row>
    <row r="476" spans="1:12" ht="15.75" x14ac:dyDescent="0.25">
      <c r="A476" s="14">
        <v>55426</v>
      </c>
      <c r="B476" s="17">
        <f>55.8804 * CHOOSE(CONTROL!$C$9, $D$9, 100%, $F$9) + CHOOSE(CONTROL!$C$27, 0.0021, 0)</f>
        <v>55.8825</v>
      </c>
      <c r="C476" s="17">
        <f>55.4482 * CHOOSE(CONTROL!$C$9, $D$9, 100%, $F$9) + CHOOSE(CONTROL!$C$27, 0.0021, 0)</f>
        <v>55.450299999999999</v>
      </c>
      <c r="D476" s="17">
        <f>55.4482 * CHOOSE(CONTROL!$C$9, $D$9, 100%, $F$9) + CHOOSE(CONTROL!$C$27, 0.0021, 0)</f>
        <v>55.450299999999999</v>
      </c>
      <c r="E476" s="17">
        <f>55.3115 * CHOOSE(CONTROL!$C$9, $D$9, 100%, $F$9) + CHOOSE(CONTROL!$C$27, 0.0021, 0)</f>
        <v>55.313600000000001</v>
      </c>
      <c r="F476" s="17">
        <f>55.3115 * CHOOSE(CONTROL!$C$9, $D$9, 100%, $F$9) + CHOOSE(CONTROL!$C$27, 0.0021, 0)</f>
        <v>55.313600000000001</v>
      </c>
      <c r="G476" s="17">
        <f>55.5829 * CHOOSE(CONTROL!$C$9, $D$9, 100%, $F$9) + CHOOSE(CONTROL!$C$27, 0.0021, 0)</f>
        <v>55.585000000000001</v>
      </c>
      <c r="H476" s="17">
        <f>55.4482 * CHOOSE(CONTROL!$C$9, $D$9, 100%, $F$9) + CHOOSE(CONTROL!$C$27, 0.0021, 0)</f>
        <v>55.450299999999999</v>
      </c>
      <c r="I476" s="17">
        <f>55.4482 * CHOOSE(CONTROL!$C$9, $D$9, 100%, $F$9) + CHOOSE(CONTROL!$C$27, 0.0021, 0)</f>
        <v>55.450299999999999</v>
      </c>
      <c r="J476" s="17">
        <f>55.4482 * CHOOSE(CONTROL!$C$9, $D$9, 100%, $F$9) + CHOOSE(CONTROL!$C$27, 0.0021, 0)</f>
        <v>55.450299999999999</v>
      </c>
      <c r="K476" s="17">
        <f>55.4482 * CHOOSE(CONTROL!$C$9, $D$9, 100%, $F$9) + CHOOSE(CONTROL!$C$27, 0.0021, 0)</f>
        <v>55.450299999999999</v>
      </c>
      <c r="L476" s="17"/>
    </row>
    <row r="477" spans="1:12" ht="15.75" x14ac:dyDescent="0.25">
      <c r="A477" s="14">
        <v>55457</v>
      </c>
      <c r="B477" s="17">
        <f>57.2323 * CHOOSE(CONTROL!$C$9, $D$9, 100%, $F$9) + CHOOSE(CONTROL!$C$27, 0.0021, 0)</f>
        <v>57.234400000000001</v>
      </c>
      <c r="C477" s="17">
        <f>56.8001 * CHOOSE(CONTROL!$C$9, $D$9, 100%, $F$9) + CHOOSE(CONTROL!$C$27, 0.0021, 0)</f>
        <v>56.802199999999999</v>
      </c>
      <c r="D477" s="17">
        <f>56.8001 * CHOOSE(CONTROL!$C$9, $D$9, 100%, $F$9) + CHOOSE(CONTROL!$C$27, 0.0021, 0)</f>
        <v>56.802199999999999</v>
      </c>
      <c r="E477" s="17">
        <f>56.6634 * CHOOSE(CONTROL!$C$9, $D$9, 100%, $F$9) + CHOOSE(CONTROL!$C$27, 0.0021, 0)</f>
        <v>56.665500000000002</v>
      </c>
      <c r="F477" s="17">
        <f>56.6634 * CHOOSE(CONTROL!$C$9, $D$9, 100%, $F$9) + CHOOSE(CONTROL!$C$27, 0.0021, 0)</f>
        <v>56.665500000000002</v>
      </c>
      <c r="G477" s="17">
        <f>56.9348 * CHOOSE(CONTROL!$C$9, $D$9, 100%, $F$9) + CHOOSE(CONTROL!$C$27, 0.0021, 0)</f>
        <v>56.936900000000001</v>
      </c>
      <c r="H477" s="17">
        <f>56.8001 * CHOOSE(CONTROL!$C$9, $D$9, 100%, $F$9) + CHOOSE(CONTROL!$C$27, 0.0021, 0)</f>
        <v>56.802199999999999</v>
      </c>
      <c r="I477" s="17">
        <f>56.8001 * CHOOSE(CONTROL!$C$9, $D$9, 100%, $F$9) + CHOOSE(CONTROL!$C$27, 0.0021, 0)</f>
        <v>56.802199999999999</v>
      </c>
      <c r="J477" s="17">
        <f>56.8001 * CHOOSE(CONTROL!$C$9, $D$9, 100%, $F$9) + CHOOSE(CONTROL!$C$27, 0.0021, 0)</f>
        <v>56.802199999999999</v>
      </c>
      <c r="K477" s="17">
        <f>56.8001 * CHOOSE(CONTROL!$C$9, $D$9, 100%, $F$9) + CHOOSE(CONTROL!$C$27, 0.0021, 0)</f>
        <v>56.802199999999999</v>
      </c>
      <c r="L477" s="17"/>
    </row>
    <row r="478" spans="1:12" ht="15.75" x14ac:dyDescent="0.25">
      <c r="A478" s="14">
        <v>55487</v>
      </c>
      <c r="B478" s="17">
        <f>57.3592 * CHOOSE(CONTROL!$C$9, $D$9, 100%, $F$9) + CHOOSE(CONTROL!$C$27, 0.0021, 0)</f>
        <v>57.3613</v>
      </c>
      <c r="C478" s="17">
        <f>56.927 * CHOOSE(CONTROL!$C$9, $D$9, 100%, $F$9) + CHOOSE(CONTROL!$C$27, 0.0021, 0)</f>
        <v>56.929099999999998</v>
      </c>
      <c r="D478" s="17">
        <f>56.927 * CHOOSE(CONTROL!$C$9, $D$9, 100%, $F$9) + CHOOSE(CONTROL!$C$27, 0.0021, 0)</f>
        <v>56.929099999999998</v>
      </c>
      <c r="E478" s="17">
        <f>56.7903 * CHOOSE(CONTROL!$C$9, $D$9, 100%, $F$9) + CHOOSE(CONTROL!$C$27, 0.0021, 0)</f>
        <v>56.792400000000001</v>
      </c>
      <c r="F478" s="17">
        <f>56.7903 * CHOOSE(CONTROL!$C$9, $D$9, 100%, $F$9) + CHOOSE(CONTROL!$C$27, 0.0021, 0)</f>
        <v>56.792400000000001</v>
      </c>
      <c r="G478" s="17">
        <f>57.0617 * CHOOSE(CONTROL!$C$9, $D$9, 100%, $F$9) + CHOOSE(CONTROL!$C$27, 0.0021, 0)</f>
        <v>57.063800000000001</v>
      </c>
      <c r="H478" s="17">
        <f>56.927 * CHOOSE(CONTROL!$C$9, $D$9, 100%, $F$9) + CHOOSE(CONTROL!$C$27, 0.0021, 0)</f>
        <v>56.929099999999998</v>
      </c>
      <c r="I478" s="17">
        <f>56.927 * CHOOSE(CONTROL!$C$9, $D$9, 100%, $F$9) + CHOOSE(CONTROL!$C$27, 0.0021, 0)</f>
        <v>56.929099999999998</v>
      </c>
      <c r="J478" s="17">
        <f>56.927 * CHOOSE(CONTROL!$C$9, $D$9, 100%, $F$9) + CHOOSE(CONTROL!$C$27, 0.0021, 0)</f>
        <v>56.929099999999998</v>
      </c>
      <c r="K478" s="17">
        <f>56.927 * CHOOSE(CONTROL!$C$9, $D$9, 100%, $F$9) + CHOOSE(CONTROL!$C$27, 0.0021, 0)</f>
        <v>56.929099999999998</v>
      </c>
      <c r="L478" s="17"/>
    </row>
    <row r="479" spans="1:12" ht="15.75" x14ac:dyDescent="0.25">
      <c r="A479" s="14">
        <v>55518</v>
      </c>
      <c r="B479" s="17">
        <f>56.2795 * CHOOSE(CONTROL!$C$9, $D$9, 100%, $F$9) + CHOOSE(CONTROL!$C$27, 0.0021, 0)</f>
        <v>56.281599999999997</v>
      </c>
      <c r="C479" s="17">
        <f>55.8472 * CHOOSE(CONTROL!$C$9, $D$9, 100%, $F$9) + CHOOSE(CONTROL!$C$27, 0.0021, 0)</f>
        <v>55.849299999999999</v>
      </c>
      <c r="D479" s="17">
        <f>55.8472 * CHOOSE(CONTROL!$C$9, $D$9, 100%, $F$9) + CHOOSE(CONTROL!$C$27, 0.0021, 0)</f>
        <v>55.849299999999999</v>
      </c>
      <c r="E479" s="17">
        <f>55.7106 * CHOOSE(CONTROL!$C$9, $D$9, 100%, $F$9) + CHOOSE(CONTROL!$C$27, 0.0021, 0)</f>
        <v>55.712699999999998</v>
      </c>
      <c r="F479" s="17">
        <f>55.7106 * CHOOSE(CONTROL!$C$9, $D$9, 100%, $F$9) + CHOOSE(CONTROL!$C$27, 0.0021, 0)</f>
        <v>55.712699999999998</v>
      </c>
      <c r="G479" s="17">
        <f>55.9819 * CHOOSE(CONTROL!$C$9, $D$9, 100%, $F$9) + CHOOSE(CONTROL!$C$27, 0.0021, 0)</f>
        <v>55.984000000000002</v>
      </c>
      <c r="H479" s="17">
        <f>55.8472 * CHOOSE(CONTROL!$C$9, $D$9, 100%, $F$9) + CHOOSE(CONTROL!$C$27, 0.0021, 0)</f>
        <v>55.849299999999999</v>
      </c>
      <c r="I479" s="17">
        <f>55.8472 * CHOOSE(CONTROL!$C$9, $D$9, 100%, $F$9) + CHOOSE(CONTROL!$C$27, 0.0021, 0)</f>
        <v>55.849299999999999</v>
      </c>
      <c r="J479" s="17">
        <f>55.8472 * CHOOSE(CONTROL!$C$9, $D$9, 100%, $F$9) + CHOOSE(CONTROL!$C$27, 0.0021, 0)</f>
        <v>55.849299999999999</v>
      </c>
      <c r="K479" s="17">
        <f>55.8472 * CHOOSE(CONTROL!$C$9, $D$9, 100%, $F$9) + CHOOSE(CONTROL!$C$27, 0.0021, 0)</f>
        <v>55.849299999999999</v>
      </c>
      <c r="L479" s="17"/>
    </row>
    <row r="480" spans="1:12" ht="15.75" x14ac:dyDescent="0.25">
      <c r="A480" s="14">
        <v>55549</v>
      </c>
      <c r="B480" s="17">
        <f>55.597 * CHOOSE(CONTROL!$C$9, $D$9, 100%, $F$9) + CHOOSE(CONTROL!$C$27, 0.0021, 0)</f>
        <v>55.5991</v>
      </c>
      <c r="C480" s="17">
        <f>55.1648 * CHOOSE(CONTROL!$C$9, $D$9, 100%, $F$9) + CHOOSE(CONTROL!$C$27, 0.0021, 0)</f>
        <v>55.166899999999998</v>
      </c>
      <c r="D480" s="17">
        <f>55.1648 * CHOOSE(CONTROL!$C$9, $D$9, 100%, $F$9) + CHOOSE(CONTROL!$C$27, 0.0021, 0)</f>
        <v>55.166899999999998</v>
      </c>
      <c r="E480" s="17">
        <f>55.0281 * CHOOSE(CONTROL!$C$9, $D$9, 100%, $F$9) + CHOOSE(CONTROL!$C$27, 0.0021, 0)</f>
        <v>55.030200000000001</v>
      </c>
      <c r="F480" s="17">
        <f>55.0281 * CHOOSE(CONTROL!$C$9, $D$9, 100%, $F$9) + CHOOSE(CONTROL!$C$27, 0.0021, 0)</f>
        <v>55.030200000000001</v>
      </c>
      <c r="G480" s="17">
        <f>55.2995 * CHOOSE(CONTROL!$C$9, $D$9, 100%, $F$9) + CHOOSE(CONTROL!$C$27, 0.0021, 0)</f>
        <v>55.301600000000001</v>
      </c>
      <c r="H480" s="17">
        <f>55.1648 * CHOOSE(CONTROL!$C$9, $D$9, 100%, $F$9) + CHOOSE(CONTROL!$C$27, 0.0021, 0)</f>
        <v>55.166899999999998</v>
      </c>
      <c r="I480" s="17">
        <f>55.1648 * CHOOSE(CONTROL!$C$9, $D$9, 100%, $F$9) + CHOOSE(CONTROL!$C$27, 0.0021, 0)</f>
        <v>55.166899999999998</v>
      </c>
      <c r="J480" s="17">
        <f>55.1648 * CHOOSE(CONTROL!$C$9, $D$9, 100%, $F$9) + CHOOSE(CONTROL!$C$27, 0.0021, 0)</f>
        <v>55.166899999999998</v>
      </c>
      <c r="K480" s="17">
        <f>55.1648 * CHOOSE(CONTROL!$C$9, $D$9, 100%, $F$9) + CHOOSE(CONTROL!$C$27, 0.0021, 0)</f>
        <v>55.166899999999998</v>
      </c>
      <c r="L480" s="17"/>
    </row>
    <row r="481" spans="1:12" ht="15.75" x14ac:dyDescent="0.25">
      <c r="A481" s="14">
        <v>55577</v>
      </c>
      <c r="B481" s="17">
        <f>54.0893 * CHOOSE(CONTROL!$C$9, $D$9, 100%, $F$9) + CHOOSE(CONTROL!$C$27, 0.0021, 0)</f>
        <v>54.0914</v>
      </c>
      <c r="C481" s="17">
        <f>53.657 * CHOOSE(CONTROL!$C$9, $D$9, 100%, $F$9) + CHOOSE(CONTROL!$C$27, 0.0021, 0)</f>
        <v>53.659099999999995</v>
      </c>
      <c r="D481" s="17">
        <f>53.657 * CHOOSE(CONTROL!$C$9, $D$9, 100%, $F$9) + CHOOSE(CONTROL!$C$27, 0.0021, 0)</f>
        <v>53.659099999999995</v>
      </c>
      <c r="E481" s="17">
        <f>53.5204 * CHOOSE(CONTROL!$C$9, $D$9, 100%, $F$9) + CHOOSE(CONTROL!$C$27, 0.0021, 0)</f>
        <v>53.522500000000001</v>
      </c>
      <c r="F481" s="17">
        <f>53.5204 * CHOOSE(CONTROL!$C$9, $D$9, 100%, $F$9) + CHOOSE(CONTROL!$C$27, 0.0021, 0)</f>
        <v>53.522500000000001</v>
      </c>
      <c r="G481" s="17">
        <f>53.7918 * CHOOSE(CONTROL!$C$9, $D$9, 100%, $F$9) + CHOOSE(CONTROL!$C$27, 0.0021, 0)</f>
        <v>53.793900000000001</v>
      </c>
      <c r="H481" s="17">
        <f>53.657 * CHOOSE(CONTROL!$C$9, $D$9, 100%, $F$9) + CHOOSE(CONTROL!$C$27, 0.0021, 0)</f>
        <v>53.659099999999995</v>
      </c>
      <c r="I481" s="17">
        <f>53.657 * CHOOSE(CONTROL!$C$9, $D$9, 100%, $F$9) + CHOOSE(CONTROL!$C$27, 0.0021, 0)</f>
        <v>53.659099999999995</v>
      </c>
      <c r="J481" s="17">
        <f>53.657 * CHOOSE(CONTROL!$C$9, $D$9, 100%, $F$9) + CHOOSE(CONTROL!$C$27, 0.0021, 0)</f>
        <v>53.659099999999995</v>
      </c>
      <c r="K481" s="17">
        <f>53.657 * CHOOSE(CONTROL!$C$9, $D$9, 100%, $F$9) + CHOOSE(CONTROL!$C$27, 0.0021, 0)</f>
        <v>53.659099999999995</v>
      </c>
      <c r="L481" s="17"/>
    </row>
    <row r="482" spans="1:12" ht="15.75" x14ac:dyDescent="0.25">
      <c r="A482" s="14">
        <v>55609</v>
      </c>
      <c r="B482" s="17">
        <f>53.4669 * CHOOSE(CONTROL!$C$9, $D$9, 100%, $F$9) + CHOOSE(CONTROL!$C$27, 0.0021, 0)</f>
        <v>53.469000000000001</v>
      </c>
      <c r="C482" s="17">
        <f>53.0346 * CHOOSE(CONTROL!$C$9, $D$9, 100%, $F$9) + CHOOSE(CONTROL!$C$27, 0.0021, 0)</f>
        <v>53.036699999999996</v>
      </c>
      <c r="D482" s="17">
        <f>53.0346 * CHOOSE(CONTROL!$C$9, $D$9, 100%, $F$9) + CHOOSE(CONTROL!$C$27, 0.0021, 0)</f>
        <v>53.036699999999996</v>
      </c>
      <c r="E482" s="17">
        <f>52.898 * CHOOSE(CONTROL!$C$9, $D$9, 100%, $F$9) + CHOOSE(CONTROL!$C$27, 0.0021, 0)</f>
        <v>52.900100000000002</v>
      </c>
      <c r="F482" s="17">
        <f>52.898 * CHOOSE(CONTROL!$C$9, $D$9, 100%, $F$9) + CHOOSE(CONTROL!$C$27, 0.0021, 0)</f>
        <v>52.900100000000002</v>
      </c>
      <c r="G482" s="17">
        <f>53.1694 * CHOOSE(CONTROL!$C$9, $D$9, 100%, $F$9) + CHOOSE(CONTROL!$C$27, 0.0021, 0)</f>
        <v>53.171500000000002</v>
      </c>
      <c r="H482" s="17">
        <f>53.0346 * CHOOSE(CONTROL!$C$9, $D$9, 100%, $F$9) + CHOOSE(CONTROL!$C$27, 0.0021, 0)</f>
        <v>53.036699999999996</v>
      </c>
      <c r="I482" s="17">
        <f>53.0346 * CHOOSE(CONTROL!$C$9, $D$9, 100%, $F$9) + CHOOSE(CONTROL!$C$27, 0.0021, 0)</f>
        <v>53.036699999999996</v>
      </c>
      <c r="J482" s="17">
        <f>53.0346 * CHOOSE(CONTROL!$C$9, $D$9, 100%, $F$9) + CHOOSE(CONTROL!$C$27, 0.0021, 0)</f>
        <v>53.036699999999996</v>
      </c>
      <c r="K482" s="17">
        <f>53.0346 * CHOOSE(CONTROL!$C$9, $D$9, 100%, $F$9) + CHOOSE(CONTROL!$C$27, 0.0021, 0)</f>
        <v>53.036699999999996</v>
      </c>
      <c r="L482" s="17"/>
    </row>
    <row r="483" spans="1:12" ht="15.75" x14ac:dyDescent="0.25">
      <c r="A483" s="14">
        <v>55639</v>
      </c>
      <c r="B483" s="17">
        <f>52.7237 * CHOOSE(CONTROL!$C$9, $D$9, 100%, $F$9) + CHOOSE(CONTROL!$C$27, 0.0021, 0)</f>
        <v>52.7258</v>
      </c>
      <c r="C483" s="17">
        <f>52.2915 * CHOOSE(CONTROL!$C$9, $D$9, 100%, $F$9) + CHOOSE(CONTROL!$C$27, 0.0021, 0)</f>
        <v>52.293599999999998</v>
      </c>
      <c r="D483" s="17">
        <f>52.2915 * CHOOSE(CONTROL!$C$9, $D$9, 100%, $F$9) + CHOOSE(CONTROL!$C$27, 0.0021, 0)</f>
        <v>52.293599999999998</v>
      </c>
      <c r="E483" s="17">
        <f>52.1548 * CHOOSE(CONTROL!$C$9, $D$9, 100%, $F$9) + CHOOSE(CONTROL!$C$27, 0.0021, 0)</f>
        <v>52.1569</v>
      </c>
      <c r="F483" s="17">
        <f>52.1548 * CHOOSE(CONTROL!$C$9, $D$9, 100%, $F$9) + CHOOSE(CONTROL!$C$27, 0.0021, 0)</f>
        <v>52.1569</v>
      </c>
      <c r="G483" s="17">
        <f>52.4262 * CHOOSE(CONTROL!$C$9, $D$9, 100%, $F$9) + CHOOSE(CONTROL!$C$27, 0.0021, 0)</f>
        <v>52.4283</v>
      </c>
      <c r="H483" s="17">
        <f>52.2915 * CHOOSE(CONTROL!$C$9, $D$9, 100%, $F$9) + CHOOSE(CONTROL!$C$27, 0.0021, 0)</f>
        <v>52.293599999999998</v>
      </c>
      <c r="I483" s="17">
        <f>52.2915 * CHOOSE(CONTROL!$C$9, $D$9, 100%, $F$9) + CHOOSE(CONTROL!$C$27, 0.0021, 0)</f>
        <v>52.293599999999998</v>
      </c>
      <c r="J483" s="17">
        <f>52.2915 * CHOOSE(CONTROL!$C$9, $D$9, 100%, $F$9) + CHOOSE(CONTROL!$C$27, 0.0021, 0)</f>
        <v>52.293599999999998</v>
      </c>
      <c r="K483" s="17">
        <f>52.2915 * CHOOSE(CONTROL!$C$9, $D$9, 100%, $F$9) + CHOOSE(CONTROL!$C$27, 0.0021, 0)</f>
        <v>52.293599999999998</v>
      </c>
      <c r="L483" s="17"/>
    </row>
    <row r="484" spans="1:12" ht="15.75" x14ac:dyDescent="0.25">
      <c r="A484" s="14">
        <v>55670</v>
      </c>
      <c r="B484" s="17">
        <f>53.7828 * CHOOSE(CONTROL!$C$9, $D$9, 100%, $F$9) + CHOOSE(CONTROL!$C$27, 0.0021, 0)</f>
        <v>53.7849</v>
      </c>
      <c r="C484" s="17">
        <f>53.3506 * CHOOSE(CONTROL!$C$9, $D$9, 100%, $F$9) + CHOOSE(CONTROL!$C$27, 0.0021, 0)</f>
        <v>53.352699999999999</v>
      </c>
      <c r="D484" s="17">
        <f>53.3506 * CHOOSE(CONTROL!$C$9, $D$9, 100%, $F$9) + CHOOSE(CONTROL!$C$27, 0.0021, 0)</f>
        <v>53.352699999999999</v>
      </c>
      <c r="E484" s="17">
        <f>53.2139 * CHOOSE(CONTROL!$C$9, $D$9, 100%, $F$9) + CHOOSE(CONTROL!$C$27, 0.0021, 0)</f>
        <v>53.216000000000001</v>
      </c>
      <c r="F484" s="17">
        <f>53.2139 * CHOOSE(CONTROL!$C$9, $D$9, 100%, $F$9) + CHOOSE(CONTROL!$C$27, 0.0021, 0)</f>
        <v>53.216000000000001</v>
      </c>
      <c r="G484" s="17">
        <f>53.4853 * CHOOSE(CONTROL!$C$9, $D$9, 100%, $F$9) + CHOOSE(CONTROL!$C$27, 0.0021, 0)</f>
        <v>53.487400000000001</v>
      </c>
      <c r="H484" s="17">
        <f>53.3506 * CHOOSE(CONTROL!$C$9, $D$9, 100%, $F$9) + CHOOSE(CONTROL!$C$27, 0.0021, 0)</f>
        <v>53.352699999999999</v>
      </c>
      <c r="I484" s="17">
        <f>53.3506 * CHOOSE(CONTROL!$C$9, $D$9, 100%, $F$9) + CHOOSE(CONTROL!$C$27, 0.0021, 0)</f>
        <v>53.352699999999999</v>
      </c>
      <c r="J484" s="17">
        <f>53.3506 * CHOOSE(CONTROL!$C$9, $D$9, 100%, $F$9) + CHOOSE(CONTROL!$C$27, 0.0021, 0)</f>
        <v>53.352699999999999</v>
      </c>
      <c r="K484" s="17">
        <f>53.3506 * CHOOSE(CONTROL!$C$9, $D$9, 100%, $F$9) + CHOOSE(CONTROL!$C$27, 0.0021, 0)</f>
        <v>53.352699999999999</v>
      </c>
      <c r="L484" s="17"/>
    </row>
    <row r="485" spans="1:12" ht="15.75" x14ac:dyDescent="0.25">
      <c r="A485" s="14">
        <v>55700</v>
      </c>
      <c r="B485" s="17">
        <f>54.4172 * CHOOSE(CONTROL!$C$9, $D$9, 100%, $F$9) + CHOOSE(CONTROL!$C$27, 0.0021, 0)</f>
        <v>54.4193</v>
      </c>
      <c r="C485" s="17">
        <f>53.9849 * CHOOSE(CONTROL!$C$9, $D$9, 100%, $F$9) + CHOOSE(CONTROL!$C$27, 0.0021, 0)</f>
        <v>53.987000000000002</v>
      </c>
      <c r="D485" s="17">
        <f>53.9849 * CHOOSE(CONTROL!$C$9, $D$9, 100%, $F$9) + CHOOSE(CONTROL!$C$27, 0.0021, 0)</f>
        <v>53.987000000000002</v>
      </c>
      <c r="E485" s="17">
        <f>53.8483 * CHOOSE(CONTROL!$C$9, $D$9, 100%, $F$9) + CHOOSE(CONTROL!$C$27, 0.0021, 0)</f>
        <v>53.8504</v>
      </c>
      <c r="F485" s="17">
        <f>53.8483 * CHOOSE(CONTROL!$C$9, $D$9, 100%, $F$9) + CHOOSE(CONTROL!$C$27, 0.0021, 0)</f>
        <v>53.8504</v>
      </c>
      <c r="G485" s="17">
        <f>54.1196 * CHOOSE(CONTROL!$C$9, $D$9, 100%, $F$9) + CHOOSE(CONTROL!$C$27, 0.0021, 0)</f>
        <v>54.121699999999997</v>
      </c>
      <c r="H485" s="17">
        <f>53.9849 * CHOOSE(CONTROL!$C$9, $D$9, 100%, $F$9) + CHOOSE(CONTROL!$C$27, 0.0021, 0)</f>
        <v>53.987000000000002</v>
      </c>
      <c r="I485" s="17">
        <f>53.9849 * CHOOSE(CONTROL!$C$9, $D$9, 100%, $F$9) + CHOOSE(CONTROL!$C$27, 0.0021, 0)</f>
        <v>53.987000000000002</v>
      </c>
      <c r="J485" s="17">
        <f>53.9849 * CHOOSE(CONTROL!$C$9, $D$9, 100%, $F$9) + CHOOSE(CONTROL!$C$27, 0.0021, 0)</f>
        <v>53.987000000000002</v>
      </c>
      <c r="K485" s="17">
        <f>53.9849 * CHOOSE(CONTROL!$C$9, $D$9, 100%, $F$9) + CHOOSE(CONTROL!$C$27, 0.0021, 0)</f>
        <v>53.987000000000002</v>
      </c>
      <c r="L485" s="17"/>
    </row>
    <row r="486" spans="1:12" ht="15.75" x14ac:dyDescent="0.25">
      <c r="A486" s="14">
        <v>55731</v>
      </c>
      <c r="B486" s="17">
        <f>55.4636 * CHOOSE(CONTROL!$C$9, $D$9, 100%, $F$9) + CHOOSE(CONTROL!$C$27, 0.0021, 0)</f>
        <v>55.465699999999998</v>
      </c>
      <c r="C486" s="17">
        <f>55.0314 * CHOOSE(CONTROL!$C$9, $D$9, 100%, $F$9) + CHOOSE(CONTROL!$C$27, 0.0021, 0)</f>
        <v>55.033499999999997</v>
      </c>
      <c r="D486" s="17">
        <f>55.0314 * CHOOSE(CONTROL!$C$9, $D$9, 100%, $F$9) + CHOOSE(CONTROL!$C$27, 0.0021, 0)</f>
        <v>55.033499999999997</v>
      </c>
      <c r="E486" s="17">
        <f>54.8947 * CHOOSE(CONTROL!$C$9, $D$9, 100%, $F$9) + CHOOSE(CONTROL!$C$27, 0.0021, 0)</f>
        <v>54.896799999999999</v>
      </c>
      <c r="F486" s="17">
        <f>54.8947 * CHOOSE(CONTROL!$C$9, $D$9, 100%, $F$9) + CHOOSE(CONTROL!$C$27, 0.0021, 0)</f>
        <v>54.896799999999999</v>
      </c>
      <c r="G486" s="17">
        <f>55.1661 * CHOOSE(CONTROL!$C$9, $D$9, 100%, $F$9) + CHOOSE(CONTROL!$C$27, 0.0021, 0)</f>
        <v>55.168199999999999</v>
      </c>
      <c r="H486" s="17">
        <f>55.0314 * CHOOSE(CONTROL!$C$9, $D$9, 100%, $F$9) + CHOOSE(CONTROL!$C$27, 0.0021, 0)</f>
        <v>55.033499999999997</v>
      </c>
      <c r="I486" s="17">
        <f>55.0314 * CHOOSE(CONTROL!$C$9, $D$9, 100%, $F$9) + CHOOSE(CONTROL!$C$27, 0.0021, 0)</f>
        <v>55.033499999999997</v>
      </c>
      <c r="J486" s="17">
        <f>55.0314 * CHOOSE(CONTROL!$C$9, $D$9, 100%, $F$9) + CHOOSE(CONTROL!$C$27, 0.0021, 0)</f>
        <v>55.033499999999997</v>
      </c>
      <c r="K486" s="17">
        <f>55.0314 * CHOOSE(CONTROL!$C$9, $D$9, 100%, $F$9) + CHOOSE(CONTROL!$C$27, 0.0021, 0)</f>
        <v>55.033499999999997</v>
      </c>
      <c r="L486" s="17"/>
    </row>
    <row r="487" spans="1:12" ht="15.75" x14ac:dyDescent="0.25">
      <c r="A487" s="14">
        <v>55762</v>
      </c>
      <c r="B487" s="17">
        <f>55.783 * CHOOSE(CONTROL!$C$9, $D$9, 100%, $F$9) + CHOOSE(CONTROL!$C$27, 0.0021, 0)</f>
        <v>55.7851</v>
      </c>
      <c r="C487" s="17">
        <f>55.3508 * CHOOSE(CONTROL!$C$9, $D$9, 100%, $F$9) + CHOOSE(CONTROL!$C$27, 0.0021, 0)</f>
        <v>55.352899999999998</v>
      </c>
      <c r="D487" s="17">
        <f>55.3508 * CHOOSE(CONTROL!$C$9, $D$9, 100%, $F$9) + CHOOSE(CONTROL!$C$27, 0.0021, 0)</f>
        <v>55.352899999999998</v>
      </c>
      <c r="E487" s="17">
        <f>55.2141 * CHOOSE(CONTROL!$C$9, $D$9, 100%, $F$9) + CHOOSE(CONTROL!$C$27, 0.0021, 0)</f>
        <v>55.216200000000001</v>
      </c>
      <c r="F487" s="17">
        <f>55.2141 * CHOOSE(CONTROL!$C$9, $D$9, 100%, $F$9) + CHOOSE(CONTROL!$C$27, 0.0021, 0)</f>
        <v>55.216200000000001</v>
      </c>
      <c r="G487" s="17">
        <f>55.4855 * CHOOSE(CONTROL!$C$9, $D$9, 100%, $F$9) + CHOOSE(CONTROL!$C$27, 0.0021, 0)</f>
        <v>55.4876</v>
      </c>
      <c r="H487" s="17">
        <f>55.3508 * CHOOSE(CONTROL!$C$9, $D$9, 100%, $F$9) + CHOOSE(CONTROL!$C$27, 0.0021, 0)</f>
        <v>55.352899999999998</v>
      </c>
      <c r="I487" s="17">
        <f>55.3508 * CHOOSE(CONTROL!$C$9, $D$9, 100%, $F$9) + CHOOSE(CONTROL!$C$27, 0.0021, 0)</f>
        <v>55.352899999999998</v>
      </c>
      <c r="J487" s="17">
        <f>55.3508 * CHOOSE(CONTROL!$C$9, $D$9, 100%, $F$9) + CHOOSE(CONTROL!$C$27, 0.0021, 0)</f>
        <v>55.352899999999998</v>
      </c>
      <c r="K487" s="17">
        <f>55.3508 * CHOOSE(CONTROL!$C$9, $D$9, 100%, $F$9) + CHOOSE(CONTROL!$C$27, 0.0021, 0)</f>
        <v>55.352899999999998</v>
      </c>
      <c r="L487" s="17"/>
    </row>
    <row r="488" spans="1:12" ht="15.75" x14ac:dyDescent="0.25">
      <c r="A488" s="14">
        <v>55792</v>
      </c>
      <c r="B488" s="17">
        <f>56.8708 * CHOOSE(CONTROL!$C$9, $D$9, 100%, $F$9) + CHOOSE(CONTROL!$C$27, 0.0021, 0)</f>
        <v>56.872900000000001</v>
      </c>
      <c r="C488" s="17">
        <f>56.4385 * CHOOSE(CONTROL!$C$9, $D$9, 100%, $F$9) + CHOOSE(CONTROL!$C$27, 0.0021, 0)</f>
        <v>56.440599999999996</v>
      </c>
      <c r="D488" s="17">
        <f>56.4385 * CHOOSE(CONTROL!$C$9, $D$9, 100%, $F$9) + CHOOSE(CONTROL!$C$27, 0.0021, 0)</f>
        <v>56.440599999999996</v>
      </c>
      <c r="E488" s="17">
        <f>56.3018 * CHOOSE(CONTROL!$C$9, $D$9, 100%, $F$9) + CHOOSE(CONTROL!$C$27, 0.0021, 0)</f>
        <v>56.303899999999999</v>
      </c>
      <c r="F488" s="17">
        <f>56.3018 * CHOOSE(CONTROL!$C$9, $D$9, 100%, $F$9) + CHOOSE(CONTROL!$C$27, 0.0021, 0)</f>
        <v>56.303899999999999</v>
      </c>
      <c r="G488" s="17">
        <f>56.5732 * CHOOSE(CONTROL!$C$9, $D$9, 100%, $F$9) + CHOOSE(CONTROL!$C$27, 0.0021, 0)</f>
        <v>56.575299999999999</v>
      </c>
      <c r="H488" s="17">
        <f>56.4385 * CHOOSE(CONTROL!$C$9, $D$9, 100%, $F$9) + CHOOSE(CONTROL!$C$27, 0.0021, 0)</f>
        <v>56.440599999999996</v>
      </c>
      <c r="I488" s="17">
        <f>56.4385 * CHOOSE(CONTROL!$C$9, $D$9, 100%, $F$9) + CHOOSE(CONTROL!$C$27, 0.0021, 0)</f>
        <v>56.440599999999996</v>
      </c>
      <c r="J488" s="17">
        <f>56.4385 * CHOOSE(CONTROL!$C$9, $D$9, 100%, $F$9) + CHOOSE(CONTROL!$C$27, 0.0021, 0)</f>
        <v>56.440599999999996</v>
      </c>
      <c r="K488" s="17">
        <f>56.4385 * CHOOSE(CONTROL!$C$9, $D$9, 100%, $F$9) + CHOOSE(CONTROL!$C$27, 0.0021, 0)</f>
        <v>56.440599999999996</v>
      </c>
      <c r="L488" s="17"/>
    </row>
    <row r="489" spans="1:12" ht="15.75" x14ac:dyDescent="0.25">
      <c r="A489" s="14">
        <v>55823</v>
      </c>
      <c r="B489" s="17">
        <f>58.2476 * CHOOSE(CONTROL!$C$9, $D$9, 100%, $F$9) + CHOOSE(CONTROL!$C$27, 0.0021, 0)</f>
        <v>58.249699999999997</v>
      </c>
      <c r="C489" s="17">
        <f>57.8154 * CHOOSE(CONTROL!$C$9, $D$9, 100%, $F$9) + CHOOSE(CONTROL!$C$27, 0.0021, 0)</f>
        <v>57.817499999999995</v>
      </c>
      <c r="D489" s="17">
        <f>57.8154 * CHOOSE(CONTROL!$C$9, $D$9, 100%, $F$9) + CHOOSE(CONTROL!$C$27, 0.0021, 0)</f>
        <v>57.817499999999995</v>
      </c>
      <c r="E489" s="17">
        <f>57.6787 * CHOOSE(CONTROL!$C$9, $D$9, 100%, $F$9) + CHOOSE(CONTROL!$C$27, 0.0021, 0)</f>
        <v>57.680799999999998</v>
      </c>
      <c r="F489" s="17">
        <f>57.6787 * CHOOSE(CONTROL!$C$9, $D$9, 100%, $F$9) + CHOOSE(CONTROL!$C$27, 0.0021, 0)</f>
        <v>57.680799999999998</v>
      </c>
      <c r="G489" s="17">
        <f>57.9501 * CHOOSE(CONTROL!$C$9, $D$9, 100%, $F$9) + CHOOSE(CONTROL!$C$27, 0.0021, 0)</f>
        <v>57.952199999999998</v>
      </c>
      <c r="H489" s="17">
        <f>57.8154 * CHOOSE(CONTROL!$C$9, $D$9, 100%, $F$9) + CHOOSE(CONTROL!$C$27, 0.0021, 0)</f>
        <v>57.817499999999995</v>
      </c>
      <c r="I489" s="17">
        <f>57.8154 * CHOOSE(CONTROL!$C$9, $D$9, 100%, $F$9) + CHOOSE(CONTROL!$C$27, 0.0021, 0)</f>
        <v>57.817499999999995</v>
      </c>
      <c r="J489" s="17">
        <f>57.8154 * CHOOSE(CONTROL!$C$9, $D$9, 100%, $F$9) + CHOOSE(CONTROL!$C$27, 0.0021, 0)</f>
        <v>57.817499999999995</v>
      </c>
      <c r="K489" s="17">
        <f>57.8154 * CHOOSE(CONTROL!$C$9, $D$9, 100%, $F$9) + CHOOSE(CONTROL!$C$27, 0.0021, 0)</f>
        <v>57.817499999999995</v>
      </c>
      <c r="L489" s="17"/>
    </row>
    <row r="490" spans="1:12" ht="15.75" x14ac:dyDescent="0.25">
      <c r="A490" s="14">
        <v>55853</v>
      </c>
      <c r="B490" s="17">
        <f>58.3769 * CHOOSE(CONTROL!$C$9, $D$9, 100%, $F$9) + CHOOSE(CONTROL!$C$27, 0.0021, 0)</f>
        <v>58.378999999999998</v>
      </c>
      <c r="C490" s="17">
        <f>57.9446 * CHOOSE(CONTROL!$C$9, $D$9, 100%, $F$9) + CHOOSE(CONTROL!$C$27, 0.0021, 0)</f>
        <v>57.9467</v>
      </c>
      <c r="D490" s="17">
        <f>57.9446 * CHOOSE(CONTROL!$C$9, $D$9, 100%, $F$9) + CHOOSE(CONTROL!$C$27, 0.0021, 0)</f>
        <v>57.9467</v>
      </c>
      <c r="E490" s="17">
        <f>57.808 * CHOOSE(CONTROL!$C$9, $D$9, 100%, $F$9) + CHOOSE(CONTROL!$C$27, 0.0021, 0)</f>
        <v>57.810099999999998</v>
      </c>
      <c r="F490" s="17">
        <f>57.808 * CHOOSE(CONTROL!$C$9, $D$9, 100%, $F$9) + CHOOSE(CONTROL!$C$27, 0.0021, 0)</f>
        <v>57.810099999999998</v>
      </c>
      <c r="G490" s="17">
        <f>58.0794 * CHOOSE(CONTROL!$C$9, $D$9, 100%, $F$9) + CHOOSE(CONTROL!$C$27, 0.0021, 0)</f>
        <v>58.081499999999998</v>
      </c>
      <c r="H490" s="17">
        <f>57.9446 * CHOOSE(CONTROL!$C$9, $D$9, 100%, $F$9) + CHOOSE(CONTROL!$C$27, 0.0021, 0)</f>
        <v>57.9467</v>
      </c>
      <c r="I490" s="17">
        <f>57.9446 * CHOOSE(CONTROL!$C$9, $D$9, 100%, $F$9) + CHOOSE(CONTROL!$C$27, 0.0021, 0)</f>
        <v>57.9467</v>
      </c>
      <c r="J490" s="17">
        <f>57.9446 * CHOOSE(CONTROL!$C$9, $D$9, 100%, $F$9) + CHOOSE(CONTROL!$C$27, 0.0021, 0)</f>
        <v>57.9467</v>
      </c>
      <c r="K490" s="17">
        <f>57.9446 * CHOOSE(CONTROL!$C$9, $D$9, 100%, $F$9) + CHOOSE(CONTROL!$C$27, 0.0021, 0)</f>
        <v>57.9467</v>
      </c>
      <c r="L490" s="17"/>
    </row>
    <row r="491" spans="1:12" ht="15.75" x14ac:dyDescent="0.25">
      <c r="A491" s="14">
        <v>55884</v>
      </c>
      <c r="B491" s="17">
        <f>57.2772 * CHOOSE(CONTROL!$C$9, $D$9, 100%, $F$9) + CHOOSE(CONTROL!$C$27, 0.0021, 0)</f>
        <v>57.279299999999999</v>
      </c>
      <c r="C491" s="17">
        <f>56.845 * CHOOSE(CONTROL!$C$9, $D$9, 100%, $F$9) + CHOOSE(CONTROL!$C$27, 0.0021, 0)</f>
        <v>56.847099999999998</v>
      </c>
      <c r="D491" s="17">
        <f>56.845 * CHOOSE(CONTROL!$C$9, $D$9, 100%, $F$9) + CHOOSE(CONTROL!$C$27, 0.0021, 0)</f>
        <v>56.847099999999998</v>
      </c>
      <c r="E491" s="17">
        <f>56.7083 * CHOOSE(CONTROL!$C$9, $D$9, 100%, $F$9) + CHOOSE(CONTROL!$C$27, 0.0021, 0)</f>
        <v>56.7104</v>
      </c>
      <c r="F491" s="17">
        <f>56.7083 * CHOOSE(CONTROL!$C$9, $D$9, 100%, $F$9) + CHOOSE(CONTROL!$C$27, 0.0021, 0)</f>
        <v>56.7104</v>
      </c>
      <c r="G491" s="17">
        <f>56.9797 * CHOOSE(CONTROL!$C$9, $D$9, 100%, $F$9) + CHOOSE(CONTROL!$C$27, 0.0021, 0)</f>
        <v>56.9818</v>
      </c>
      <c r="H491" s="17">
        <f>56.845 * CHOOSE(CONTROL!$C$9, $D$9, 100%, $F$9) + CHOOSE(CONTROL!$C$27, 0.0021, 0)</f>
        <v>56.847099999999998</v>
      </c>
      <c r="I491" s="17">
        <f>56.845 * CHOOSE(CONTROL!$C$9, $D$9, 100%, $F$9) + CHOOSE(CONTROL!$C$27, 0.0021, 0)</f>
        <v>56.847099999999998</v>
      </c>
      <c r="J491" s="17">
        <f>56.845 * CHOOSE(CONTROL!$C$9, $D$9, 100%, $F$9) + CHOOSE(CONTROL!$C$27, 0.0021, 0)</f>
        <v>56.847099999999998</v>
      </c>
      <c r="K491" s="17">
        <f>56.845 * CHOOSE(CONTROL!$C$9, $D$9, 100%, $F$9) + CHOOSE(CONTROL!$C$27, 0.0021, 0)</f>
        <v>56.847099999999998</v>
      </c>
      <c r="L491" s="17"/>
    </row>
    <row r="492" spans="1:12" ht="15.75" x14ac:dyDescent="0.25">
      <c r="A492" s="14">
        <v>55915</v>
      </c>
      <c r="B492" s="17">
        <f>56.5821 * CHOOSE(CONTROL!$C$9, $D$9, 100%, $F$9) + CHOOSE(CONTROL!$C$27, 0.0021, 0)</f>
        <v>56.584199999999996</v>
      </c>
      <c r="C492" s="17">
        <f>56.1499 * CHOOSE(CONTROL!$C$9, $D$9, 100%, $F$9) + CHOOSE(CONTROL!$C$27, 0.0021, 0)</f>
        <v>56.152000000000001</v>
      </c>
      <c r="D492" s="17">
        <f>56.1499 * CHOOSE(CONTROL!$C$9, $D$9, 100%, $F$9) + CHOOSE(CONTROL!$C$27, 0.0021, 0)</f>
        <v>56.152000000000001</v>
      </c>
      <c r="E492" s="17">
        <f>56.0132 * CHOOSE(CONTROL!$C$9, $D$9, 100%, $F$9) + CHOOSE(CONTROL!$C$27, 0.0021, 0)</f>
        <v>56.015299999999996</v>
      </c>
      <c r="F492" s="17">
        <f>56.0132 * CHOOSE(CONTROL!$C$9, $D$9, 100%, $F$9) + CHOOSE(CONTROL!$C$27, 0.0021, 0)</f>
        <v>56.015299999999996</v>
      </c>
      <c r="G492" s="17">
        <f>56.2846 * CHOOSE(CONTROL!$C$9, $D$9, 100%, $F$9) + CHOOSE(CONTROL!$C$27, 0.0021, 0)</f>
        <v>56.286699999999996</v>
      </c>
      <c r="H492" s="17">
        <f>56.1499 * CHOOSE(CONTROL!$C$9, $D$9, 100%, $F$9) + CHOOSE(CONTROL!$C$27, 0.0021, 0)</f>
        <v>56.152000000000001</v>
      </c>
      <c r="I492" s="17">
        <f>56.1499 * CHOOSE(CONTROL!$C$9, $D$9, 100%, $F$9) + CHOOSE(CONTROL!$C$27, 0.0021, 0)</f>
        <v>56.152000000000001</v>
      </c>
      <c r="J492" s="17">
        <f>56.1499 * CHOOSE(CONTROL!$C$9, $D$9, 100%, $F$9) + CHOOSE(CONTROL!$C$27, 0.0021, 0)</f>
        <v>56.152000000000001</v>
      </c>
      <c r="K492" s="17">
        <f>56.1499 * CHOOSE(CONTROL!$C$9, $D$9, 100%, $F$9) + CHOOSE(CONTROL!$C$27, 0.0021, 0)</f>
        <v>56.152000000000001</v>
      </c>
      <c r="L492" s="17"/>
    </row>
    <row r="493" spans="1:12" ht="15.75" x14ac:dyDescent="0.25">
      <c r="A493" s="14">
        <v>55943</v>
      </c>
      <c r="B493" s="17">
        <f>55.0465 * CHOOSE(CONTROL!$C$9, $D$9, 100%, $F$9) + CHOOSE(CONTROL!$C$27, 0.0021, 0)</f>
        <v>55.0486</v>
      </c>
      <c r="C493" s="17">
        <f>54.6143 * CHOOSE(CONTROL!$C$9, $D$9, 100%, $F$9) + CHOOSE(CONTROL!$C$27, 0.0021, 0)</f>
        <v>54.616399999999999</v>
      </c>
      <c r="D493" s="17">
        <f>54.6143 * CHOOSE(CONTROL!$C$9, $D$9, 100%, $F$9) + CHOOSE(CONTROL!$C$27, 0.0021, 0)</f>
        <v>54.616399999999999</v>
      </c>
      <c r="E493" s="17">
        <f>54.4776 * CHOOSE(CONTROL!$C$9, $D$9, 100%, $F$9) + CHOOSE(CONTROL!$C$27, 0.0021, 0)</f>
        <v>54.479700000000001</v>
      </c>
      <c r="F493" s="17">
        <f>54.4776 * CHOOSE(CONTROL!$C$9, $D$9, 100%, $F$9) + CHOOSE(CONTROL!$C$27, 0.0021, 0)</f>
        <v>54.479700000000001</v>
      </c>
      <c r="G493" s="17">
        <f>54.749 * CHOOSE(CONTROL!$C$9, $D$9, 100%, $F$9) + CHOOSE(CONTROL!$C$27, 0.0021, 0)</f>
        <v>54.751100000000001</v>
      </c>
      <c r="H493" s="17">
        <f>54.6143 * CHOOSE(CONTROL!$C$9, $D$9, 100%, $F$9) + CHOOSE(CONTROL!$C$27, 0.0021, 0)</f>
        <v>54.616399999999999</v>
      </c>
      <c r="I493" s="17">
        <f>54.6143 * CHOOSE(CONTROL!$C$9, $D$9, 100%, $F$9) + CHOOSE(CONTROL!$C$27, 0.0021, 0)</f>
        <v>54.616399999999999</v>
      </c>
      <c r="J493" s="17">
        <f>54.6143 * CHOOSE(CONTROL!$C$9, $D$9, 100%, $F$9) + CHOOSE(CONTROL!$C$27, 0.0021, 0)</f>
        <v>54.616399999999999</v>
      </c>
      <c r="K493" s="17">
        <f>54.6143 * CHOOSE(CONTROL!$C$9, $D$9, 100%, $F$9) + CHOOSE(CONTROL!$C$27, 0.0021, 0)</f>
        <v>54.616399999999999</v>
      </c>
      <c r="L493" s="17"/>
    </row>
    <row r="494" spans="1:12" ht="15.75" x14ac:dyDescent="0.25">
      <c r="A494" s="14">
        <v>55974</v>
      </c>
      <c r="B494" s="17">
        <f>54.4126 * CHOOSE(CONTROL!$C$9, $D$9, 100%, $F$9) + CHOOSE(CONTROL!$C$27, 0.0021, 0)</f>
        <v>54.414699999999996</v>
      </c>
      <c r="C494" s="17">
        <f>53.9804 * CHOOSE(CONTROL!$C$9, $D$9, 100%, $F$9) + CHOOSE(CONTROL!$C$27, 0.0021, 0)</f>
        <v>53.982500000000002</v>
      </c>
      <c r="D494" s="17">
        <f>53.9804 * CHOOSE(CONTROL!$C$9, $D$9, 100%, $F$9) + CHOOSE(CONTROL!$C$27, 0.0021, 0)</f>
        <v>53.982500000000002</v>
      </c>
      <c r="E494" s="17">
        <f>53.8437 * CHOOSE(CONTROL!$C$9, $D$9, 100%, $F$9) + CHOOSE(CONTROL!$C$27, 0.0021, 0)</f>
        <v>53.845799999999997</v>
      </c>
      <c r="F494" s="17">
        <f>53.8437 * CHOOSE(CONTROL!$C$9, $D$9, 100%, $F$9) + CHOOSE(CONTROL!$C$27, 0.0021, 0)</f>
        <v>53.845799999999997</v>
      </c>
      <c r="G494" s="17">
        <f>54.1151 * CHOOSE(CONTROL!$C$9, $D$9, 100%, $F$9) + CHOOSE(CONTROL!$C$27, 0.0021, 0)</f>
        <v>54.117199999999997</v>
      </c>
      <c r="H494" s="17">
        <f>53.9804 * CHOOSE(CONTROL!$C$9, $D$9, 100%, $F$9) + CHOOSE(CONTROL!$C$27, 0.0021, 0)</f>
        <v>53.982500000000002</v>
      </c>
      <c r="I494" s="17">
        <f>53.9804 * CHOOSE(CONTROL!$C$9, $D$9, 100%, $F$9) + CHOOSE(CONTROL!$C$27, 0.0021, 0)</f>
        <v>53.982500000000002</v>
      </c>
      <c r="J494" s="17">
        <f>53.9804 * CHOOSE(CONTROL!$C$9, $D$9, 100%, $F$9) + CHOOSE(CONTROL!$C$27, 0.0021, 0)</f>
        <v>53.982500000000002</v>
      </c>
      <c r="K494" s="17">
        <f>53.9804 * CHOOSE(CONTROL!$C$9, $D$9, 100%, $F$9) + CHOOSE(CONTROL!$C$27, 0.0021, 0)</f>
        <v>53.982500000000002</v>
      </c>
      <c r="L494" s="17"/>
    </row>
    <row r="495" spans="1:12" ht="15.75" x14ac:dyDescent="0.25">
      <c r="A495" s="14">
        <v>56004</v>
      </c>
      <c r="B495" s="17">
        <f>53.6558 * CHOOSE(CONTROL!$C$9, $D$9, 100%, $F$9) + CHOOSE(CONTROL!$C$27, 0.0021, 0)</f>
        <v>53.657899999999998</v>
      </c>
      <c r="C495" s="17">
        <f>53.2235 * CHOOSE(CONTROL!$C$9, $D$9, 100%, $F$9) + CHOOSE(CONTROL!$C$27, 0.0021, 0)</f>
        <v>53.2256</v>
      </c>
      <c r="D495" s="17">
        <f>53.2235 * CHOOSE(CONTROL!$C$9, $D$9, 100%, $F$9) + CHOOSE(CONTROL!$C$27, 0.0021, 0)</f>
        <v>53.2256</v>
      </c>
      <c r="E495" s="17">
        <f>53.0868 * CHOOSE(CONTROL!$C$9, $D$9, 100%, $F$9) + CHOOSE(CONTROL!$C$27, 0.0021, 0)</f>
        <v>53.088899999999995</v>
      </c>
      <c r="F495" s="17">
        <f>53.0868 * CHOOSE(CONTROL!$C$9, $D$9, 100%, $F$9) + CHOOSE(CONTROL!$C$27, 0.0021, 0)</f>
        <v>53.088899999999995</v>
      </c>
      <c r="G495" s="17">
        <f>53.3582 * CHOOSE(CONTROL!$C$9, $D$9, 100%, $F$9) + CHOOSE(CONTROL!$C$27, 0.0021, 0)</f>
        <v>53.360299999999995</v>
      </c>
      <c r="H495" s="17">
        <f>53.2235 * CHOOSE(CONTROL!$C$9, $D$9, 100%, $F$9) + CHOOSE(CONTROL!$C$27, 0.0021, 0)</f>
        <v>53.2256</v>
      </c>
      <c r="I495" s="17">
        <f>53.2235 * CHOOSE(CONTROL!$C$9, $D$9, 100%, $F$9) + CHOOSE(CONTROL!$C$27, 0.0021, 0)</f>
        <v>53.2256</v>
      </c>
      <c r="J495" s="17">
        <f>53.2235 * CHOOSE(CONTROL!$C$9, $D$9, 100%, $F$9) + CHOOSE(CONTROL!$C$27, 0.0021, 0)</f>
        <v>53.2256</v>
      </c>
      <c r="K495" s="17">
        <f>53.2235 * CHOOSE(CONTROL!$C$9, $D$9, 100%, $F$9) + CHOOSE(CONTROL!$C$27, 0.0021, 0)</f>
        <v>53.2256</v>
      </c>
      <c r="L495" s="17"/>
    </row>
    <row r="496" spans="1:12" ht="15.75" x14ac:dyDescent="0.25">
      <c r="A496" s="14">
        <v>56035</v>
      </c>
      <c r="B496" s="17">
        <f>54.7344 * CHOOSE(CONTROL!$C$9, $D$9, 100%, $F$9) + CHOOSE(CONTROL!$C$27, 0.0021, 0)</f>
        <v>54.736499999999999</v>
      </c>
      <c r="C496" s="17">
        <f>54.3022 * CHOOSE(CONTROL!$C$9, $D$9, 100%, $F$9) + CHOOSE(CONTROL!$C$27, 0.0021, 0)</f>
        <v>54.304299999999998</v>
      </c>
      <c r="D496" s="17">
        <f>54.3022 * CHOOSE(CONTROL!$C$9, $D$9, 100%, $F$9) + CHOOSE(CONTROL!$C$27, 0.0021, 0)</f>
        <v>54.304299999999998</v>
      </c>
      <c r="E496" s="17">
        <f>54.1655 * CHOOSE(CONTROL!$C$9, $D$9, 100%, $F$9) + CHOOSE(CONTROL!$C$27, 0.0021, 0)</f>
        <v>54.1676</v>
      </c>
      <c r="F496" s="17">
        <f>54.1655 * CHOOSE(CONTROL!$C$9, $D$9, 100%, $F$9) + CHOOSE(CONTROL!$C$27, 0.0021, 0)</f>
        <v>54.1676</v>
      </c>
      <c r="G496" s="17">
        <f>54.4369 * CHOOSE(CONTROL!$C$9, $D$9, 100%, $F$9) + CHOOSE(CONTROL!$C$27, 0.0021, 0)</f>
        <v>54.439</v>
      </c>
      <c r="H496" s="17">
        <f>54.3022 * CHOOSE(CONTROL!$C$9, $D$9, 100%, $F$9) + CHOOSE(CONTROL!$C$27, 0.0021, 0)</f>
        <v>54.304299999999998</v>
      </c>
      <c r="I496" s="17">
        <f>54.3022 * CHOOSE(CONTROL!$C$9, $D$9, 100%, $F$9) + CHOOSE(CONTROL!$C$27, 0.0021, 0)</f>
        <v>54.304299999999998</v>
      </c>
      <c r="J496" s="17">
        <f>54.3022 * CHOOSE(CONTROL!$C$9, $D$9, 100%, $F$9) + CHOOSE(CONTROL!$C$27, 0.0021, 0)</f>
        <v>54.304299999999998</v>
      </c>
      <c r="K496" s="17">
        <f>54.3022 * CHOOSE(CONTROL!$C$9, $D$9, 100%, $F$9) + CHOOSE(CONTROL!$C$27, 0.0021, 0)</f>
        <v>54.304299999999998</v>
      </c>
      <c r="L496" s="17"/>
    </row>
    <row r="497" spans="1:12" ht="15.75" x14ac:dyDescent="0.25">
      <c r="A497" s="14">
        <v>56065</v>
      </c>
      <c r="B497" s="17">
        <f>55.3805 * CHOOSE(CONTROL!$C$9, $D$9, 100%, $F$9) + CHOOSE(CONTROL!$C$27, 0.0021, 0)</f>
        <v>55.382599999999996</v>
      </c>
      <c r="C497" s="17">
        <f>54.9482 * CHOOSE(CONTROL!$C$9, $D$9, 100%, $F$9) + CHOOSE(CONTROL!$C$27, 0.0021, 0)</f>
        <v>54.950299999999999</v>
      </c>
      <c r="D497" s="17">
        <f>54.9482 * CHOOSE(CONTROL!$C$9, $D$9, 100%, $F$9) + CHOOSE(CONTROL!$C$27, 0.0021, 0)</f>
        <v>54.950299999999999</v>
      </c>
      <c r="E497" s="17">
        <f>54.8116 * CHOOSE(CONTROL!$C$9, $D$9, 100%, $F$9) + CHOOSE(CONTROL!$C$27, 0.0021, 0)</f>
        <v>54.813699999999997</v>
      </c>
      <c r="F497" s="17">
        <f>54.8116 * CHOOSE(CONTROL!$C$9, $D$9, 100%, $F$9) + CHOOSE(CONTROL!$C$27, 0.0021, 0)</f>
        <v>54.813699999999997</v>
      </c>
      <c r="G497" s="17">
        <f>55.0829 * CHOOSE(CONTROL!$C$9, $D$9, 100%, $F$9) + CHOOSE(CONTROL!$C$27, 0.0021, 0)</f>
        <v>55.085000000000001</v>
      </c>
      <c r="H497" s="17">
        <f>54.9482 * CHOOSE(CONTROL!$C$9, $D$9, 100%, $F$9) + CHOOSE(CONTROL!$C$27, 0.0021, 0)</f>
        <v>54.950299999999999</v>
      </c>
      <c r="I497" s="17">
        <f>54.9482 * CHOOSE(CONTROL!$C$9, $D$9, 100%, $F$9) + CHOOSE(CONTROL!$C$27, 0.0021, 0)</f>
        <v>54.950299999999999</v>
      </c>
      <c r="J497" s="17">
        <f>54.9482 * CHOOSE(CONTROL!$C$9, $D$9, 100%, $F$9) + CHOOSE(CONTROL!$C$27, 0.0021, 0)</f>
        <v>54.950299999999999</v>
      </c>
      <c r="K497" s="17">
        <f>54.9482 * CHOOSE(CONTROL!$C$9, $D$9, 100%, $F$9) + CHOOSE(CONTROL!$C$27, 0.0021, 0)</f>
        <v>54.950299999999999</v>
      </c>
      <c r="L497" s="17"/>
    </row>
    <row r="498" spans="1:12" ht="15.75" x14ac:dyDescent="0.25">
      <c r="A498" s="14">
        <v>56096</v>
      </c>
      <c r="B498" s="17">
        <f>56.4463 * CHOOSE(CONTROL!$C$9, $D$9, 100%, $F$9) + CHOOSE(CONTROL!$C$27, 0.0021, 0)</f>
        <v>56.448399999999999</v>
      </c>
      <c r="C498" s="17">
        <f>56.014 * CHOOSE(CONTROL!$C$9, $D$9, 100%, $F$9) + CHOOSE(CONTROL!$C$27, 0.0021, 0)</f>
        <v>56.016100000000002</v>
      </c>
      <c r="D498" s="17">
        <f>56.014 * CHOOSE(CONTROL!$C$9, $D$9, 100%, $F$9) + CHOOSE(CONTROL!$C$27, 0.0021, 0)</f>
        <v>56.016100000000002</v>
      </c>
      <c r="E498" s="17">
        <f>55.8774 * CHOOSE(CONTROL!$C$9, $D$9, 100%, $F$9) + CHOOSE(CONTROL!$C$27, 0.0021, 0)</f>
        <v>55.8795</v>
      </c>
      <c r="F498" s="17">
        <f>55.8774 * CHOOSE(CONTROL!$C$9, $D$9, 100%, $F$9) + CHOOSE(CONTROL!$C$27, 0.0021, 0)</f>
        <v>55.8795</v>
      </c>
      <c r="G498" s="17">
        <f>56.1487 * CHOOSE(CONTROL!$C$9, $D$9, 100%, $F$9) + CHOOSE(CONTROL!$C$27, 0.0021, 0)</f>
        <v>56.150799999999997</v>
      </c>
      <c r="H498" s="17">
        <f>56.014 * CHOOSE(CONTROL!$C$9, $D$9, 100%, $F$9) + CHOOSE(CONTROL!$C$27, 0.0021, 0)</f>
        <v>56.016100000000002</v>
      </c>
      <c r="I498" s="17">
        <f>56.014 * CHOOSE(CONTROL!$C$9, $D$9, 100%, $F$9) + CHOOSE(CONTROL!$C$27, 0.0021, 0)</f>
        <v>56.016100000000002</v>
      </c>
      <c r="J498" s="17">
        <f>56.014 * CHOOSE(CONTROL!$C$9, $D$9, 100%, $F$9) + CHOOSE(CONTROL!$C$27, 0.0021, 0)</f>
        <v>56.016100000000002</v>
      </c>
      <c r="K498" s="17">
        <f>56.014 * CHOOSE(CONTROL!$C$9, $D$9, 100%, $F$9) + CHOOSE(CONTROL!$C$27, 0.0021, 0)</f>
        <v>56.016100000000002</v>
      </c>
      <c r="L498" s="17"/>
    </row>
    <row r="499" spans="1:12" ht="15.75" x14ac:dyDescent="0.25">
      <c r="A499" s="14">
        <v>56127</v>
      </c>
      <c r="B499" s="17">
        <f>56.7716 * CHOOSE(CONTROL!$C$9, $D$9, 100%, $F$9) + CHOOSE(CONTROL!$C$27, 0.0021, 0)</f>
        <v>56.773699999999998</v>
      </c>
      <c r="C499" s="17">
        <f>56.3393 * CHOOSE(CONTROL!$C$9, $D$9, 100%, $F$9) + CHOOSE(CONTROL!$C$27, 0.0021, 0)</f>
        <v>56.3414</v>
      </c>
      <c r="D499" s="17">
        <f>56.3393 * CHOOSE(CONTROL!$C$9, $D$9, 100%, $F$9) + CHOOSE(CONTROL!$C$27, 0.0021, 0)</f>
        <v>56.3414</v>
      </c>
      <c r="E499" s="17">
        <f>56.2027 * CHOOSE(CONTROL!$C$9, $D$9, 100%, $F$9) + CHOOSE(CONTROL!$C$27, 0.0021, 0)</f>
        <v>56.204799999999999</v>
      </c>
      <c r="F499" s="17">
        <f>56.2027 * CHOOSE(CONTROL!$C$9, $D$9, 100%, $F$9) + CHOOSE(CONTROL!$C$27, 0.0021, 0)</f>
        <v>56.204799999999999</v>
      </c>
      <c r="G499" s="17">
        <f>56.474 * CHOOSE(CONTROL!$C$9, $D$9, 100%, $F$9) + CHOOSE(CONTROL!$C$27, 0.0021, 0)</f>
        <v>56.476099999999995</v>
      </c>
      <c r="H499" s="17">
        <f>56.3393 * CHOOSE(CONTROL!$C$9, $D$9, 100%, $F$9) + CHOOSE(CONTROL!$C$27, 0.0021, 0)</f>
        <v>56.3414</v>
      </c>
      <c r="I499" s="17">
        <f>56.3393 * CHOOSE(CONTROL!$C$9, $D$9, 100%, $F$9) + CHOOSE(CONTROL!$C$27, 0.0021, 0)</f>
        <v>56.3414</v>
      </c>
      <c r="J499" s="17">
        <f>56.3393 * CHOOSE(CONTROL!$C$9, $D$9, 100%, $F$9) + CHOOSE(CONTROL!$C$27, 0.0021, 0)</f>
        <v>56.3414</v>
      </c>
      <c r="K499" s="17">
        <f>56.3393 * CHOOSE(CONTROL!$C$9, $D$9, 100%, $F$9) + CHOOSE(CONTROL!$C$27, 0.0021, 0)</f>
        <v>56.3414</v>
      </c>
      <c r="L499" s="17"/>
    </row>
    <row r="500" spans="1:12" ht="15.75" x14ac:dyDescent="0.25">
      <c r="A500" s="14">
        <v>56157</v>
      </c>
      <c r="B500" s="17">
        <f>57.8794 * CHOOSE(CONTROL!$C$9, $D$9, 100%, $F$9) + CHOOSE(CONTROL!$C$27, 0.0021, 0)</f>
        <v>57.881499999999996</v>
      </c>
      <c r="C500" s="17">
        <f>57.4472 * CHOOSE(CONTROL!$C$9, $D$9, 100%, $F$9) + CHOOSE(CONTROL!$C$27, 0.0021, 0)</f>
        <v>57.449300000000001</v>
      </c>
      <c r="D500" s="17">
        <f>57.4472 * CHOOSE(CONTROL!$C$9, $D$9, 100%, $F$9) + CHOOSE(CONTROL!$C$27, 0.0021, 0)</f>
        <v>57.449300000000001</v>
      </c>
      <c r="E500" s="17">
        <f>57.3105 * CHOOSE(CONTROL!$C$9, $D$9, 100%, $F$9) + CHOOSE(CONTROL!$C$27, 0.0021, 0)</f>
        <v>57.312599999999996</v>
      </c>
      <c r="F500" s="17">
        <f>57.3105 * CHOOSE(CONTROL!$C$9, $D$9, 100%, $F$9) + CHOOSE(CONTROL!$C$27, 0.0021, 0)</f>
        <v>57.312599999999996</v>
      </c>
      <c r="G500" s="17">
        <f>57.5819 * CHOOSE(CONTROL!$C$9, $D$9, 100%, $F$9) + CHOOSE(CONTROL!$C$27, 0.0021, 0)</f>
        <v>57.583999999999996</v>
      </c>
      <c r="H500" s="17">
        <f>57.4472 * CHOOSE(CONTROL!$C$9, $D$9, 100%, $F$9) + CHOOSE(CONTROL!$C$27, 0.0021, 0)</f>
        <v>57.449300000000001</v>
      </c>
      <c r="I500" s="17">
        <f>57.4472 * CHOOSE(CONTROL!$C$9, $D$9, 100%, $F$9) + CHOOSE(CONTROL!$C$27, 0.0021, 0)</f>
        <v>57.449300000000001</v>
      </c>
      <c r="J500" s="17">
        <f>57.4472 * CHOOSE(CONTROL!$C$9, $D$9, 100%, $F$9) + CHOOSE(CONTROL!$C$27, 0.0021, 0)</f>
        <v>57.449300000000001</v>
      </c>
      <c r="K500" s="17">
        <f>57.4472 * CHOOSE(CONTROL!$C$9, $D$9, 100%, $F$9) + CHOOSE(CONTROL!$C$27, 0.0021, 0)</f>
        <v>57.449300000000001</v>
      </c>
      <c r="L500" s="17"/>
    </row>
    <row r="501" spans="1:12" ht="15.75" x14ac:dyDescent="0.25">
      <c r="A501" s="14">
        <v>56188</v>
      </c>
      <c r="B501" s="17">
        <f>59.2817 * CHOOSE(CONTROL!$C$9, $D$9, 100%, $F$9) + CHOOSE(CONTROL!$C$27, 0.0021, 0)</f>
        <v>59.283799999999999</v>
      </c>
      <c r="C501" s="17">
        <f>58.8495 * CHOOSE(CONTROL!$C$9, $D$9, 100%, $F$9) + CHOOSE(CONTROL!$C$27, 0.0021, 0)</f>
        <v>58.851599999999998</v>
      </c>
      <c r="D501" s="17">
        <f>58.8495 * CHOOSE(CONTROL!$C$9, $D$9, 100%, $F$9) + CHOOSE(CONTROL!$C$27, 0.0021, 0)</f>
        <v>58.851599999999998</v>
      </c>
      <c r="E501" s="17">
        <f>58.7128 * CHOOSE(CONTROL!$C$9, $D$9, 100%, $F$9) + CHOOSE(CONTROL!$C$27, 0.0021, 0)</f>
        <v>58.7149</v>
      </c>
      <c r="F501" s="17">
        <f>58.7128 * CHOOSE(CONTROL!$C$9, $D$9, 100%, $F$9) + CHOOSE(CONTROL!$C$27, 0.0021, 0)</f>
        <v>58.7149</v>
      </c>
      <c r="G501" s="17">
        <f>58.9842 * CHOOSE(CONTROL!$C$9, $D$9, 100%, $F$9) + CHOOSE(CONTROL!$C$27, 0.0021, 0)</f>
        <v>58.9863</v>
      </c>
      <c r="H501" s="17">
        <f>58.8495 * CHOOSE(CONTROL!$C$9, $D$9, 100%, $F$9) + CHOOSE(CONTROL!$C$27, 0.0021, 0)</f>
        <v>58.851599999999998</v>
      </c>
      <c r="I501" s="17">
        <f>58.8495 * CHOOSE(CONTROL!$C$9, $D$9, 100%, $F$9) + CHOOSE(CONTROL!$C$27, 0.0021, 0)</f>
        <v>58.851599999999998</v>
      </c>
      <c r="J501" s="17">
        <f>58.8495 * CHOOSE(CONTROL!$C$9, $D$9, 100%, $F$9) + CHOOSE(CONTROL!$C$27, 0.0021, 0)</f>
        <v>58.851599999999998</v>
      </c>
      <c r="K501" s="17">
        <f>58.8495 * CHOOSE(CONTROL!$C$9, $D$9, 100%, $F$9) + CHOOSE(CONTROL!$C$27, 0.0021, 0)</f>
        <v>58.851599999999998</v>
      </c>
      <c r="L501" s="17"/>
    </row>
    <row r="502" spans="1:12" ht="15.75" x14ac:dyDescent="0.25">
      <c r="A502" s="14">
        <v>56218</v>
      </c>
      <c r="B502" s="17">
        <f>59.4134 * CHOOSE(CONTROL!$C$9, $D$9, 100%, $F$9) + CHOOSE(CONTROL!$C$27, 0.0021, 0)</f>
        <v>59.415500000000002</v>
      </c>
      <c r="C502" s="17">
        <f>58.9811 * CHOOSE(CONTROL!$C$9, $D$9, 100%, $F$9) + CHOOSE(CONTROL!$C$27, 0.0021, 0)</f>
        <v>58.983199999999997</v>
      </c>
      <c r="D502" s="17">
        <f>58.9811 * CHOOSE(CONTROL!$C$9, $D$9, 100%, $F$9) + CHOOSE(CONTROL!$C$27, 0.0021, 0)</f>
        <v>58.983199999999997</v>
      </c>
      <c r="E502" s="17">
        <f>58.8445 * CHOOSE(CONTROL!$C$9, $D$9, 100%, $F$9) + CHOOSE(CONTROL!$C$27, 0.0021, 0)</f>
        <v>58.846599999999995</v>
      </c>
      <c r="F502" s="17">
        <f>58.8445 * CHOOSE(CONTROL!$C$9, $D$9, 100%, $F$9) + CHOOSE(CONTROL!$C$27, 0.0021, 0)</f>
        <v>58.846599999999995</v>
      </c>
      <c r="G502" s="17">
        <f>59.1158 * CHOOSE(CONTROL!$C$9, $D$9, 100%, $F$9) + CHOOSE(CONTROL!$C$27, 0.0021, 0)</f>
        <v>59.117899999999999</v>
      </c>
      <c r="H502" s="17">
        <f>58.9811 * CHOOSE(CONTROL!$C$9, $D$9, 100%, $F$9) + CHOOSE(CONTROL!$C$27, 0.0021, 0)</f>
        <v>58.983199999999997</v>
      </c>
      <c r="I502" s="17">
        <f>58.9811 * CHOOSE(CONTROL!$C$9, $D$9, 100%, $F$9) + CHOOSE(CONTROL!$C$27, 0.0021, 0)</f>
        <v>58.983199999999997</v>
      </c>
      <c r="J502" s="17">
        <f>58.9811 * CHOOSE(CONTROL!$C$9, $D$9, 100%, $F$9) + CHOOSE(CONTROL!$C$27, 0.0021, 0)</f>
        <v>58.983199999999997</v>
      </c>
      <c r="K502" s="17">
        <f>58.9811 * CHOOSE(CONTROL!$C$9, $D$9, 100%, $F$9) + CHOOSE(CONTROL!$C$27, 0.0021, 0)</f>
        <v>58.983199999999997</v>
      </c>
      <c r="L502" s="17"/>
    </row>
    <row r="503" spans="1:12" ht="15.75" x14ac:dyDescent="0.25">
      <c r="A503" s="14">
        <v>56249</v>
      </c>
      <c r="B503" s="17">
        <f>58.2934 * CHOOSE(CONTROL!$C$9, $D$9, 100%, $F$9) + CHOOSE(CONTROL!$C$27, 0.0021, 0)</f>
        <v>58.295499999999997</v>
      </c>
      <c r="C503" s="17">
        <f>57.8611 * CHOOSE(CONTROL!$C$9, $D$9, 100%, $F$9) + CHOOSE(CONTROL!$C$27, 0.0021, 0)</f>
        <v>57.863199999999999</v>
      </c>
      <c r="D503" s="17">
        <f>57.8611 * CHOOSE(CONTROL!$C$9, $D$9, 100%, $F$9) + CHOOSE(CONTROL!$C$27, 0.0021, 0)</f>
        <v>57.863199999999999</v>
      </c>
      <c r="E503" s="17">
        <f>57.7245 * CHOOSE(CONTROL!$C$9, $D$9, 100%, $F$9) + CHOOSE(CONTROL!$C$27, 0.0021, 0)</f>
        <v>57.726599999999998</v>
      </c>
      <c r="F503" s="17">
        <f>57.7245 * CHOOSE(CONTROL!$C$9, $D$9, 100%, $F$9) + CHOOSE(CONTROL!$C$27, 0.0021, 0)</f>
        <v>57.726599999999998</v>
      </c>
      <c r="G503" s="17">
        <f>57.9958 * CHOOSE(CONTROL!$C$9, $D$9, 100%, $F$9) + CHOOSE(CONTROL!$C$27, 0.0021, 0)</f>
        <v>57.997900000000001</v>
      </c>
      <c r="H503" s="17">
        <f>57.8611 * CHOOSE(CONTROL!$C$9, $D$9, 100%, $F$9) + CHOOSE(CONTROL!$C$27, 0.0021, 0)</f>
        <v>57.863199999999999</v>
      </c>
      <c r="I503" s="17">
        <f>57.8611 * CHOOSE(CONTROL!$C$9, $D$9, 100%, $F$9) + CHOOSE(CONTROL!$C$27, 0.0021, 0)</f>
        <v>57.863199999999999</v>
      </c>
      <c r="J503" s="17">
        <f>57.8611 * CHOOSE(CONTROL!$C$9, $D$9, 100%, $F$9) + CHOOSE(CONTROL!$C$27, 0.0021, 0)</f>
        <v>57.863199999999999</v>
      </c>
      <c r="K503" s="17">
        <f>57.8611 * CHOOSE(CONTROL!$C$9, $D$9, 100%, $F$9) + CHOOSE(CONTROL!$C$27, 0.0021, 0)</f>
        <v>57.863199999999999</v>
      </c>
      <c r="L503" s="17"/>
    </row>
    <row r="504" spans="1:12" ht="15.75" x14ac:dyDescent="0.25">
      <c r="A504" s="14">
        <v>56280</v>
      </c>
      <c r="B504" s="17">
        <f>57.5855 * CHOOSE(CONTROL!$C$9, $D$9, 100%, $F$9) + CHOOSE(CONTROL!$C$27, 0.0021, 0)</f>
        <v>57.587600000000002</v>
      </c>
      <c r="C504" s="17">
        <f>57.1532 * CHOOSE(CONTROL!$C$9, $D$9, 100%, $F$9) + CHOOSE(CONTROL!$C$27, 0.0021, 0)</f>
        <v>57.155299999999997</v>
      </c>
      <c r="D504" s="17">
        <f>57.1532 * CHOOSE(CONTROL!$C$9, $D$9, 100%, $F$9) + CHOOSE(CONTROL!$C$27, 0.0021, 0)</f>
        <v>57.155299999999997</v>
      </c>
      <c r="E504" s="17">
        <f>57.0166 * CHOOSE(CONTROL!$C$9, $D$9, 100%, $F$9) + CHOOSE(CONTROL!$C$27, 0.0021, 0)</f>
        <v>57.018699999999995</v>
      </c>
      <c r="F504" s="17">
        <f>57.0166 * CHOOSE(CONTROL!$C$9, $D$9, 100%, $F$9) + CHOOSE(CONTROL!$C$27, 0.0021, 0)</f>
        <v>57.018699999999995</v>
      </c>
      <c r="G504" s="17">
        <f>57.2879 * CHOOSE(CONTROL!$C$9, $D$9, 100%, $F$9) + CHOOSE(CONTROL!$C$27, 0.0021, 0)</f>
        <v>57.29</v>
      </c>
      <c r="H504" s="17">
        <f>57.1532 * CHOOSE(CONTROL!$C$9, $D$9, 100%, $F$9) + CHOOSE(CONTROL!$C$27, 0.0021, 0)</f>
        <v>57.155299999999997</v>
      </c>
      <c r="I504" s="17">
        <f>57.1532 * CHOOSE(CONTROL!$C$9, $D$9, 100%, $F$9) + CHOOSE(CONTROL!$C$27, 0.0021, 0)</f>
        <v>57.155299999999997</v>
      </c>
      <c r="J504" s="17">
        <f>57.1532 * CHOOSE(CONTROL!$C$9, $D$9, 100%, $F$9) + CHOOSE(CONTROL!$C$27, 0.0021, 0)</f>
        <v>57.155299999999997</v>
      </c>
      <c r="K504" s="17">
        <f>57.1532 * CHOOSE(CONTROL!$C$9, $D$9, 100%, $F$9) + CHOOSE(CONTROL!$C$27, 0.0021, 0)</f>
        <v>57.155299999999997</v>
      </c>
      <c r="L504" s="17"/>
    </row>
    <row r="505" spans="1:12" ht="15.75" x14ac:dyDescent="0.25">
      <c r="A505" s="14">
        <v>56308</v>
      </c>
      <c r="B505" s="17">
        <f>56.0215 * CHOOSE(CONTROL!$C$9, $D$9, 100%, $F$9) + CHOOSE(CONTROL!$C$27, 0.0021, 0)</f>
        <v>56.023600000000002</v>
      </c>
      <c r="C505" s="17">
        <f>55.5892 * CHOOSE(CONTROL!$C$9, $D$9, 100%, $F$9) + CHOOSE(CONTROL!$C$27, 0.0021, 0)</f>
        <v>55.591299999999997</v>
      </c>
      <c r="D505" s="17">
        <f>55.5892 * CHOOSE(CONTROL!$C$9, $D$9, 100%, $F$9) + CHOOSE(CONTROL!$C$27, 0.0021, 0)</f>
        <v>55.591299999999997</v>
      </c>
      <c r="E505" s="17">
        <f>55.4526 * CHOOSE(CONTROL!$C$9, $D$9, 100%, $F$9) + CHOOSE(CONTROL!$C$27, 0.0021, 0)</f>
        <v>55.454699999999995</v>
      </c>
      <c r="F505" s="17">
        <f>55.4526 * CHOOSE(CONTROL!$C$9, $D$9, 100%, $F$9) + CHOOSE(CONTROL!$C$27, 0.0021, 0)</f>
        <v>55.454699999999995</v>
      </c>
      <c r="G505" s="17">
        <f>55.7239 * CHOOSE(CONTROL!$C$9, $D$9, 100%, $F$9) + CHOOSE(CONTROL!$C$27, 0.0021, 0)</f>
        <v>55.725999999999999</v>
      </c>
      <c r="H505" s="17">
        <f>55.5892 * CHOOSE(CONTROL!$C$9, $D$9, 100%, $F$9) + CHOOSE(CONTROL!$C$27, 0.0021, 0)</f>
        <v>55.591299999999997</v>
      </c>
      <c r="I505" s="17">
        <f>55.5892 * CHOOSE(CONTROL!$C$9, $D$9, 100%, $F$9) + CHOOSE(CONTROL!$C$27, 0.0021, 0)</f>
        <v>55.591299999999997</v>
      </c>
      <c r="J505" s="17">
        <f>55.5892 * CHOOSE(CONTROL!$C$9, $D$9, 100%, $F$9) + CHOOSE(CONTROL!$C$27, 0.0021, 0)</f>
        <v>55.591299999999997</v>
      </c>
      <c r="K505" s="17">
        <f>55.5892 * CHOOSE(CONTROL!$C$9, $D$9, 100%, $F$9) + CHOOSE(CONTROL!$C$27, 0.0021, 0)</f>
        <v>55.591299999999997</v>
      </c>
      <c r="L505" s="17"/>
    </row>
    <row r="506" spans="1:12" ht="15.75" x14ac:dyDescent="0.25">
      <c r="A506" s="14">
        <v>56339</v>
      </c>
      <c r="B506" s="17">
        <f>55.3759 * CHOOSE(CONTROL!$C$9, $D$9, 100%, $F$9) + CHOOSE(CONTROL!$C$27, 0.0021, 0)</f>
        <v>55.378</v>
      </c>
      <c r="C506" s="17">
        <f>54.9436 * CHOOSE(CONTROL!$C$9, $D$9, 100%, $F$9) + CHOOSE(CONTROL!$C$27, 0.0021, 0)</f>
        <v>54.945700000000002</v>
      </c>
      <c r="D506" s="17">
        <f>54.9436 * CHOOSE(CONTROL!$C$9, $D$9, 100%, $F$9) + CHOOSE(CONTROL!$C$27, 0.0021, 0)</f>
        <v>54.945700000000002</v>
      </c>
      <c r="E506" s="17">
        <f>54.807 * CHOOSE(CONTROL!$C$9, $D$9, 100%, $F$9) + CHOOSE(CONTROL!$C$27, 0.0021, 0)</f>
        <v>54.809100000000001</v>
      </c>
      <c r="F506" s="17">
        <f>54.807 * CHOOSE(CONTROL!$C$9, $D$9, 100%, $F$9) + CHOOSE(CONTROL!$C$27, 0.0021, 0)</f>
        <v>54.809100000000001</v>
      </c>
      <c r="G506" s="17">
        <f>55.0783 * CHOOSE(CONTROL!$C$9, $D$9, 100%, $F$9) + CHOOSE(CONTROL!$C$27, 0.0021, 0)</f>
        <v>55.080399999999997</v>
      </c>
      <c r="H506" s="17">
        <f>54.9436 * CHOOSE(CONTROL!$C$9, $D$9, 100%, $F$9) + CHOOSE(CONTROL!$C$27, 0.0021, 0)</f>
        <v>54.945700000000002</v>
      </c>
      <c r="I506" s="17">
        <f>54.9436 * CHOOSE(CONTROL!$C$9, $D$9, 100%, $F$9) + CHOOSE(CONTROL!$C$27, 0.0021, 0)</f>
        <v>54.945700000000002</v>
      </c>
      <c r="J506" s="17">
        <f>54.9436 * CHOOSE(CONTROL!$C$9, $D$9, 100%, $F$9) + CHOOSE(CONTROL!$C$27, 0.0021, 0)</f>
        <v>54.945700000000002</v>
      </c>
      <c r="K506" s="17">
        <f>54.9436 * CHOOSE(CONTROL!$C$9, $D$9, 100%, $F$9) + CHOOSE(CONTROL!$C$27, 0.0021, 0)</f>
        <v>54.945700000000002</v>
      </c>
      <c r="L506" s="17"/>
    </row>
    <row r="507" spans="1:12" ht="15.75" x14ac:dyDescent="0.25">
      <c r="A507" s="14">
        <v>56369</v>
      </c>
      <c r="B507" s="17">
        <f>54.605 * CHOOSE(CONTROL!$C$9, $D$9, 100%, $F$9) + CHOOSE(CONTROL!$C$27, 0.0021, 0)</f>
        <v>54.607099999999996</v>
      </c>
      <c r="C507" s="17">
        <f>54.1727 * CHOOSE(CONTROL!$C$9, $D$9, 100%, $F$9) + CHOOSE(CONTROL!$C$27, 0.0021, 0)</f>
        <v>54.174799999999998</v>
      </c>
      <c r="D507" s="17">
        <f>54.1727 * CHOOSE(CONTROL!$C$9, $D$9, 100%, $F$9) + CHOOSE(CONTROL!$C$27, 0.0021, 0)</f>
        <v>54.174799999999998</v>
      </c>
      <c r="E507" s="17">
        <f>54.0361 * CHOOSE(CONTROL!$C$9, $D$9, 100%, $F$9) + CHOOSE(CONTROL!$C$27, 0.0021, 0)</f>
        <v>54.038199999999996</v>
      </c>
      <c r="F507" s="17">
        <f>54.0361 * CHOOSE(CONTROL!$C$9, $D$9, 100%, $F$9) + CHOOSE(CONTROL!$C$27, 0.0021, 0)</f>
        <v>54.038199999999996</v>
      </c>
      <c r="G507" s="17">
        <f>54.3075 * CHOOSE(CONTROL!$C$9, $D$9, 100%, $F$9) + CHOOSE(CONTROL!$C$27, 0.0021, 0)</f>
        <v>54.309599999999996</v>
      </c>
      <c r="H507" s="17">
        <f>54.1727 * CHOOSE(CONTROL!$C$9, $D$9, 100%, $F$9) + CHOOSE(CONTROL!$C$27, 0.0021, 0)</f>
        <v>54.174799999999998</v>
      </c>
      <c r="I507" s="17">
        <f>54.1727 * CHOOSE(CONTROL!$C$9, $D$9, 100%, $F$9) + CHOOSE(CONTROL!$C$27, 0.0021, 0)</f>
        <v>54.174799999999998</v>
      </c>
      <c r="J507" s="17">
        <f>54.1727 * CHOOSE(CONTROL!$C$9, $D$9, 100%, $F$9) + CHOOSE(CONTROL!$C$27, 0.0021, 0)</f>
        <v>54.174799999999998</v>
      </c>
      <c r="K507" s="17">
        <f>54.1727 * CHOOSE(CONTROL!$C$9, $D$9, 100%, $F$9) + CHOOSE(CONTROL!$C$27, 0.0021, 0)</f>
        <v>54.174799999999998</v>
      </c>
      <c r="L507" s="17"/>
    </row>
    <row r="508" spans="1:12" ht="15.75" x14ac:dyDescent="0.25">
      <c r="A508" s="14">
        <v>56400</v>
      </c>
      <c r="B508" s="17">
        <f>55.7036 * CHOOSE(CONTROL!$C$9, $D$9, 100%, $F$9) + CHOOSE(CONTROL!$C$27, 0.0021, 0)</f>
        <v>55.7057</v>
      </c>
      <c r="C508" s="17">
        <f>55.2713 * CHOOSE(CONTROL!$C$9, $D$9, 100%, $F$9) + CHOOSE(CONTROL!$C$27, 0.0021, 0)</f>
        <v>55.273399999999995</v>
      </c>
      <c r="D508" s="17">
        <f>55.2713 * CHOOSE(CONTROL!$C$9, $D$9, 100%, $F$9) + CHOOSE(CONTROL!$C$27, 0.0021, 0)</f>
        <v>55.273399999999995</v>
      </c>
      <c r="E508" s="17">
        <f>55.1347 * CHOOSE(CONTROL!$C$9, $D$9, 100%, $F$9) + CHOOSE(CONTROL!$C$27, 0.0021, 0)</f>
        <v>55.136800000000001</v>
      </c>
      <c r="F508" s="17">
        <f>55.1347 * CHOOSE(CONTROL!$C$9, $D$9, 100%, $F$9) + CHOOSE(CONTROL!$C$27, 0.0021, 0)</f>
        <v>55.136800000000001</v>
      </c>
      <c r="G508" s="17">
        <f>55.406 * CHOOSE(CONTROL!$C$9, $D$9, 100%, $F$9) + CHOOSE(CONTROL!$C$27, 0.0021, 0)</f>
        <v>55.408099999999997</v>
      </c>
      <c r="H508" s="17">
        <f>55.2713 * CHOOSE(CONTROL!$C$9, $D$9, 100%, $F$9) + CHOOSE(CONTROL!$C$27, 0.0021, 0)</f>
        <v>55.273399999999995</v>
      </c>
      <c r="I508" s="17">
        <f>55.2713 * CHOOSE(CONTROL!$C$9, $D$9, 100%, $F$9) + CHOOSE(CONTROL!$C$27, 0.0021, 0)</f>
        <v>55.273399999999995</v>
      </c>
      <c r="J508" s="17">
        <f>55.2713 * CHOOSE(CONTROL!$C$9, $D$9, 100%, $F$9) + CHOOSE(CONTROL!$C$27, 0.0021, 0)</f>
        <v>55.273399999999995</v>
      </c>
      <c r="K508" s="17">
        <f>55.2713 * CHOOSE(CONTROL!$C$9, $D$9, 100%, $F$9) + CHOOSE(CONTROL!$C$27, 0.0021, 0)</f>
        <v>55.273399999999995</v>
      </c>
      <c r="L508" s="17"/>
    </row>
    <row r="509" spans="1:12" ht="15.75" x14ac:dyDescent="0.25">
      <c r="A509" s="14">
        <v>56430</v>
      </c>
      <c r="B509" s="17">
        <f>56.3616 * CHOOSE(CONTROL!$C$9, $D$9, 100%, $F$9) + CHOOSE(CONTROL!$C$27, 0.0021, 0)</f>
        <v>56.363700000000001</v>
      </c>
      <c r="C509" s="17">
        <f>55.9293 * CHOOSE(CONTROL!$C$9, $D$9, 100%, $F$9) + CHOOSE(CONTROL!$C$27, 0.0021, 0)</f>
        <v>55.931399999999996</v>
      </c>
      <c r="D509" s="17">
        <f>55.9293 * CHOOSE(CONTROL!$C$9, $D$9, 100%, $F$9) + CHOOSE(CONTROL!$C$27, 0.0021, 0)</f>
        <v>55.931399999999996</v>
      </c>
      <c r="E509" s="17">
        <f>55.7927 * CHOOSE(CONTROL!$C$9, $D$9, 100%, $F$9) + CHOOSE(CONTROL!$C$27, 0.0021, 0)</f>
        <v>55.794800000000002</v>
      </c>
      <c r="F509" s="17">
        <f>55.7927 * CHOOSE(CONTROL!$C$9, $D$9, 100%, $F$9) + CHOOSE(CONTROL!$C$27, 0.0021, 0)</f>
        <v>55.794800000000002</v>
      </c>
      <c r="G509" s="17">
        <f>56.0641 * CHOOSE(CONTROL!$C$9, $D$9, 100%, $F$9) + CHOOSE(CONTROL!$C$27, 0.0021, 0)</f>
        <v>56.066200000000002</v>
      </c>
      <c r="H509" s="17">
        <f>55.9293 * CHOOSE(CONTROL!$C$9, $D$9, 100%, $F$9) + CHOOSE(CONTROL!$C$27, 0.0021, 0)</f>
        <v>55.931399999999996</v>
      </c>
      <c r="I509" s="17">
        <f>55.9293 * CHOOSE(CONTROL!$C$9, $D$9, 100%, $F$9) + CHOOSE(CONTROL!$C$27, 0.0021, 0)</f>
        <v>55.931399999999996</v>
      </c>
      <c r="J509" s="17">
        <f>55.9293 * CHOOSE(CONTROL!$C$9, $D$9, 100%, $F$9) + CHOOSE(CONTROL!$C$27, 0.0021, 0)</f>
        <v>55.931399999999996</v>
      </c>
      <c r="K509" s="17">
        <f>55.9293 * CHOOSE(CONTROL!$C$9, $D$9, 100%, $F$9) + CHOOSE(CONTROL!$C$27, 0.0021, 0)</f>
        <v>55.931399999999996</v>
      </c>
      <c r="L509" s="17"/>
    </row>
    <row r="510" spans="1:12" ht="15.75" x14ac:dyDescent="0.25">
      <c r="A510" s="14">
        <v>56461</v>
      </c>
      <c r="B510" s="17">
        <f>57.4471 * CHOOSE(CONTROL!$C$9, $D$9, 100%, $F$9) + CHOOSE(CONTROL!$C$27, 0.0021, 0)</f>
        <v>57.449199999999998</v>
      </c>
      <c r="C510" s="17">
        <f>57.0148 * CHOOSE(CONTROL!$C$9, $D$9, 100%, $F$9) + CHOOSE(CONTROL!$C$27, 0.0021, 0)</f>
        <v>57.0169</v>
      </c>
      <c r="D510" s="17">
        <f>57.0148 * CHOOSE(CONTROL!$C$9, $D$9, 100%, $F$9) + CHOOSE(CONTROL!$C$27, 0.0021, 0)</f>
        <v>57.0169</v>
      </c>
      <c r="E510" s="17">
        <f>56.8782 * CHOOSE(CONTROL!$C$9, $D$9, 100%, $F$9) + CHOOSE(CONTROL!$C$27, 0.0021, 0)</f>
        <v>56.880299999999998</v>
      </c>
      <c r="F510" s="17">
        <f>56.8782 * CHOOSE(CONTROL!$C$9, $D$9, 100%, $F$9) + CHOOSE(CONTROL!$C$27, 0.0021, 0)</f>
        <v>56.880299999999998</v>
      </c>
      <c r="G510" s="17">
        <f>57.1495 * CHOOSE(CONTROL!$C$9, $D$9, 100%, $F$9) + CHOOSE(CONTROL!$C$27, 0.0021, 0)</f>
        <v>57.151600000000002</v>
      </c>
      <c r="H510" s="17">
        <f>57.0148 * CHOOSE(CONTROL!$C$9, $D$9, 100%, $F$9) + CHOOSE(CONTROL!$C$27, 0.0021, 0)</f>
        <v>57.0169</v>
      </c>
      <c r="I510" s="17">
        <f>57.0148 * CHOOSE(CONTROL!$C$9, $D$9, 100%, $F$9) + CHOOSE(CONTROL!$C$27, 0.0021, 0)</f>
        <v>57.0169</v>
      </c>
      <c r="J510" s="17">
        <f>57.0148 * CHOOSE(CONTROL!$C$9, $D$9, 100%, $F$9) + CHOOSE(CONTROL!$C$27, 0.0021, 0)</f>
        <v>57.0169</v>
      </c>
      <c r="K510" s="17">
        <f>57.0148 * CHOOSE(CONTROL!$C$9, $D$9, 100%, $F$9) + CHOOSE(CONTROL!$C$27, 0.0021, 0)</f>
        <v>57.0169</v>
      </c>
      <c r="L510" s="17"/>
    </row>
    <row r="511" spans="1:12" ht="15.75" x14ac:dyDescent="0.25">
      <c r="A511" s="14">
        <v>56492</v>
      </c>
      <c r="B511" s="17">
        <f>57.7784 * CHOOSE(CONTROL!$C$9, $D$9, 100%, $F$9) + CHOOSE(CONTROL!$C$27, 0.0021, 0)</f>
        <v>57.780499999999996</v>
      </c>
      <c r="C511" s="17">
        <f>57.3461 * CHOOSE(CONTROL!$C$9, $D$9, 100%, $F$9) + CHOOSE(CONTROL!$C$27, 0.0021, 0)</f>
        <v>57.348199999999999</v>
      </c>
      <c r="D511" s="17">
        <f>57.3461 * CHOOSE(CONTROL!$C$9, $D$9, 100%, $F$9) + CHOOSE(CONTROL!$C$27, 0.0021, 0)</f>
        <v>57.348199999999999</v>
      </c>
      <c r="E511" s="17">
        <f>57.2095 * CHOOSE(CONTROL!$C$9, $D$9, 100%, $F$9) + CHOOSE(CONTROL!$C$27, 0.0021, 0)</f>
        <v>57.211599999999997</v>
      </c>
      <c r="F511" s="17">
        <f>57.2095 * CHOOSE(CONTROL!$C$9, $D$9, 100%, $F$9) + CHOOSE(CONTROL!$C$27, 0.0021, 0)</f>
        <v>57.211599999999997</v>
      </c>
      <c r="G511" s="17">
        <f>57.4809 * CHOOSE(CONTROL!$C$9, $D$9, 100%, $F$9) + CHOOSE(CONTROL!$C$27, 0.0021, 0)</f>
        <v>57.482999999999997</v>
      </c>
      <c r="H511" s="17">
        <f>57.3461 * CHOOSE(CONTROL!$C$9, $D$9, 100%, $F$9) + CHOOSE(CONTROL!$C$27, 0.0021, 0)</f>
        <v>57.348199999999999</v>
      </c>
      <c r="I511" s="17">
        <f>57.3461 * CHOOSE(CONTROL!$C$9, $D$9, 100%, $F$9) + CHOOSE(CONTROL!$C$27, 0.0021, 0)</f>
        <v>57.348199999999999</v>
      </c>
      <c r="J511" s="17">
        <f>57.3461 * CHOOSE(CONTROL!$C$9, $D$9, 100%, $F$9) + CHOOSE(CONTROL!$C$27, 0.0021, 0)</f>
        <v>57.348199999999999</v>
      </c>
      <c r="K511" s="17">
        <f>57.3461 * CHOOSE(CONTROL!$C$9, $D$9, 100%, $F$9) + CHOOSE(CONTROL!$C$27, 0.0021, 0)</f>
        <v>57.348199999999999</v>
      </c>
      <c r="L511" s="17"/>
    </row>
    <row r="512" spans="1:12" ht="15.75" x14ac:dyDescent="0.25">
      <c r="A512" s="14">
        <v>56522</v>
      </c>
      <c r="B512" s="17">
        <f>58.9067 * CHOOSE(CONTROL!$C$9, $D$9, 100%, $F$9) + CHOOSE(CONTROL!$C$27, 0.0021, 0)</f>
        <v>58.908799999999999</v>
      </c>
      <c r="C512" s="17">
        <f>58.4744 * CHOOSE(CONTROL!$C$9, $D$9, 100%, $F$9) + CHOOSE(CONTROL!$C$27, 0.0021, 0)</f>
        <v>58.476500000000001</v>
      </c>
      <c r="D512" s="17">
        <f>58.4744 * CHOOSE(CONTROL!$C$9, $D$9, 100%, $F$9) + CHOOSE(CONTROL!$C$27, 0.0021, 0)</f>
        <v>58.476500000000001</v>
      </c>
      <c r="E512" s="17">
        <f>58.3378 * CHOOSE(CONTROL!$C$9, $D$9, 100%, $F$9) + CHOOSE(CONTROL!$C$27, 0.0021, 0)</f>
        <v>58.3399</v>
      </c>
      <c r="F512" s="17">
        <f>58.3378 * CHOOSE(CONTROL!$C$9, $D$9, 100%, $F$9) + CHOOSE(CONTROL!$C$27, 0.0021, 0)</f>
        <v>58.3399</v>
      </c>
      <c r="G512" s="17">
        <f>58.6092 * CHOOSE(CONTROL!$C$9, $D$9, 100%, $F$9) + CHOOSE(CONTROL!$C$27, 0.0021, 0)</f>
        <v>58.6113</v>
      </c>
      <c r="H512" s="17">
        <f>58.4744 * CHOOSE(CONTROL!$C$9, $D$9, 100%, $F$9) + CHOOSE(CONTROL!$C$27, 0.0021, 0)</f>
        <v>58.476500000000001</v>
      </c>
      <c r="I512" s="17">
        <f>58.4744 * CHOOSE(CONTROL!$C$9, $D$9, 100%, $F$9) + CHOOSE(CONTROL!$C$27, 0.0021, 0)</f>
        <v>58.476500000000001</v>
      </c>
      <c r="J512" s="17">
        <f>58.4744 * CHOOSE(CONTROL!$C$9, $D$9, 100%, $F$9) + CHOOSE(CONTROL!$C$27, 0.0021, 0)</f>
        <v>58.476500000000001</v>
      </c>
      <c r="K512" s="17">
        <f>58.4744 * CHOOSE(CONTROL!$C$9, $D$9, 100%, $F$9) + CHOOSE(CONTROL!$C$27, 0.0021, 0)</f>
        <v>58.476500000000001</v>
      </c>
      <c r="L512" s="17"/>
    </row>
    <row r="513" spans="1:12" ht="15.75" x14ac:dyDescent="0.25">
      <c r="A513" s="14">
        <v>56553</v>
      </c>
      <c r="B513" s="17">
        <f>60.3349 * CHOOSE(CONTROL!$C$9, $D$9, 100%, $F$9) + CHOOSE(CONTROL!$C$27, 0.0021, 0)</f>
        <v>60.336999999999996</v>
      </c>
      <c r="C513" s="17">
        <f>59.9027 * CHOOSE(CONTROL!$C$9, $D$9, 100%, $F$9) + CHOOSE(CONTROL!$C$27, 0.0021, 0)</f>
        <v>59.904800000000002</v>
      </c>
      <c r="D513" s="17">
        <f>59.9027 * CHOOSE(CONTROL!$C$9, $D$9, 100%, $F$9) + CHOOSE(CONTROL!$C$27, 0.0021, 0)</f>
        <v>59.904800000000002</v>
      </c>
      <c r="E513" s="17">
        <f>59.766 * CHOOSE(CONTROL!$C$9, $D$9, 100%, $F$9) + CHOOSE(CONTROL!$C$27, 0.0021, 0)</f>
        <v>59.768099999999997</v>
      </c>
      <c r="F513" s="17">
        <f>59.766 * CHOOSE(CONTROL!$C$9, $D$9, 100%, $F$9) + CHOOSE(CONTROL!$C$27, 0.0021, 0)</f>
        <v>59.768099999999997</v>
      </c>
      <c r="G513" s="17">
        <f>60.0374 * CHOOSE(CONTROL!$C$9, $D$9, 100%, $F$9) + CHOOSE(CONTROL!$C$27, 0.0021, 0)</f>
        <v>60.039499999999997</v>
      </c>
      <c r="H513" s="17">
        <f>59.9027 * CHOOSE(CONTROL!$C$9, $D$9, 100%, $F$9) + CHOOSE(CONTROL!$C$27, 0.0021, 0)</f>
        <v>59.904800000000002</v>
      </c>
      <c r="I513" s="17">
        <f>59.9027 * CHOOSE(CONTROL!$C$9, $D$9, 100%, $F$9) + CHOOSE(CONTROL!$C$27, 0.0021, 0)</f>
        <v>59.904800000000002</v>
      </c>
      <c r="J513" s="17">
        <f>59.9027 * CHOOSE(CONTROL!$C$9, $D$9, 100%, $F$9) + CHOOSE(CONTROL!$C$27, 0.0021, 0)</f>
        <v>59.904800000000002</v>
      </c>
      <c r="K513" s="17">
        <f>59.9027 * CHOOSE(CONTROL!$C$9, $D$9, 100%, $F$9) + CHOOSE(CONTROL!$C$27, 0.0021, 0)</f>
        <v>59.904800000000002</v>
      </c>
      <c r="L513" s="17"/>
    </row>
    <row r="514" spans="1:12" ht="15.75" x14ac:dyDescent="0.25">
      <c r="A514" s="14">
        <v>56583</v>
      </c>
      <c r="B514" s="17">
        <f>60.469 * CHOOSE(CONTROL!$C$9, $D$9, 100%, $F$9) + CHOOSE(CONTROL!$C$27, 0.0021, 0)</f>
        <v>60.4711</v>
      </c>
      <c r="C514" s="17">
        <f>60.0368 * CHOOSE(CONTROL!$C$9, $D$9, 100%, $F$9) + CHOOSE(CONTROL!$C$27, 0.0021, 0)</f>
        <v>60.038899999999998</v>
      </c>
      <c r="D514" s="17">
        <f>60.0368 * CHOOSE(CONTROL!$C$9, $D$9, 100%, $F$9) + CHOOSE(CONTROL!$C$27, 0.0021, 0)</f>
        <v>60.038899999999998</v>
      </c>
      <c r="E514" s="17">
        <f>59.9001 * CHOOSE(CONTROL!$C$9, $D$9, 100%, $F$9) + CHOOSE(CONTROL!$C$27, 0.0021, 0)</f>
        <v>59.902200000000001</v>
      </c>
      <c r="F514" s="17">
        <f>59.9001 * CHOOSE(CONTROL!$C$9, $D$9, 100%, $F$9) + CHOOSE(CONTROL!$C$27, 0.0021, 0)</f>
        <v>59.902200000000001</v>
      </c>
      <c r="G514" s="17">
        <f>60.1715 * CHOOSE(CONTROL!$C$9, $D$9, 100%, $F$9) + CHOOSE(CONTROL!$C$27, 0.0021, 0)</f>
        <v>60.1736</v>
      </c>
      <c r="H514" s="17">
        <f>60.0368 * CHOOSE(CONTROL!$C$9, $D$9, 100%, $F$9) + CHOOSE(CONTROL!$C$27, 0.0021, 0)</f>
        <v>60.038899999999998</v>
      </c>
      <c r="I514" s="17">
        <f>60.0368 * CHOOSE(CONTROL!$C$9, $D$9, 100%, $F$9) + CHOOSE(CONTROL!$C$27, 0.0021, 0)</f>
        <v>60.038899999999998</v>
      </c>
      <c r="J514" s="17">
        <f>60.0368 * CHOOSE(CONTROL!$C$9, $D$9, 100%, $F$9) + CHOOSE(CONTROL!$C$27, 0.0021, 0)</f>
        <v>60.038899999999998</v>
      </c>
      <c r="K514" s="17">
        <f>60.0368 * CHOOSE(CONTROL!$C$9, $D$9, 100%, $F$9) + CHOOSE(CONTROL!$C$27, 0.0021, 0)</f>
        <v>60.038899999999998</v>
      </c>
      <c r="L514" s="17"/>
    </row>
    <row r="515" spans="1:12" ht="15.75" x14ac:dyDescent="0.25">
      <c r="A515" s="14">
        <v>56614</v>
      </c>
      <c r="B515" s="17">
        <f>59.3283 * CHOOSE(CONTROL!$C$9, $D$9, 100%, $F$9) + CHOOSE(CONTROL!$C$27, 0.0021, 0)</f>
        <v>59.330399999999997</v>
      </c>
      <c r="C515" s="17">
        <f>58.8961 * CHOOSE(CONTROL!$C$9, $D$9, 100%, $F$9) + CHOOSE(CONTROL!$C$27, 0.0021, 0)</f>
        <v>58.898199999999996</v>
      </c>
      <c r="D515" s="17">
        <f>58.8961 * CHOOSE(CONTROL!$C$9, $D$9, 100%, $F$9) + CHOOSE(CONTROL!$C$27, 0.0021, 0)</f>
        <v>58.898199999999996</v>
      </c>
      <c r="E515" s="17">
        <f>58.7594 * CHOOSE(CONTROL!$C$9, $D$9, 100%, $F$9) + CHOOSE(CONTROL!$C$27, 0.0021, 0)</f>
        <v>58.761499999999998</v>
      </c>
      <c r="F515" s="17">
        <f>58.7594 * CHOOSE(CONTROL!$C$9, $D$9, 100%, $F$9) + CHOOSE(CONTROL!$C$27, 0.0021, 0)</f>
        <v>58.761499999999998</v>
      </c>
      <c r="G515" s="17">
        <f>59.0308 * CHOOSE(CONTROL!$C$9, $D$9, 100%, $F$9) + CHOOSE(CONTROL!$C$27, 0.0021, 0)</f>
        <v>59.032899999999998</v>
      </c>
      <c r="H515" s="17">
        <f>58.8961 * CHOOSE(CONTROL!$C$9, $D$9, 100%, $F$9) + CHOOSE(CONTROL!$C$27, 0.0021, 0)</f>
        <v>58.898199999999996</v>
      </c>
      <c r="I515" s="17">
        <f>58.8961 * CHOOSE(CONTROL!$C$9, $D$9, 100%, $F$9) + CHOOSE(CONTROL!$C$27, 0.0021, 0)</f>
        <v>58.898199999999996</v>
      </c>
      <c r="J515" s="17">
        <f>58.8961 * CHOOSE(CONTROL!$C$9, $D$9, 100%, $F$9) + CHOOSE(CONTROL!$C$27, 0.0021, 0)</f>
        <v>58.898199999999996</v>
      </c>
      <c r="K515" s="17">
        <f>58.8961 * CHOOSE(CONTROL!$C$9, $D$9, 100%, $F$9) + CHOOSE(CONTROL!$C$27, 0.0021, 0)</f>
        <v>58.898199999999996</v>
      </c>
      <c r="L515" s="17"/>
    </row>
    <row r="516" spans="1:12" ht="15.75" x14ac:dyDescent="0.25">
      <c r="A516" s="13">
        <v>56645</v>
      </c>
      <c r="B516" s="17">
        <f>58.6073 * CHOOSE(CONTROL!$C$9, $D$9, 100%, $F$9) + CHOOSE(CONTROL!$C$27, 0.0021, 0)</f>
        <v>58.609400000000001</v>
      </c>
      <c r="C516" s="17">
        <f>58.1751 * CHOOSE(CONTROL!$C$9, $D$9, 100%, $F$9) + CHOOSE(CONTROL!$C$27, 0.0021, 0)</f>
        <v>58.177199999999999</v>
      </c>
      <c r="D516" s="17">
        <f>58.1751 * CHOOSE(CONTROL!$C$9, $D$9, 100%, $F$9) + CHOOSE(CONTROL!$C$27, 0.0021, 0)</f>
        <v>58.177199999999999</v>
      </c>
      <c r="E516" s="17">
        <f>58.0384 * CHOOSE(CONTROL!$C$9, $D$9, 100%, $F$9) + CHOOSE(CONTROL!$C$27, 0.0021, 0)</f>
        <v>58.040500000000002</v>
      </c>
      <c r="F516" s="17">
        <f>58.0384 * CHOOSE(CONTROL!$C$9, $D$9, 100%, $F$9) + CHOOSE(CONTROL!$C$27, 0.0021, 0)</f>
        <v>58.040500000000002</v>
      </c>
      <c r="G516" s="17">
        <f>58.3098 * CHOOSE(CONTROL!$C$9, $D$9, 100%, $F$9) + CHOOSE(CONTROL!$C$27, 0.0021, 0)</f>
        <v>58.311900000000001</v>
      </c>
      <c r="H516" s="17">
        <f>58.1751 * CHOOSE(CONTROL!$C$9, $D$9, 100%, $F$9) + CHOOSE(CONTROL!$C$27, 0.0021, 0)</f>
        <v>58.177199999999999</v>
      </c>
      <c r="I516" s="17">
        <f>58.1751 * CHOOSE(CONTROL!$C$9, $D$9, 100%, $F$9) + CHOOSE(CONTROL!$C$27, 0.0021, 0)</f>
        <v>58.177199999999999</v>
      </c>
      <c r="J516" s="17">
        <f>58.1751 * CHOOSE(CONTROL!$C$9, $D$9, 100%, $F$9) + CHOOSE(CONTROL!$C$27, 0.0021, 0)</f>
        <v>58.177199999999999</v>
      </c>
      <c r="K516" s="17">
        <f>58.1751 * CHOOSE(CONTROL!$C$9, $D$9, 100%, $F$9) + CHOOSE(CONTROL!$C$27, 0.0021, 0)</f>
        <v>58.177199999999999</v>
      </c>
      <c r="L516" s="17"/>
    </row>
    <row r="517" spans="1:12" ht="15.75" x14ac:dyDescent="0.25">
      <c r="A517" s="13">
        <v>56673</v>
      </c>
      <c r="B517" s="17">
        <f>57.0144 * CHOOSE(CONTROL!$C$9, $D$9, 100%, $F$9) + CHOOSE(CONTROL!$C$27, 0.0021, 0)</f>
        <v>57.016500000000001</v>
      </c>
      <c r="C517" s="17">
        <f>56.5822 * CHOOSE(CONTROL!$C$9, $D$9, 100%, $F$9) + CHOOSE(CONTROL!$C$27, 0.0021, 0)</f>
        <v>56.584299999999999</v>
      </c>
      <c r="D517" s="17">
        <f>56.5822 * CHOOSE(CONTROL!$C$9, $D$9, 100%, $F$9) + CHOOSE(CONTROL!$C$27, 0.0021, 0)</f>
        <v>56.584299999999999</v>
      </c>
      <c r="E517" s="17">
        <f>56.4455 * CHOOSE(CONTROL!$C$9, $D$9, 100%, $F$9) + CHOOSE(CONTROL!$C$27, 0.0021, 0)</f>
        <v>56.447600000000001</v>
      </c>
      <c r="F517" s="17">
        <f>56.4455 * CHOOSE(CONTROL!$C$9, $D$9, 100%, $F$9) + CHOOSE(CONTROL!$C$27, 0.0021, 0)</f>
        <v>56.447600000000001</v>
      </c>
      <c r="G517" s="17">
        <f>56.7169 * CHOOSE(CONTROL!$C$9, $D$9, 100%, $F$9) + CHOOSE(CONTROL!$C$27, 0.0021, 0)</f>
        <v>56.719000000000001</v>
      </c>
      <c r="H517" s="17">
        <f>56.5822 * CHOOSE(CONTROL!$C$9, $D$9, 100%, $F$9) + CHOOSE(CONTROL!$C$27, 0.0021, 0)</f>
        <v>56.584299999999999</v>
      </c>
      <c r="I517" s="17">
        <f>56.5822 * CHOOSE(CONTROL!$C$9, $D$9, 100%, $F$9) + CHOOSE(CONTROL!$C$27, 0.0021, 0)</f>
        <v>56.584299999999999</v>
      </c>
      <c r="J517" s="17">
        <f>56.5822 * CHOOSE(CONTROL!$C$9, $D$9, 100%, $F$9) + CHOOSE(CONTROL!$C$27, 0.0021, 0)</f>
        <v>56.584299999999999</v>
      </c>
      <c r="K517" s="17">
        <f>56.5822 * CHOOSE(CONTROL!$C$9, $D$9, 100%, $F$9) + CHOOSE(CONTROL!$C$27, 0.0021, 0)</f>
        <v>56.584299999999999</v>
      </c>
      <c r="L517" s="17"/>
    </row>
    <row r="518" spans="1:12" ht="15.75" x14ac:dyDescent="0.25">
      <c r="A518" s="13">
        <v>56704</v>
      </c>
      <c r="B518" s="17">
        <f>56.3569 * CHOOSE(CONTROL!$C$9, $D$9, 100%, $F$9) + CHOOSE(CONTROL!$C$27, 0.0021, 0)</f>
        <v>56.359000000000002</v>
      </c>
      <c r="C518" s="17">
        <f>55.9246 * CHOOSE(CONTROL!$C$9, $D$9, 100%, $F$9) + CHOOSE(CONTROL!$C$27, 0.0021, 0)</f>
        <v>55.926699999999997</v>
      </c>
      <c r="D518" s="17">
        <f>55.9246 * CHOOSE(CONTROL!$C$9, $D$9, 100%, $F$9) + CHOOSE(CONTROL!$C$27, 0.0021, 0)</f>
        <v>55.926699999999997</v>
      </c>
      <c r="E518" s="17">
        <f>55.788 * CHOOSE(CONTROL!$C$9, $D$9, 100%, $F$9) + CHOOSE(CONTROL!$C$27, 0.0021, 0)</f>
        <v>55.790099999999995</v>
      </c>
      <c r="F518" s="17">
        <f>55.788 * CHOOSE(CONTROL!$C$9, $D$9, 100%, $F$9) + CHOOSE(CONTROL!$C$27, 0.0021, 0)</f>
        <v>55.790099999999995</v>
      </c>
      <c r="G518" s="17">
        <f>56.0594 * CHOOSE(CONTROL!$C$9, $D$9, 100%, $F$9) + CHOOSE(CONTROL!$C$27, 0.0021, 0)</f>
        <v>56.061499999999995</v>
      </c>
      <c r="H518" s="17">
        <f>55.9246 * CHOOSE(CONTROL!$C$9, $D$9, 100%, $F$9) + CHOOSE(CONTROL!$C$27, 0.0021, 0)</f>
        <v>55.926699999999997</v>
      </c>
      <c r="I518" s="17">
        <f>55.9246 * CHOOSE(CONTROL!$C$9, $D$9, 100%, $F$9) + CHOOSE(CONTROL!$C$27, 0.0021, 0)</f>
        <v>55.926699999999997</v>
      </c>
      <c r="J518" s="17">
        <f>55.9246 * CHOOSE(CONTROL!$C$9, $D$9, 100%, $F$9) + CHOOSE(CONTROL!$C$27, 0.0021, 0)</f>
        <v>55.926699999999997</v>
      </c>
      <c r="K518" s="17">
        <f>55.9246 * CHOOSE(CONTROL!$C$9, $D$9, 100%, $F$9) + CHOOSE(CONTROL!$C$27, 0.0021, 0)</f>
        <v>55.926699999999997</v>
      </c>
      <c r="L518" s="17"/>
    </row>
    <row r="519" spans="1:12" ht="15.75" x14ac:dyDescent="0.25">
      <c r="A519" s="13">
        <v>56734</v>
      </c>
      <c r="B519" s="17">
        <f>55.5718 * CHOOSE(CONTROL!$C$9, $D$9, 100%, $F$9) + CHOOSE(CONTROL!$C$27, 0.0021, 0)</f>
        <v>55.573900000000002</v>
      </c>
      <c r="C519" s="17">
        <f>55.1395 * CHOOSE(CONTROL!$C$9, $D$9, 100%, $F$9) + CHOOSE(CONTROL!$C$27, 0.0021, 0)</f>
        <v>55.141599999999997</v>
      </c>
      <c r="D519" s="17">
        <f>55.1395 * CHOOSE(CONTROL!$C$9, $D$9, 100%, $F$9) + CHOOSE(CONTROL!$C$27, 0.0021, 0)</f>
        <v>55.141599999999997</v>
      </c>
      <c r="E519" s="17">
        <f>55.0029 * CHOOSE(CONTROL!$C$9, $D$9, 100%, $F$9) + CHOOSE(CONTROL!$C$27, 0.0021, 0)</f>
        <v>55.004999999999995</v>
      </c>
      <c r="F519" s="17">
        <f>55.0029 * CHOOSE(CONTROL!$C$9, $D$9, 100%, $F$9) + CHOOSE(CONTROL!$C$27, 0.0021, 0)</f>
        <v>55.004999999999995</v>
      </c>
      <c r="G519" s="17">
        <f>55.2742 * CHOOSE(CONTROL!$C$9, $D$9, 100%, $F$9) + CHOOSE(CONTROL!$C$27, 0.0021, 0)</f>
        <v>55.276299999999999</v>
      </c>
      <c r="H519" s="17">
        <f>55.1395 * CHOOSE(CONTROL!$C$9, $D$9, 100%, $F$9) + CHOOSE(CONTROL!$C$27, 0.0021, 0)</f>
        <v>55.141599999999997</v>
      </c>
      <c r="I519" s="17">
        <f>55.1395 * CHOOSE(CONTROL!$C$9, $D$9, 100%, $F$9) + CHOOSE(CONTROL!$C$27, 0.0021, 0)</f>
        <v>55.141599999999997</v>
      </c>
      <c r="J519" s="17">
        <f>55.1395 * CHOOSE(CONTROL!$C$9, $D$9, 100%, $F$9) + CHOOSE(CONTROL!$C$27, 0.0021, 0)</f>
        <v>55.141599999999997</v>
      </c>
      <c r="K519" s="17">
        <f>55.1395 * CHOOSE(CONTROL!$C$9, $D$9, 100%, $F$9) + CHOOSE(CONTROL!$C$27, 0.0021, 0)</f>
        <v>55.141599999999997</v>
      </c>
      <c r="L519" s="17"/>
    </row>
    <row r="520" spans="1:12" ht="15.75" x14ac:dyDescent="0.25">
      <c r="A520" s="13">
        <v>56765</v>
      </c>
      <c r="B520" s="17">
        <f>56.6907 * CHOOSE(CONTROL!$C$9, $D$9, 100%, $F$9) + CHOOSE(CONTROL!$C$27, 0.0021, 0)</f>
        <v>56.692799999999998</v>
      </c>
      <c r="C520" s="17">
        <f>56.2584 * CHOOSE(CONTROL!$C$9, $D$9, 100%, $F$9) + CHOOSE(CONTROL!$C$27, 0.0021, 0)</f>
        <v>56.2605</v>
      </c>
      <c r="D520" s="17">
        <f>56.2584 * CHOOSE(CONTROL!$C$9, $D$9, 100%, $F$9) + CHOOSE(CONTROL!$C$27, 0.0021, 0)</f>
        <v>56.2605</v>
      </c>
      <c r="E520" s="17">
        <f>56.1218 * CHOOSE(CONTROL!$C$9, $D$9, 100%, $F$9) + CHOOSE(CONTROL!$C$27, 0.0021, 0)</f>
        <v>56.123899999999999</v>
      </c>
      <c r="F520" s="17">
        <f>56.1218 * CHOOSE(CONTROL!$C$9, $D$9, 100%, $F$9) + CHOOSE(CONTROL!$C$27, 0.0021, 0)</f>
        <v>56.123899999999999</v>
      </c>
      <c r="G520" s="17">
        <f>56.3931 * CHOOSE(CONTROL!$C$9, $D$9, 100%, $F$9) + CHOOSE(CONTROL!$C$27, 0.0021, 0)</f>
        <v>56.395199999999996</v>
      </c>
      <c r="H520" s="17">
        <f>56.2584 * CHOOSE(CONTROL!$C$9, $D$9, 100%, $F$9) + CHOOSE(CONTROL!$C$27, 0.0021, 0)</f>
        <v>56.2605</v>
      </c>
      <c r="I520" s="17">
        <f>56.2584 * CHOOSE(CONTROL!$C$9, $D$9, 100%, $F$9) + CHOOSE(CONTROL!$C$27, 0.0021, 0)</f>
        <v>56.2605</v>
      </c>
      <c r="J520" s="17">
        <f>56.2584 * CHOOSE(CONTROL!$C$9, $D$9, 100%, $F$9) + CHOOSE(CONTROL!$C$27, 0.0021, 0)</f>
        <v>56.2605</v>
      </c>
      <c r="K520" s="17">
        <f>56.2584 * CHOOSE(CONTROL!$C$9, $D$9, 100%, $F$9) + CHOOSE(CONTROL!$C$27, 0.0021, 0)</f>
        <v>56.2605</v>
      </c>
      <c r="L520" s="17"/>
    </row>
    <row r="521" spans="1:12" ht="15.75" x14ac:dyDescent="0.25">
      <c r="A521" s="13">
        <v>56795</v>
      </c>
      <c r="B521" s="17">
        <f>57.3608 * CHOOSE(CONTROL!$C$9, $D$9, 100%, $F$9) + CHOOSE(CONTROL!$C$27, 0.0021, 0)</f>
        <v>57.362899999999996</v>
      </c>
      <c r="C521" s="17">
        <f>56.9286 * CHOOSE(CONTROL!$C$9, $D$9, 100%, $F$9) + CHOOSE(CONTROL!$C$27, 0.0021, 0)</f>
        <v>56.930700000000002</v>
      </c>
      <c r="D521" s="17">
        <f>56.9286 * CHOOSE(CONTROL!$C$9, $D$9, 100%, $F$9) + CHOOSE(CONTROL!$C$27, 0.0021, 0)</f>
        <v>56.930700000000002</v>
      </c>
      <c r="E521" s="17">
        <f>56.7919 * CHOOSE(CONTROL!$C$9, $D$9, 100%, $F$9) + CHOOSE(CONTROL!$C$27, 0.0021, 0)</f>
        <v>56.793999999999997</v>
      </c>
      <c r="F521" s="17">
        <f>56.7919 * CHOOSE(CONTROL!$C$9, $D$9, 100%, $F$9) + CHOOSE(CONTROL!$C$27, 0.0021, 0)</f>
        <v>56.793999999999997</v>
      </c>
      <c r="G521" s="17">
        <f>57.0633 * CHOOSE(CONTROL!$C$9, $D$9, 100%, $F$9) + CHOOSE(CONTROL!$C$27, 0.0021, 0)</f>
        <v>57.065399999999997</v>
      </c>
      <c r="H521" s="17">
        <f>56.9286 * CHOOSE(CONTROL!$C$9, $D$9, 100%, $F$9) + CHOOSE(CONTROL!$C$27, 0.0021, 0)</f>
        <v>56.930700000000002</v>
      </c>
      <c r="I521" s="17">
        <f>56.9286 * CHOOSE(CONTROL!$C$9, $D$9, 100%, $F$9) + CHOOSE(CONTROL!$C$27, 0.0021, 0)</f>
        <v>56.930700000000002</v>
      </c>
      <c r="J521" s="17">
        <f>56.9286 * CHOOSE(CONTROL!$C$9, $D$9, 100%, $F$9) + CHOOSE(CONTROL!$C$27, 0.0021, 0)</f>
        <v>56.930700000000002</v>
      </c>
      <c r="K521" s="17">
        <f>56.9286 * CHOOSE(CONTROL!$C$9, $D$9, 100%, $F$9) + CHOOSE(CONTROL!$C$27, 0.0021, 0)</f>
        <v>56.930700000000002</v>
      </c>
      <c r="L521" s="17"/>
    </row>
    <row r="522" spans="1:12" ht="15.75" x14ac:dyDescent="0.25">
      <c r="A522" s="13">
        <v>56826</v>
      </c>
      <c r="B522" s="17">
        <f>58.4664 * CHOOSE(CONTROL!$C$9, $D$9, 100%, $F$9) + CHOOSE(CONTROL!$C$27, 0.0021, 0)</f>
        <v>58.468499999999999</v>
      </c>
      <c r="C522" s="17">
        <f>58.0341 * CHOOSE(CONTROL!$C$9, $D$9, 100%, $F$9) + CHOOSE(CONTROL!$C$27, 0.0021, 0)</f>
        <v>58.036200000000001</v>
      </c>
      <c r="D522" s="17">
        <f>58.0341 * CHOOSE(CONTROL!$C$9, $D$9, 100%, $F$9) + CHOOSE(CONTROL!$C$27, 0.0021, 0)</f>
        <v>58.036200000000001</v>
      </c>
      <c r="E522" s="17">
        <f>57.8975 * CHOOSE(CONTROL!$C$9, $D$9, 100%, $F$9) + CHOOSE(CONTROL!$C$27, 0.0021, 0)</f>
        <v>57.8996</v>
      </c>
      <c r="F522" s="17">
        <f>57.8975 * CHOOSE(CONTROL!$C$9, $D$9, 100%, $F$9) + CHOOSE(CONTROL!$C$27, 0.0021, 0)</f>
        <v>57.8996</v>
      </c>
      <c r="G522" s="17">
        <f>58.1688 * CHOOSE(CONTROL!$C$9, $D$9, 100%, $F$9) + CHOOSE(CONTROL!$C$27, 0.0021, 0)</f>
        <v>58.170899999999996</v>
      </c>
      <c r="H522" s="17">
        <f>58.0341 * CHOOSE(CONTROL!$C$9, $D$9, 100%, $F$9) + CHOOSE(CONTROL!$C$27, 0.0021, 0)</f>
        <v>58.036200000000001</v>
      </c>
      <c r="I522" s="17">
        <f>58.0341 * CHOOSE(CONTROL!$C$9, $D$9, 100%, $F$9) + CHOOSE(CONTROL!$C$27, 0.0021, 0)</f>
        <v>58.036200000000001</v>
      </c>
      <c r="J522" s="17">
        <f>58.0341 * CHOOSE(CONTROL!$C$9, $D$9, 100%, $F$9) + CHOOSE(CONTROL!$C$27, 0.0021, 0)</f>
        <v>58.036200000000001</v>
      </c>
      <c r="K522" s="17">
        <f>58.0341 * CHOOSE(CONTROL!$C$9, $D$9, 100%, $F$9) + CHOOSE(CONTROL!$C$27, 0.0021, 0)</f>
        <v>58.036200000000001</v>
      </c>
      <c r="L522" s="17"/>
    </row>
    <row r="523" spans="1:12" ht="15.75" x14ac:dyDescent="0.25">
      <c r="A523" s="13">
        <v>56857</v>
      </c>
      <c r="B523" s="17">
        <f>58.8038 * CHOOSE(CONTROL!$C$9, $D$9, 100%, $F$9) + CHOOSE(CONTROL!$C$27, 0.0021, 0)</f>
        <v>58.805900000000001</v>
      </c>
      <c r="C523" s="17">
        <f>58.3716 * CHOOSE(CONTROL!$C$9, $D$9, 100%, $F$9) + CHOOSE(CONTROL!$C$27, 0.0021, 0)</f>
        <v>58.373699999999999</v>
      </c>
      <c r="D523" s="17">
        <f>58.3716 * CHOOSE(CONTROL!$C$9, $D$9, 100%, $F$9) + CHOOSE(CONTROL!$C$27, 0.0021, 0)</f>
        <v>58.373699999999999</v>
      </c>
      <c r="E523" s="17">
        <f>58.2349 * CHOOSE(CONTROL!$C$9, $D$9, 100%, $F$9) + CHOOSE(CONTROL!$C$27, 0.0021, 0)</f>
        <v>58.237000000000002</v>
      </c>
      <c r="F523" s="17">
        <f>58.2349 * CHOOSE(CONTROL!$C$9, $D$9, 100%, $F$9) + CHOOSE(CONTROL!$C$27, 0.0021, 0)</f>
        <v>58.237000000000002</v>
      </c>
      <c r="G523" s="17">
        <f>58.5063 * CHOOSE(CONTROL!$C$9, $D$9, 100%, $F$9) + CHOOSE(CONTROL!$C$27, 0.0021, 0)</f>
        <v>58.508400000000002</v>
      </c>
      <c r="H523" s="17">
        <f>58.3716 * CHOOSE(CONTROL!$C$9, $D$9, 100%, $F$9) + CHOOSE(CONTROL!$C$27, 0.0021, 0)</f>
        <v>58.373699999999999</v>
      </c>
      <c r="I523" s="17">
        <f>58.3716 * CHOOSE(CONTROL!$C$9, $D$9, 100%, $F$9) + CHOOSE(CONTROL!$C$27, 0.0021, 0)</f>
        <v>58.373699999999999</v>
      </c>
      <c r="J523" s="17">
        <f>58.3716 * CHOOSE(CONTROL!$C$9, $D$9, 100%, $F$9) + CHOOSE(CONTROL!$C$27, 0.0021, 0)</f>
        <v>58.373699999999999</v>
      </c>
      <c r="K523" s="17">
        <f>58.3716 * CHOOSE(CONTROL!$C$9, $D$9, 100%, $F$9) + CHOOSE(CONTROL!$C$27, 0.0021, 0)</f>
        <v>58.373699999999999</v>
      </c>
      <c r="L523" s="17"/>
    </row>
    <row r="524" spans="1:12" ht="15.75" x14ac:dyDescent="0.25">
      <c r="A524" s="13">
        <v>56887</v>
      </c>
      <c r="B524" s="17">
        <f>59.953 * CHOOSE(CONTROL!$C$9, $D$9, 100%, $F$9) + CHOOSE(CONTROL!$C$27, 0.0021, 0)</f>
        <v>59.955100000000002</v>
      </c>
      <c r="C524" s="17">
        <f>59.5207 * CHOOSE(CONTROL!$C$9, $D$9, 100%, $F$9) + CHOOSE(CONTROL!$C$27, 0.0021, 0)</f>
        <v>59.522799999999997</v>
      </c>
      <c r="D524" s="17">
        <f>59.5207 * CHOOSE(CONTROL!$C$9, $D$9, 100%, $F$9) + CHOOSE(CONTROL!$C$27, 0.0021, 0)</f>
        <v>59.522799999999997</v>
      </c>
      <c r="E524" s="17">
        <f>59.3841 * CHOOSE(CONTROL!$C$9, $D$9, 100%, $F$9) + CHOOSE(CONTROL!$C$27, 0.0021, 0)</f>
        <v>59.386199999999995</v>
      </c>
      <c r="F524" s="17">
        <f>59.3841 * CHOOSE(CONTROL!$C$9, $D$9, 100%, $F$9) + CHOOSE(CONTROL!$C$27, 0.0021, 0)</f>
        <v>59.386199999999995</v>
      </c>
      <c r="G524" s="17">
        <f>59.6554 * CHOOSE(CONTROL!$C$9, $D$9, 100%, $F$9) + CHOOSE(CONTROL!$C$27, 0.0021, 0)</f>
        <v>59.657499999999999</v>
      </c>
      <c r="H524" s="17">
        <f>59.5207 * CHOOSE(CONTROL!$C$9, $D$9, 100%, $F$9) + CHOOSE(CONTROL!$C$27, 0.0021, 0)</f>
        <v>59.522799999999997</v>
      </c>
      <c r="I524" s="17">
        <f>59.5207 * CHOOSE(CONTROL!$C$9, $D$9, 100%, $F$9) + CHOOSE(CONTROL!$C$27, 0.0021, 0)</f>
        <v>59.522799999999997</v>
      </c>
      <c r="J524" s="17">
        <f>59.5207 * CHOOSE(CONTROL!$C$9, $D$9, 100%, $F$9) + CHOOSE(CONTROL!$C$27, 0.0021, 0)</f>
        <v>59.522799999999997</v>
      </c>
      <c r="K524" s="17">
        <f>59.5207 * CHOOSE(CONTROL!$C$9, $D$9, 100%, $F$9) + CHOOSE(CONTROL!$C$27, 0.0021, 0)</f>
        <v>59.522799999999997</v>
      </c>
      <c r="L524" s="17"/>
    </row>
    <row r="525" spans="1:12" ht="15.75" x14ac:dyDescent="0.25">
      <c r="A525" s="13">
        <v>56918</v>
      </c>
      <c r="B525" s="17">
        <f>61.4076 * CHOOSE(CONTROL!$C$9, $D$9, 100%, $F$9) + CHOOSE(CONTROL!$C$27, 0.0021, 0)</f>
        <v>61.409700000000001</v>
      </c>
      <c r="C525" s="17">
        <f>60.9754 * CHOOSE(CONTROL!$C$9, $D$9, 100%, $F$9) + CHOOSE(CONTROL!$C$27, 0.0021, 0)</f>
        <v>60.977499999999999</v>
      </c>
      <c r="D525" s="17">
        <f>60.9754 * CHOOSE(CONTROL!$C$9, $D$9, 100%, $F$9) + CHOOSE(CONTROL!$C$27, 0.0021, 0)</f>
        <v>60.977499999999999</v>
      </c>
      <c r="E525" s="17">
        <f>60.8387 * CHOOSE(CONTROL!$C$9, $D$9, 100%, $F$9) + CHOOSE(CONTROL!$C$27, 0.0021, 0)</f>
        <v>60.840800000000002</v>
      </c>
      <c r="F525" s="17">
        <f>60.8387 * CHOOSE(CONTROL!$C$9, $D$9, 100%, $F$9) + CHOOSE(CONTROL!$C$27, 0.0021, 0)</f>
        <v>60.840800000000002</v>
      </c>
      <c r="G525" s="17">
        <f>61.1101 * CHOOSE(CONTROL!$C$9, $D$9, 100%, $F$9) + CHOOSE(CONTROL!$C$27, 0.0021, 0)</f>
        <v>61.112200000000001</v>
      </c>
      <c r="H525" s="17">
        <f>60.9754 * CHOOSE(CONTROL!$C$9, $D$9, 100%, $F$9) + CHOOSE(CONTROL!$C$27, 0.0021, 0)</f>
        <v>60.977499999999999</v>
      </c>
      <c r="I525" s="17">
        <f>60.9754 * CHOOSE(CONTROL!$C$9, $D$9, 100%, $F$9) + CHOOSE(CONTROL!$C$27, 0.0021, 0)</f>
        <v>60.977499999999999</v>
      </c>
      <c r="J525" s="17">
        <f>60.9754 * CHOOSE(CONTROL!$C$9, $D$9, 100%, $F$9) + CHOOSE(CONTROL!$C$27, 0.0021, 0)</f>
        <v>60.977499999999999</v>
      </c>
      <c r="K525" s="17">
        <f>60.9754 * CHOOSE(CONTROL!$C$9, $D$9, 100%, $F$9) + CHOOSE(CONTROL!$C$27, 0.0021, 0)</f>
        <v>60.977499999999999</v>
      </c>
      <c r="L525" s="17"/>
    </row>
    <row r="526" spans="1:12" ht="15.75" x14ac:dyDescent="0.25">
      <c r="A526" s="13">
        <v>56948</v>
      </c>
      <c r="B526" s="17">
        <f>61.5442 * CHOOSE(CONTROL!$C$9, $D$9, 100%, $F$9) + CHOOSE(CONTROL!$C$27, 0.0021, 0)</f>
        <v>61.546299999999995</v>
      </c>
      <c r="C526" s="17">
        <f>61.1119 * CHOOSE(CONTROL!$C$9, $D$9, 100%, $F$9) + CHOOSE(CONTROL!$C$27, 0.0021, 0)</f>
        <v>61.113999999999997</v>
      </c>
      <c r="D526" s="17">
        <f>61.1119 * CHOOSE(CONTROL!$C$9, $D$9, 100%, $F$9) + CHOOSE(CONTROL!$C$27, 0.0021, 0)</f>
        <v>61.113999999999997</v>
      </c>
      <c r="E526" s="17">
        <f>60.9753 * CHOOSE(CONTROL!$C$9, $D$9, 100%, $F$9) + CHOOSE(CONTROL!$C$27, 0.0021, 0)</f>
        <v>60.977399999999996</v>
      </c>
      <c r="F526" s="17">
        <f>60.9753 * CHOOSE(CONTROL!$C$9, $D$9, 100%, $F$9) + CHOOSE(CONTROL!$C$27, 0.0021, 0)</f>
        <v>60.977399999999996</v>
      </c>
      <c r="G526" s="17">
        <f>61.2466 * CHOOSE(CONTROL!$C$9, $D$9, 100%, $F$9) + CHOOSE(CONTROL!$C$27, 0.0021, 0)</f>
        <v>61.248699999999999</v>
      </c>
      <c r="H526" s="17">
        <f>61.1119 * CHOOSE(CONTROL!$C$9, $D$9, 100%, $F$9) + CHOOSE(CONTROL!$C$27, 0.0021, 0)</f>
        <v>61.113999999999997</v>
      </c>
      <c r="I526" s="17">
        <f>61.1119 * CHOOSE(CONTROL!$C$9, $D$9, 100%, $F$9) + CHOOSE(CONTROL!$C$27, 0.0021, 0)</f>
        <v>61.113999999999997</v>
      </c>
      <c r="J526" s="17">
        <f>61.1119 * CHOOSE(CONTROL!$C$9, $D$9, 100%, $F$9) + CHOOSE(CONTROL!$C$27, 0.0021, 0)</f>
        <v>61.113999999999997</v>
      </c>
      <c r="K526" s="17">
        <f>61.1119 * CHOOSE(CONTROL!$C$9, $D$9, 100%, $F$9) + CHOOSE(CONTROL!$C$27, 0.0021, 0)</f>
        <v>61.113999999999997</v>
      </c>
      <c r="L526" s="17"/>
    </row>
    <row r="527" spans="1:12" ht="15.75" x14ac:dyDescent="0.25">
      <c r="A527" s="13">
        <v>56979</v>
      </c>
      <c r="B527" s="17">
        <f>60.3824 * CHOOSE(CONTROL!$C$9, $D$9, 100%, $F$9) + CHOOSE(CONTROL!$C$27, 0.0021, 0)</f>
        <v>60.384499999999996</v>
      </c>
      <c r="C527" s="17">
        <f>59.9501 * CHOOSE(CONTROL!$C$9, $D$9, 100%, $F$9) + CHOOSE(CONTROL!$C$27, 0.0021, 0)</f>
        <v>59.952199999999998</v>
      </c>
      <c r="D527" s="17">
        <f>59.9501 * CHOOSE(CONTROL!$C$9, $D$9, 100%, $F$9) + CHOOSE(CONTROL!$C$27, 0.0021, 0)</f>
        <v>59.952199999999998</v>
      </c>
      <c r="E527" s="17">
        <f>59.8135 * CHOOSE(CONTROL!$C$9, $D$9, 100%, $F$9) + CHOOSE(CONTROL!$C$27, 0.0021, 0)</f>
        <v>59.815599999999996</v>
      </c>
      <c r="F527" s="17">
        <f>59.8135 * CHOOSE(CONTROL!$C$9, $D$9, 100%, $F$9) + CHOOSE(CONTROL!$C$27, 0.0021, 0)</f>
        <v>59.815599999999996</v>
      </c>
      <c r="G527" s="17">
        <f>60.0848 * CHOOSE(CONTROL!$C$9, $D$9, 100%, $F$9) + CHOOSE(CONTROL!$C$27, 0.0021, 0)</f>
        <v>60.0869</v>
      </c>
      <c r="H527" s="17">
        <f>59.9501 * CHOOSE(CONTROL!$C$9, $D$9, 100%, $F$9) + CHOOSE(CONTROL!$C$27, 0.0021, 0)</f>
        <v>59.952199999999998</v>
      </c>
      <c r="I527" s="17">
        <f>59.9501 * CHOOSE(CONTROL!$C$9, $D$9, 100%, $F$9) + CHOOSE(CONTROL!$C$27, 0.0021, 0)</f>
        <v>59.952199999999998</v>
      </c>
      <c r="J527" s="17">
        <f>59.9501 * CHOOSE(CONTROL!$C$9, $D$9, 100%, $F$9) + CHOOSE(CONTROL!$C$27, 0.0021, 0)</f>
        <v>59.952199999999998</v>
      </c>
      <c r="K527" s="17">
        <f>59.9501 * CHOOSE(CONTROL!$C$9, $D$9, 100%, $F$9) + CHOOSE(CONTROL!$C$27, 0.0021, 0)</f>
        <v>59.952199999999998</v>
      </c>
      <c r="L527" s="17"/>
    </row>
    <row r="528" spans="1:12" ht="15.75" x14ac:dyDescent="0.25">
      <c r="A528" s="13">
        <v>57010</v>
      </c>
      <c r="B528" s="17">
        <f>59.6481 * CHOOSE(CONTROL!$C$9, $D$9, 100%, $F$9) + CHOOSE(CONTROL!$C$27, 0.0021, 0)</f>
        <v>59.650199999999998</v>
      </c>
      <c r="C528" s="17">
        <f>59.2158 * CHOOSE(CONTROL!$C$9, $D$9, 100%, $F$9) + CHOOSE(CONTROL!$C$27, 0.0021, 0)</f>
        <v>59.2179</v>
      </c>
      <c r="D528" s="17">
        <f>59.2158 * CHOOSE(CONTROL!$C$9, $D$9, 100%, $F$9) + CHOOSE(CONTROL!$C$27, 0.0021, 0)</f>
        <v>59.2179</v>
      </c>
      <c r="E528" s="17">
        <f>59.0792 * CHOOSE(CONTROL!$C$9, $D$9, 100%, $F$9) + CHOOSE(CONTROL!$C$27, 0.0021, 0)</f>
        <v>59.081299999999999</v>
      </c>
      <c r="F528" s="17">
        <f>59.0792 * CHOOSE(CONTROL!$C$9, $D$9, 100%, $F$9) + CHOOSE(CONTROL!$C$27, 0.0021, 0)</f>
        <v>59.081299999999999</v>
      </c>
      <c r="G528" s="17">
        <f>59.3505 * CHOOSE(CONTROL!$C$9, $D$9, 100%, $F$9) + CHOOSE(CONTROL!$C$27, 0.0021, 0)</f>
        <v>59.352599999999995</v>
      </c>
      <c r="H528" s="17">
        <f>59.2158 * CHOOSE(CONTROL!$C$9, $D$9, 100%, $F$9) + CHOOSE(CONTROL!$C$27, 0.0021, 0)</f>
        <v>59.2179</v>
      </c>
      <c r="I528" s="17">
        <f>59.2158 * CHOOSE(CONTROL!$C$9, $D$9, 100%, $F$9) + CHOOSE(CONTROL!$C$27, 0.0021, 0)</f>
        <v>59.2179</v>
      </c>
      <c r="J528" s="17">
        <f>59.2158 * CHOOSE(CONTROL!$C$9, $D$9, 100%, $F$9) + CHOOSE(CONTROL!$C$27, 0.0021, 0)</f>
        <v>59.2179</v>
      </c>
      <c r="K528" s="17">
        <f>59.2158 * CHOOSE(CONTROL!$C$9, $D$9, 100%, $F$9) + CHOOSE(CONTROL!$C$27, 0.0021, 0)</f>
        <v>59.2179</v>
      </c>
      <c r="L528" s="17"/>
    </row>
    <row r="529" spans="1:12" ht="15.75" x14ac:dyDescent="0.25">
      <c r="A529" s="13">
        <v>57038</v>
      </c>
      <c r="B529" s="17">
        <f>58.0257 * CHOOSE(CONTROL!$C$9, $D$9, 100%, $F$9) + CHOOSE(CONTROL!$C$27, 0.0021, 0)</f>
        <v>58.027799999999999</v>
      </c>
      <c r="C529" s="17">
        <f>57.5935 * CHOOSE(CONTROL!$C$9, $D$9, 100%, $F$9) + CHOOSE(CONTROL!$C$27, 0.0021, 0)</f>
        <v>57.595599999999997</v>
      </c>
      <c r="D529" s="17">
        <f>57.5935 * CHOOSE(CONTROL!$C$9, $D$9, 100%, $F$9) + CHOOSE(CONTROL!$C$27, 0.0021, 0)</f>
        <v>57.595599999999997</v>
      </c>
      <c r="E529" s="17">
        <f>57.4568 * CHOOSE(CONTROL!$C$9, $D$9, 100%, $F$9) + CHOOSE(CONTROL!$C$27, 0.0021, 0)</f>
        <v>57.4589</v>
      </c>
      <c r="F529" s="17">
        <f>57.4568 * CHOOSE(CONTROL!$C$9, $D$9, 100%, $F$9) + CHOOSE(CONTROL!$C$27, 0.0021, 0)</f>
        <v>57.4589</v>
      </c>
      <c r="G529" s="17">
        <f>57.7282 * CHOOSE(CONTROL!$C$9, $D$9, 100%, $F$9) + CHOOSE(CONTROL!$C$27, 0.0021, 0)</f>
        <v>57.7303</v>
      </c>
      <c r="H529" s="17">
        <f>57.5935 * CHOOSE(CONTROL!$C$9, $D$9, 100%, $F$9) + CHOOSE(CONTROL!$C$27, 0.0021, 0)</f>
        <v>57.595599999999997</v>
      </c>
      <c r="I529" s="17">
        <f>57.5935 * CHOOSE(CONTROL!$C$9, $D$9, 100%, $F$9) + CHOOSE(CONTROL!$C$27, 0.0021, 0)</f>
        <v>57.595599999999997</v>
      </c>
      <c r="J529" s="17">
        <f>57.5935 * CHOOSE(CONTROL!$C$9, $D$9, 100%, $F$9) + CHOOSE(CONTROL!$C$27, 0.0021, 0)</f>
        <v>57.595599999999997</v>
      </c>
      <c r="K529" s="17">
        <f>57.5935 * CHOOSE(CONTROL!$C$9, $D$9, 100%, $F$9) + CHOOSE(CONTROL!$C$27, 0.0021, 0)</f>
        <v>57.595599999999997</v>
      </c>
      <c r="L529" s="17"/>
    </row>
    <row r="530" spans="1:12" ht="15.75" x14ac:dyDescent="0.25">
      <c r="A530" s="13">
        <v>57070</v>
      </c>
      <c r="B530" s="17">
        <f>57.356 * CHOOSE(CONTROL!$C$9, $D$9, 100%, $F$9) + CHOOSE(CONTROL!$C$27, 0.0021, 0)</f>
        <v>57.3581</v>
      </c>
      <c r="C530" s="17">
        <f>56.9238 * CHOOSE(CONTROL!$C$9, $D$9, 100%, $F$9) + CHOOSE(CONTROL!$C$27, 0.0021, 0)</f>
        <v>56.925899999999999</v>
      </c>
      <c r="D530" s="17">
        <f>56.9238 * CHOOSE(CONTROL!$C$9, $D$9, 100%, $F$9) + CHOOSE(CONTROL!$C$27, 0.0021, 0)</f>
        <v>56.925899999999999</v>
      </c>
      <c r="E530" s="17">
        <f>56.7871 * CHOOSE(CONTROL!$C$9, $D$9, 100%, $F$9) + CHOOSE(CONTROL!$C$27, 0.0021, 0)</f>
        <v>56.789200000000001</v>
      </c>
      <c r="F530" s="17">
        <f>56.7871 * CHOOSE(CONTROL!$C$9, $D$9, 100%, $F$9) + CHOOSE(CONTROL!$C$27, 0.0021, 0)</f>
        <v>56.789200000000001</v>
      </c>
      <c r="G530" s="17">
        <f>57.0585 * CHOOSE(CONTROL!$C$9, $D$9, 100%, $F$9) + CHOOSE(CONTROL!$C$27, 0.0021, 0)</f>
        <v>57.060600000000001</v>
      </c>
      <c r="H530" s="17">
        <f>56.9238 * CHOOSE(CONTROL!$C$9, $D$9, 100%, $F$9) + CHOOSE(CONTROL!$C$27, 0.0021, 0)</f>
        <v>56.925899999999999</v>
      </c>
      <c r="I530" s="17">
        <f>56.9238 * CHOOSE(CONTROL!$C$9, $D$9, 100%, $F$9) + CHOOSE(CONTROL!$C$27, 0.0021, 0)</f>
        <v>56.925899999999999</v>
      </c>
      <c r="J530" s="17">
        <f>56.9238 * CHOOSE(CONTROL!$C$9, $D$9, 100%, $F$9) + CHOOSE(CONTROL!$C$27, 0.0021, 0)</f>
        <v>56.925899999999999</v>
      </c>
      <c r="K530" s="17">
        <f>56.9238 * CHOOSE(CONTROL!$C$9, $D$9, 100%, $F$9) + CHOOSE(CONTROL!$C$27, 0.0021, 0)</f>
        <v>56.925899999999999</v>
      </c>
      <c r="L530" s="17"/>
    </row>
    <row r="531" spans="1:12" ht="15.75" x14ac:dyDescent="0.25">
      <c r="A531" s="13">
        <v>57100</v>
      </c>
      <c r="B531" s="17">
        <f>56.5564 * CHOOSE(CONTROL!$C$9, $D$9, 100%, $F$9) + CHOOSE(CONTROL!$C$27, 0.0021, 0)</f>
        <v>56.558499999999995</v>
      </c>
      <c r="C531" s="17">
        <f>56.1242 * CHOOSE(CONTROL!$C$9, $D$9, 100%, $F$9) + CHOOSE(CONTROL!$C$27, 0.0021, 0)</f>
        <v>56.126300000000001</v>
      </c>
      <c r="D531" s="17">
        <f>56.1242 * CHOOSE(CONTROL!$C$9, $D$9, 100%, $F$9) + CHOOSE(CONTROL!$C$27, 0.0021, 0)</f>
        <v>56.126300000000001</v>
      </c>
      <c r="E531" s="17">
        <f>55.9875 * CHOOSE(CONTROL!$C$9, $D$9, 100%, $F$9) + CHOOSE(CONTROL!$C$27, 0.0021, 0)</f>
        <v>55.989599999999996</v>
      </c>
      <c r="F531" s="17">
        <f>55.9875 * CHOOSE(CONTROL!$C$9, $D$9, 100%, $F$9) + CHOOSE(CONTROL!$C$27, 0.0021, 0)</f>
        <v>55.989599999999996</v>
      </c>
      <c r="G531" s="17">
        <f>56.2589 * CHOOSE(CONTROL!$C$9, $D$9, 100%, $F$9) + CHOOSE(CONTROL!$C$27, 0.0021, 0)</f>
        <v>56.260999999999996</v>
      </c>
      <c r="H531" s="17">
        <f>56.1242 * CHOOSE(CONTROL!$C$9, $D$9, 100%, $F$9) + CHOOSE(CONTROL!$C$27, 0.0021, 0)</f>
        <v>56.126300000000001</v>
      </c>
      <c r="I531" s="17">
        <f>56.1242 * CHOOSE(CONTROL!$C$9, $D$9, 100%, $F$9) + CHOOSE(CONTROL!$C$27, 0.0021, 0)</f>
        <v>56.126300000000001</v>
      </c>
      <c r="J531" s="17">
        <f>56.1242 * CHOOSE(CONTROL!$C$9, $D$9, 100%, $F$9) + CHOOSE(CONTROL!$C$27, 0.0021, 0)</f>
        <v>56.126300000000001</v>
      </c>
      <c r="K531" s="17">
        <f>56.1242 * CHOOSE(CONTROL!$C$9, $D$9, 100%, $F$9) + CHOOSE(CONTROL!$C$27, 0.0021, 0)</f>
        <v>56.126300000000001</v>
      </c>
      <c r="L531" s="17"/>
    </row>
    <row r="532" spans="1:12" ht="15.75" x14ac:dyDescent="0.25">
      <c r="A532" s="13">
        <v>57131</v>
      </c>
      <c r="B532" s="17">
        <f>57.696 * CHOOSE(CONTROL!$C$9, $D$9, 100%, $F$9) + CHOOSE(CONTROL!$C$27, 0.0021, 0)</f>
        <v>57.698099999999997</v>
      </c>
      <c r="C532" s="17">
        <f>57.2637 * CHOOSE(CONTROL!$C$9, $D$9, 100%, $F$9) + CHOOSE(CONTROL!$C$27, 0.0021, 0)</f>
        <v>57.265799999999999</v>
      </c>
      <c r="D532" s="17">
        <f>57.2637 * CHOOSE(CONTROL!$C$9, $D$9, 100%, $F$9) + CHOOSE(CONTROL!$C$27, 0.0021, 0)</f>
        <v>57.265799999999999</v>
      </c>
      <c r="E532" s="17">
        <f>57.1271 * CHOOSE(CONTROL!$C$9, $D$9, 100%, $F$9) + CHOOSE(CONTROL!$C$27, 0.0021, 0)</f>
        <v>57.129199999999997</v>
      </c>
      <c r="F532" s="17">
        <f>57.1271 * CHOOSE(CONTROL!$C$9, $D$9, 100%, $F$9) + CHOOSE(CONTROL!$C$27, 0.0021, 0)</f>
        <v>57.129199999999997</v>
      </c>
      <c r="G532" s="17">
        <f>57.3984 * CHOOSE(CONTROL!$C$9, $D$9, 100%, $F$9) + CHOOSE(CONTROL!$C$27, 0.0021, 0)</f>
        <v>57.400500000000001</v>
      </c>
      <c r="H532" s="17">
        <f>57.2637 * CHOOSE(CONTROL!$C$9, $D$9, 100%, $F$9) + CHOOSE(CONTROL!$C$27, 0.0021, 0)</f>
        <v>57.265799999999999</v>
      </c>
      <c r="I532" s="17">
        <f>57.2637 * CHOOSE(CONTROL!$C$9, $D$9, 100%, $F$9) + CHOOSE(CONTROL!$C$27, 0.0021, 0)</f>
        <v>57.265799999999999</v>
      </c>
      <c r="J532" s="17">
        <f>57.2637 * CHOOSE(CONTROL!$C$9, $D$9, 100%, $F$9) + CHOOSE(CONTROL!$C$27, 0.0021, 0)</f>
        <v>57.265799999999999</v>
      </c>
      <c r="K532" s="17">
        <f>57.2637 * CHOOSE(CONTROL!$C$9, $D$9, 100%, $F$9) + CHOOSE(CONTROL!$C$27, 0.0021, 0)</f>
        <v>57.265799999999999</v>
      </c>
      <c r="L532" s="17"/>
    </row>
    <row r="533" spans="1:12" ht="15.75" x14ac:dyDescent="0.25">
      <c r="A533" s="13">
        <v>57161</v>
      </c>
      <c r="B533" s="17">
        <f>58.3785 * CHOOSE(CONTROL!$C$9, $D$9, 100%, $F$9) + CHOOSE(CONTROL!$C$27, 0.0021, 0)</f>
        <v>58.380600000000001</v>
      </c>
      <c r="C533" s="17">
        <f>57.9463 * CHOOSE(CONTROL!$C$9, $D$9, 100%, $F$9) + CHOOSE(CONTROL!$C$27, 0.0021, 0)</f>
        <v>57.948399999999999</v>
      </c>
      <c r="D533" s="17">
        <f>57.9463 * CHOOSE(CONTROL!$C$9, $D$9, 100%, $F$9) + CHOOSE(CONTROL!$C$27, 0.0021, 0)</f>
        <v>57.948399999999999</v>
      </c>
      <c r="E533" s="17">
        <f>57.8096 * CHOOSE(CONTROL!$C$9, $D$9, 100%, $F$9) + CHOOSE(CONTROL!$C$27, 0.0021, 0)</f>
        <v>57.811700000000002</v>
      </c>
      <c r="F533" s="17">
        <f>57.8096 * CHOOSE(CONTROL!$C$9, $D$9, 100%, $F$9) + CHOOSE(CONTROL!$C$27, 0.0021, 0)</f>
        <v>57.811700000000002</v>
      </c>
      <c r="G533" s="17">
        <f>58.081 * CHOOSE(CONTROL!$C$9, $D$9, 100%, $F$9) + CHOOSE(CONTROL!$C$27, 0.0021, 0)</f>
        <v>58.083100000000002</v>
      </c>
      <c r="H533" s="17">
        <f>57.9463 * CHOOSE(CONTROL!$C$9, $D$9, 100%, $F$9) + CHOOSE(CONTROL!$C$27, 0.0021, 0)</f>
        <v>57.948399999999999</v>
      </c>
      <c r="I533" s="17">
        <f>57.9463 * CHOOSE(CONTROL!$C$9, $D$9, 100%, $F$9) + CHOOSE(CONTROL!$C$27, 0.0021, 0)</f>
        <v>57.948399999999999</v>
      </c>
      <c r="J533" s="17">
        <f>57.9463 * CHOOSE(CONTROL!$C$9, $D$9, 100%, $F$9) + CHOOSE(CONTROL!$C$27, 0.0021, 0)</f>
        <v>57.948399999999999</v>
      </c>
      <c r="K533" s="17">
        <f>57.9463 * CHOOSE(CONTROL!$C$9, $D$9, 100%, $F$9) + CHOOSE(CONTROL!$C$27, 0.0021, 0)</f>
        <v>57.948399999999999</v>
      </c>
      <c r="L533" s="17"/>
    </row>
    <row r="534" spans="1:12" ht="15.75" x14ac:dyDescent="0.25">
      <c r="A534" s="13">
        <v>57192</v>
      </c>
      <c r="B534" s="17">
        <f>59.5045 * CHOOSE(CONTROL!$C$9, $D$9, 100%, $F$9) + CHOOSE(CONTROL!$C$27, 0.0021, 0)</f>
        <v>59.506599999999999</v>
      </c>
      <c r="C534" s="17">
        <f>59.0723 * CHOOSE(CONTROL!$C$9, $D$9, 100%, $F$9) + CHOOSE(CONTROL!$C$27, 0.0021, 0)</f>
        <v>59.074399999999997</v>
      </c>
      <c r="D534" s="17">
        <f>59.0723 * CHOOSE(CONTROL!$C$9, $D$9, 100%, $F$9) + CHOOSE(CONTROL!$C$27, 0.0021, 0)</f>
        <v>59.074399999999997</v>
      </c>
      <c r="E534" s="17">
        <f>58.9356 * CHOOSE(CONTROL!$C$9, $D$9, 100%, $F$9) + CHOOSE(CONTROL!$C$27, 0.0021, 0)</f>
        <v>58.9377</v>
      </c>
      <c r="F534" s="17">
        <f>58.9356 * CHOOSE(CONTROL!$C$9, $D$9, 100%, $F$9) + CHOOSE(CONTROL!$C$27, 0.0021, 0)</f>
        <v>58.9377</v>
      </c>
      <c r="G534" s="17">
        <f>59.207 * CHOOSE(CONTROL!$C$9, $D$9, 100%, $F$9) + CHOOSE(CONTROL!$C$27, 0.0021, 0)</f>
        <v>59.209099999999999</v>
      </c>
      <c r="H534" s="17">
        <f>59.0723 * CHOOSE(CONTROL!$C$9, $D$9, 100%, $F$9) + CHOOSE(CONTROL!$C$27, 0.0021, 0)</f>
        <v>59.074399999999997</v>
      </c>
      <c r="I534" s="17">
        <f>59.0723 * CHOOSE(CONTROL!$C$9, $D$9, 100%, $F$9) + CHOOSE(CONTROL!$C$27, 0.0021, 0)</f>
        <v>59.074399999999997</v>
      </c>
      <c r="J534" s="17">
        <f>59.0723 * CHOOSE(CONTROL!$C$9, $D$9, 100%, $F$9) + CHOOSE(CONTROL!$C$27, 0.0021, 0)</f>
        <v>59.074399999999997</v>
      </c>
      <c r="K534" s="17">
        <f>59.0723 * CHOOSE(CONTROL!$C$9, $D$9, 100%, $F$9) + CHOOSE(CONTROL!$C$27, 0.0021, 0)</f>
        <v>59.074399999999997</v>
      </c>
      <c r="L534" s="17"/>
    </row>
    <row r="535" spans="1:12" ht="15.75" x14ac:dyDescent="0.25">
      <c r="A535" s="13">
        <v>57223</v>
      </c>
      <c r="B535" s="17">
        <f>59.8482 * CHOOSE(CONTROL!$C$9, $D$9, 100%, $F$9) + CHOOSE(CONTROL!$C$27, 0.0021, 0)</f>
        <v>59.850299999999997</v>
      </c>
      <c r="C535" s="17">
        <f>59.4159 * CHOOSE(CONTROL!$C$9, $D$9, 100%, $F$9) + CHOOSE(CONTROL!$C$27, 0.0021, 0)</f>
        <v>59.417999999999999</v>
      </c>
      <c r="D535" s="17">
        <f>59.4159 * CHOOSE(CONTROL!$C$9, $D$9, 100%, $F$9) + CHOOSE(CONTROL!$C$27, 0.0021, 0)</f>
        <v>59.417999999999999</v>
      </c>
      <c r="E535" s="17">
        <f>59.2793 * CHOOSE(CONTROL!$C$9, $D$9, 100%, $F$9) + CHOOSE(CONTROL!$C$27, 0.0021, 0)</f>
        <v>59.281399999999998</v>
      </c>
      <c r="F535" s="17">
        <f>59.2793 * CHOOSE(CONTROL!$C$9, $D$9, 100%, $F$9) + CHOOSE(CONTROL!$C$27, 0.0021, 0)</f>
        <v>59.281399999999998</v>
      </c>
      <c r="G535" s="17">
        <f>59.5507 * CHOOSE(CONTROL!$C$9, $D$9, 100%, $F$9) + CHOOSE(CONTROL!$C$27, 0.0021, 0)</f>
        <v>59.552799999999998</v>
      </c>
      <c r="H535" s="17">
        <f>59.4159 * CHOOSE(CONTROL!$C$9, $D$9, 100%, $F$9) + CHOOSE(CONTROL!$C$27, 0.0021, 0)</f>
        <v>59.417999999999999</v>
      </c>
      <c r="I535" s="17">
        <f>59.4159 * CHOOSE(CONTROL!$C$9, $D$9, 100%, $F$9) + CHOOSE(CONTROL!$C$27, 0.0021, 0)</f>
        <v>59.417999999999999</v>
      </c>
      <c r="J535" s="17">
        <f>59.4159 * CHOOSE(CONTROL!$C$9, $D$9, 100%, $F$9) + CHOOSE(CONTROL!$C$27, 0.0021, 0)</f>
        <v>59.417999999999999</v>
      </c>
      <c r="K535" s="17">
        <f>59.4159 * CHOOSE(CONTROL!$C$9, $D$9, 100%, $F$9) + CHOOSE(CONTROL!$C$27, 0.0021, 0)</f>
        <v>59.417999999999999</v>
      </c>
      <c r="L535" s="17"/>
    </row>
    <row r="536" spans="1:12" ht="15.75" x14ac:dyDescent="0.25">
      <c r="A536" s="13">
        <v>57253</v>
      </c>
      <c r="B536" s="17">
        <f>61.0186 * CHOOSE(CONTROL!$C$9, $D$9, 100%, $F$9) + CHOOSE(CONTROL!$C$27, 0.0021, 0)</f>
        <v>61.020699999999998</v>
      </c>
      <c r="C536" s="17">
        <f>60.5863 * CHOOSE(CONTROL!$C$9, $D$9, 100%, $F$9) + CHOOSE(CONTROL!$C$27, 0.0021, 0)</f>
        <v>60.5884</v>
      </c>
      <c r="D536" s="17">
        <f>60.5863 * CHOOSE(CONTROL!$C$9, $D$9, 100%, $F$9) + CHOOSE(CONTROL!$C$27, 0.0021, 0)</f>
        <v>60.5884</v>
      </c>
      <c r="E536" s="17">
        <f>60.4497 * CHOOSE(CONTROL!$C$9, $D$9, 100%, $F$9) + CHOOSE(CONTROL!$C$27, 0.0021, 0)</f>
        <v>60.451799999999999</v>
      </c>
      <c r="F536" s="17">
        <f>60.4497 * CHOOSE(CONTROL!$C$9, $D$9, 100%, $F$9) + CHOOSE(CONTROL!$C$27, 0.0021, 0)</f>
        <v>60.451799999999999</v>
      </c>
      <c r="G536" s="17">
        <f>60.721 * CHOOSE(CONTROL!$C$9, $D$9, 100%, $F$9) + CHOOSE(CONTROL!$C$27, 0.0021, 0)</f>
        <v>60.723099999999995</v>
      </c>
      <c r="H536" s="17">
        <f>60.5863 * CHOOSE(CONTROL!$C$9, $D$9, 100%, $F$9) + CHOOSE(CONTROL!$C$27, 0.0021, 0)</f>
        <v>60.5884</v>
      </c>
      <c r="I536" s="17">
        <f>60.5863 * CHOOSE(CONTROL!$C$9, $D$9, 100%, $F$9) + CHOOSE(CONTROL!$C$27, 0.0021, 0)</f>
        <v>60.5884</v>
      </c>
      <c r="J536" s="17">
        <f>60.5863 * CHOOSE(CONTROL!$C$9, $D$9, 100%, $F$9) + CHOOSE(CONTROL!$C$27, 0.0021, 0)</f>
        <v>60.5884</v>
      </c>
      <c r="K536" s="17">
        <f>60.5863 * CHOOSE(CONTROL!$C$9, $D$9, 100%, $F$9) + CHOOSE(CONTROL!$C$27, 0.0021, 0)</f>
        <v>60.5884</v>
      </c>
      <c r="L536" s="17"/>
    </row>
    <row r="537" spans="1:12" ht="15.75" x14ac:dyDescent="0.25">
      <c r="A537" s="13">
        <v>57284</v>
      </c>
      <c r="B537" s="17">
        <f>62.5001 * CHOOSE(CONTROL!$C$9, $D$9, 100%, $F$9) + CHOOSE(CONTROL!$C$27, 0.0021, 0)</f>
        <v>62.502200000000002</v>
      </c>
      <c r="C537" s="17">
        <f>62.0679 * CHOOSE(CONTROL!$C$9, $D$9, 100%, $F$9) + CHOOSE(CONTROL!$C$27, 0.0021, 0)</f>
        <v>62.07</v>
      </c>
      <c r="D537" s="17">
        <f>62.0679 * CHOOSE(CONTROL!$C$9, $D$9, 100%, $F$9) + CHOOSE(CONTROL!$C$27, 0.0021, 0)</f>
        <v>62.07</v>
      </c>
      <c r="E537" s="17">
        <f>61.9312 * CHOOSE(CONTROL!$C$9, $D$9, 100%, $F$9) + CHOOSE(CONTROL!$C$27, 0.0021, 0)</f>
        <v>61.933299999999996</v>
      </c>
      <c r="F537" s="17">
        <f>61.9312 * CHOOSE(CONTROL!$C$9, $D$9, 100%, $F$9) + CHOOSE(CONTROL!$C$27, 0.0021, 0)</f>
        <v>61.933299999999996</v>
      </c>
      <c r="G537" s="17">
        <f>62.2026 * CHOOSE(CONTROL!$C$9, $D$9, 100%, $F$9) + CHOOSE(CONTROL!$C$27, 0.0021, 0)</f>
        <v>62.204699999999995</v>
      </c>
      <c r="H537" s="17">
        <f>62.0679 * CHOOSE(CONTROL!$C$9, $D$9, 100%, $F$9) + CHOOSE(CONTROL!$C$27, 0.0021, 0)</f>
        <v>62.07</v>
      </c>
      <c r="I537" s="17">
        <f>62.0679 * CHOOSE(CONTROL!$C$9, $D$9, 100%, $F$9) + CHOOSE(CONTROL!$C$27, 0.0021, 0)</f>
        <v>62.07</v>
      </c>
      <c r="J537" s="17">
        <f>62.0679 * CHOOSE(CONTROL!$C$9, $D$9, 100%, $F$9) + CHOOSE(CONTROL!$C$27, 0.0021, 0)</f>
        <v>62.07</v>
      </c>
      <c r="K537" s="17">
        <f>62.0679 * CHOOSE(CONTROL!$C$9, $D$9, 100%, $F$9) + CHOOSE(CONTROL!$C$27, 0.0021, 0)</f>
        <v>62.07</v>
      </c>
      <c r="L537" s="17"/>
    </row>
    <row r="538" spans="1:12" ht="15.75" x14ac:dyDescent="0.25">
      <c r="A538" s="13">
        <v>57314</v>
      </c>
      <c r="B538" s="17">
        <f>62.6392 * CHOOSE(CONTROL!$C$9, $D$9, 100%, $F$9) + CHOOSE(CONTROL!$C$27, 0.0021, 0)</f>
        <v>62.641300000000001</v>
      </c>
      <c r="C538" s="17">
        <f>62.2069 * CHOOSE(CONTROL!$C$9, $D$9, 100%, $F$9) + CHOOSE(CONTROL!$C$27, 0.0021, 0)</f>
        <v>62.208999999999996</v>
      </c>
      <c r="D538" s="17">
        <f>62.2069 * CHOOSE(CONTROL!$C$9, $D$9, 100%, $F$9) + CHOOSE(CONTROL!$C$27, 0.0021, 0)</f>
        <v>62.208999999999996</v>
      </c>
      <c r="E538" s="17">
        <f>62.0703 * CHOOSE(CONTROL!$C$9, $D$9, 100%, $F$9) + CHOOSE(CONTROL!$C$27, 0.0021, 0)</f>
        <v>62.072400000000002</v>
      </c>
      <c r="F538" s="17">
        <f>62.0703 * CHOOSE(CONTROL!$C$9, $D$9, 100%, $F$9) + CHOOSE(CONTROL!$C$27, 0.0021, 0)</f>
        <v>62.072400000000002</v>
      </c>
      <c r="G538" s="17">
        <f>62.3416 * CHOOSE(CONTROL!$C$9, $D$9, 100%, $F$9) + CHOOSE(CONTROL!$C$27, 0.0021, 0)</f>
        <v>62.343699999999998</v>
      </c>
      <c r="H538" s="17">
        <f>62.2069 * CHOOSE(CONTROL!$C$9, $D$9, 100%, $F$9) + CHOOSE(CONTROL!$C$27, 0.0021, 0)</f>
        <v>62.208999999999996</v>
      </c>
      <c r="I538" s="17">
        <f>62.2069 * CHOOSE(CONTROL!$C$9, $D$9, 100%, $F$9) + CHOOSE(CONTROL!$C$27, 0.0021, 0)</f>
        <v>62.208999999999996</v>
      </c>
      <c r="J538" s="17">
        <f>62.2069 * CHOOSE(CONTROL!$C$9, $D$9, 100%, $F$9) + CHOOSE(CONTROL!$C$27, 0.0021, 0)</f>
        <v>62.208999999999996</v>
      </c>
      <c r="K538" s="17">
        <f>62.2069 * CHOOSE(CONTROL!$C$9, $D$9, 100%, $F$9) + CHOOSE(CONTROL!$C$27, 0.0021, 0)</f>
        <v>62.208999999999996</v>
      </c>
      <c r="L538" s="17"/>
    </row>
    <row r="539" spans="1:12" ht="15.75" x14ac:dyDescent="0.25">
      <c r="A539" s="13">
        <v>57345</v>
      </c>
      <c r="B539" s="17">
        <f>61.4559 * CHOOSE(CONTROL!$C$9, $D$9, 100%, $F$9) + CHOOSE(CONTROL!$C$27, 0.0021, 0)</f>
        <v>61.457999999999998</v>
      </c>
      <c r="C539" s="17">
        <f>61.0237 * CHOOSE(CONTROL!$C$9, $D$9, 100%, $F$9) + CHOOSE(CONTROL!$C$27, 0.0021, 0)</f>
        <v>61.025799999999997</v>
      </c>
      <c r="D539" s="17">
        <f>61.0237 * CHOOSE(CONTROL!$C$9, $D$9, 100%, $F$9) + CHOOSE(CONTROL!$C$27, 0.0021, 0)</f>
        <v>61.025799999999997</v>
      </c>
      <c r="E539" s="17">
        <f>60.887 * CHOOSE(CONTROL!$C$9, $D$9, 100%, $F$9) + CHOOSE(CONTROL!$C$27, 0.0021, 0)</f>
        <v>60.889099999999999</v>
      </c>
      <c r="F539" s="17">
        <f>60.887 * CHOOSE(CONTROL!$C$9, $D$9, 100%, $F$9) + CHOOSE(CONTROL!$C$27, 0.0021, 0)</f>
        <v>60.889099999999999</v>
      </c>
      <c r="G539" s="17">
        <f>61.1584 * CHOOSE(CONTROL!$C$9, $D$9, 100%, $F$9) + CHOOSE(CONTROL!$C$27, 0.0021, 0)</f>
        <v>61.160499999999999</v>
      </c>
      <c r="H539" s="17">
        <f>61.0237 * CHOOSE(CONTROL!$C$9, $D$9, 100%, $F$9) + CHOOSE(CONTROL!$C$27, 0.0021, 0)</f>
        <v>61.025799999999997</v>
      </c>
      <c r="I539" s="17">
        <f>61.0237 * CHOOSE(CONTROL!$C$9, $D$9, 100%, $F$9) + CHOOSE(CONTROL!$C$27, 0.0021, 0)</f>
        <v>61.025799999999997</v>
      </c>
      <c r="J539" s="17">
        <f>61.0237 * CHOOSE(CONTROL!$C$9, $D$9, 100%, $F$9) + CHOOSE(CONTROL!$C$27, 0.0021, 0)</f>
        <v>61.025799999999997</v>
      </c>
      <c r="K539" s="17">
        <f>61.0237 * CHOOSE(CONTROL!$C$9, $D$9, 100%, $F$9) + CHOOSE(CONTROL!$C$27, 0.0021, 0)</f>
        <v>61.025799999999997</v>
      </c>
      <c r="L539" s="17"/>
    </row>
    <row r="540" spans="1:12" ht="15.75" x14ac:dyDescent="0.25">
      <c r="A540" s="13">
        <v>57376</v>
      </c>
      <c r="B540" s="17">
        <f>60.708 * CHOOSE(CONTROL!$C$9, $D$9, 100%, $F$9) + CHOOSE(CONTROL!$C$27, 0.0021, 0)</f>
        <v>60.710099999999997</v>
      </c>
      <c r="C540" s="17">
        <f>60.2758 * CHOOSE(CONTROL!$C$9, $D$9, 100%, $F$9) + CHOOSE(CONTROL!$C$27, 0.0021, 0)</f>
        <v>60.277899999999995</v>
      </c>
      <c r="D540" s="17">
        <f>60.2758 * CHOOSE(CONTROL!$C$9, $D$9, 100%, $F$9) + CHOOSE(CONTROL!$C$27, 0.0021, 0)</f>
        <v>60.277899999999995</v>
      </c>
      <c r="E540" s="17">
        <f>60.1391 * CHOOSE(CONTROL!$C$9, $D$9, 100%, $F$9) + CHOOSE(CONTROL!$C$27, 0.0021, 0)</f>
        <v>60.141199999999998</v>
      </c>
      <c r="F540" s="17">
        <f>60.1391 * CHOOSE(CONTROL!$C$9, $D$9, 100%, $F$9) + CHOOSE(CONTROL!$C$27, 0.0021, 0)</f>
        <v>60.141199999999998</v>
      </c>
      <c r="G540" s="17">
        <f>60.4105 * CHOOSE(CONTROL!$C$9, $D$9, 100%, $F$9) + CHOOSE(CONTROL!$C$27, 0.0021, 0)</f>
        <v>60.412599999999998</v>
      </c>
      <c r="H540" s="17">
        <f>60.2758 * CHOOSE(CONTROL!$C$9, $D$9, 100%, $F$9) + CHOOSE(CONTROL!$C$27, 0.0021, 0)</f>
        <v>60.277899999999995</v>
      </c>
      <c r="I540" s="17">
        <f>60.2758 * CHOOSE(CONTROL!$C$9, $D$9, 100%, $F$9) + CHOOSE(CONTROL!$C$27, 0.0021, 0)</f>
        <v>60.277899999999995</v>
      </c>
      <c r="J540" s="17">
        <f>60.2758 * CHOOSE(CONTROL!$C$9, $D$9, 100%, $F$9) + CHOOSE(CONTROL!$C$27, 0.0021, 0)</f>
        <v>60.277899999999995</v>
      </c>
      <c r="K540" s="17">
        <f>60.2758 * CHOOSE(CONTROL!$C$9, $D$9, 100%, $F$9) + CHOOSE(CONTROL!$C$27, 0.0021, 0)</f>
        <v>60.277899999999995</v>
      </c>
      <c r="L540" s="17"/>
    </row>
    <row r="541" spans="1:12" ht="15.75" x14ac:dyDescent="0.25">
      <c r="A541" s="13">
        <v>57404</v>
      </c>
      <c r="B541" s="17">
        <f>59.0557 * CHOOSE(CONTROL!$C$9, $D$9, 100%, $F$9) + CHOOSE(CONTROL!$C$27, 0.0021, 0)</f>
        <v>59.0578</v>
      </c>
      <c r="C541" s="17">
        <f>58.6235 * CHOOSE(CONTROL!$C$9, $D$9, 100%, $F$9) + CHOOSE(CONTROL!$C$27, 0.0021, 0)</f>
        <v>58.625599999999999</v>
      </c>
      <c r="D541" s="17">
        <f>58.6235 * CHOOSE(CONTROL!$C$9, $D$9, 100%, $F$9) + CHOOSE(CONTROL!$C$27, 0.0021, 0)</f>
        <v>58.625599999999999</v>
      </c>
      <c r="E541" s="17">
        <f>58.4868 * CHOOSE(CONTROL!$C$9, $D$9, 100%, $F$9) + CHOOSE(CONTROL!$C$27, 0.0021, 0)</f>
        <v>58.488900000000001</v>
      </c>
      <c r="F541" s="17">
        <f>58.4868 * CHOOSE(CONTROL!$C$9, $D$9, 100%, $F$9) + CHOOSE(CONTROL!$C$27, 0.0021, 0)</f>
        <v>58.488900000000001</v>
      </c>
      <c r="G541" s="17">
        <f>58.7582 * CHOOSE(CONTROL!$C$9, $D$9, 100%, $F$9) + CHOOSE(CONTROL!$C$27, 0.0021, 0)</f>
        <v>58.760300000000001</v>
      </c>
      <c r="H541" s="17">
        <f>58.6235 * CHOOSE(CONTROL!$C$9, $D$9, 100%, $F$9) + CHOOSE(CONTROL!$C$27, 0.0021, 0)</f>
        <v>58.625599999999999</v>
      </c>
      <c r="I541" s="17">
        <f>58.6235 * CHOOSE(CONTROL!$C$9, $D$9, 100%, $F$9) + CHOOSE(CONTROL!$C$27, 0.0021, 0)</f>
        <v>58.625599999999999</v>
      </c>
      <c r="J541" s="17">
        <f>58.6235 * CHOOSE(CONTROL!$C$9, $D$9, 100%, $F$9) + CHOOSE(CONTROL!$C$27, 0.0021, 0)</f>
        <v>58.625599999999999</v>
      </c>
      <c r="K541" s="17">
        <f>58.6235 * CHOOSE(CONTROL!$C$9, $D$9, 100%, $F$9) + CHOOSE(CONTROL!$C$27, 0.0021, 0)</f>
        <v>58.625599999999999</v>
      </c>
      <c r="L541" s="17"/>
    </row>
    <row r="542" spans="1:12" ht="15.75" x14ac:dyDescent="0.25">
      <c r="A542" s="13">
        <v>57435</v>
      </c>
      <c r="B542" s="17">
        <f>58.3737 * CHOOSE(CONTROL!$C$9, $D$9, 100%, $F$9) + CHOOSE(CONTROL!$C$27, 0.0021, 0)</f>
        <v>58.375799999999998</v>
      </c>
      <c r="C542" s="17">
        <f>57.9414 * CHOOSE(CONTROL!$C$9, $D$9, 100%, $F$9) + CHOOSE(CONTROL!$C$27, 0.0021, 0)</f>
        <v>57.9435</v>
      </c>
      <c r="D542" s="17">
        <f>57.9414 * CHOOSE(CONTROL!$C$9, $D$9, 100%, $F$9) + CHOOSE(CONTROL!$C$27, 0.0021, 0)</f>
        <v>57.9435</v>
      </c>
      <c r="E542" s="17">
        <f>57.8048 * CHOOSE(CONTROL!$C$9, $D$9, 100%, $F$9) + CHOOSE(CONTROL!$C$27, 0.0021, 0)</f>
        <v>57.806899999999999</v>
      </c>
      <c r="F542" s="17">
        <f>57.8048 * CHOOSE(CONTROL!$C$9, $D$9, 100%, $F$9) + CHOOSE(CONTROL!$C$27, 0.0021, 0)</f>
        <v>57.806899999999999</v>
      </c>
      <c r="G542" s="17">
        <f>58.0761 * CHOOSE(CONTROL!$C$9, $D$9, 100%, $F$9) + CHOOSE(CONTROL!$C$27, 0.0021, 0)</f>
        <v>58.078199999999995</v>
      </c>
      <c r="H542" s="17">
        <f>57.9414 * CHOOSE(CONTROL!$C$9, $D$9, 100%, $F$9) + CHOOSE(CONTROL!$C$27, 0.0021, 0)</f>
        <v>57.9435</v>
      </c>
      <c r="I542" s="17">
        <f>57.9414 * CHOOSE(CONTROL!$C$9, $D$9, 100%, $F$9) + CHOOSE(CONTROL!$C$27, 0.0021, 0)</f>
        <v>57.9435</v>
      </c>
      <c r="J542" s="17">
        <f>57.9414 * CHOOSE(CONTROL!$C$9, $D$9, 100%, $F$9) + CHOOSE(CONTROL!$C$27, 0.0021, 0)</f>
        <v>57.9435</v>
      </c>
      <c r="K542" s="17">
        <f>57.9414 * CHOOSE(CONTROL!$C$9, $D$9, 100%, $F$9) + CHOOSE(CONTROL!$C$27, 0.0021, 0)</f>
        <v>57.9435</v>
      </c>
      <c r="L542" s="17"/>
    </row>
    <row r="543" spans="1:12" ht="15.75" x14ac:dyDescent="0.25">
      <c r="A543" s="13">
        <v>57465</v>
      </c>
      <c r="B543" s="17">
        <f>57.5592 * CHOOSE(CONTROL!$C$9, $D$9, 100%, $F$9) + CHOOSE(CONTROL!$C$27, 0.0021, 0)</f>
        <v>57.561299999999996</v>
      </c>
      <c r="C543" s="17">
        <f>57.127 * CHOOSE(CONTROL!$C$9, $D$9, 100%, $F$9) + CHOOSE(CONTROL!$C$27, 0.0021, 0)</f>
        <v>57.129100000000001</v>
      </c>
      <c r="D543" s="17">
        <f>57.127 * CHOOSE(CONTROL!$C$9, $D$9, 100%, $F$9) + CHOOSE(CONTROL!$C$27, 0.0021, 0)</f>
        <v>57.129100000000001</v>
      </c>
      <c r="E543" s="17">
        <f>56.9903 * CHOOSE(CONTROL!$C$9, $D$9, 100%, $F$9) + CHOOSE(CONTROL!$C$27, 0.0021, 0)</f>
        <v>56.992399999999996</v>
      </c>
      <c r="F543" s="17">
        <f>56.9903 * CHOOSE(CONTROL!$C$9, $D$9, 100%, $F$9) + CHOOSE(CONTROL!$C$27, 0.0021, 0)</f>
        <v>56.992399999999996</v>
      </c>
      <c r="G543" s="17">
        <f>57.2617 * CHOOSE(CONTROL!$C$9, $D$9, 100%, $F$9) + CHOOSE(CONTROL!$C$27, 0.0021, 0)</f>
        <v>57.263799999999996</v>
      </c>
      <c r="H543" s="17">
        <f>57.127 * CHOOSE(CONTROL!$C$9, $D$9, 100%, $F$9) + CHOOSE(CONTROL!$C$27, 0.0021, 0)</f>
        <v>57.129100000000001</v>
      </c>
      <c r="I543" s="17">
        <f>57.127 * CHOOSE(CONTROL!$C$9, $D$9, 100%, $F$9) + CHOOSE(CONTROL!$C$27, 0.0021, 0)</f>
        <v>57.129100000000001</v>
      </c>
      <c r="J543" s="17">
        <f>57.127 * CHOOSE(CONTROL!$C$9, $D$9, 100%, $F$9) + CHOOSE(CONTROL!$C$27, 0.0021, 0)</f>
        <v>57.129100000000001</v>
      </c>
      <c r="K543" s="17">
        <f>57.127 * CHOOSE(CONTROL!$C$9, $D$9, 100%, $F$9) + CHOOSE(CONTROL!$C$27, 0.0021, 0)</f>
        <v>57.129100000000001</v>
      </c>
      <c r="L543" s="17"/>
    </row>
    <row r="544" spans="1:12" ht="15.75" x14ac:dyDescent="0.25">
      <c r="A544" s="13">
        <v>57496</v>
      </c>
      <c r="B544" s="17">
        <f>58.7199 * CHOOSE(CONTROL!$C$9, $D$9, 100%, $F$9) + CHOOSE(CONTROL!$C$27, 0.0021, 0)</f>
        <v>58.722000000000001</v>
      </c>
      <c r="C544" s="17">
        <f>58.2876 * CHOOSE(CONTROL!$C$9, $D$9, 100%, $F$9) + CHOOSE(CONTROL!$C$27, 0.0021, 0)</f>
        <v>58.289699999999996</v>
      </c>
      <c r="D544" s="17">
        <f>58.2876 * CHOOSE(CONTROL!$C$9, $D$9, 100%, $F$9) + CHOOSE(CONTROL!$C$27, 0.0021, 0)</f>
        <v>58.289699999999996</v>
      </c>
      <c r="E544" s="17">
        <f>58.151 * CHOOSE(CONTROL!$C$9, $D$9, 100%, $F$9) + CHOOSE(CONTROL!$C$27, 0.0021, 0)</f>
        <v>58.153100000000002</v>
      </c>
      <c r="F544" s="17">
        <f>58.151 * CHOOSE(CONTROL!$C$9, $D$9, 100%, $F$9) + CHOOSE(CONTROL!$C$27, 0.0021, 0)</f>
        <v>58.153100000000002</v>
      </c>
      <c r="G544" s="17">
        <f>58.4223 * CHOOSE(CONTROL!$C$9, $D$9, 100%, $F$9) + CHOOSE(CONTROL!$C$27, 0.0021, 0)</f>
        <v>58.424399999999999</v>
      </c>
      <c r="H544" s="17">
        <f>58.2876 * CHOOSE(CONTROL!$C$9, $D$9, 100%, $F$9) + CHOOSE(CONTROL!$C$27, 0.0021, 0)</f>
        <v>58.289699999999996</v>
      </c>
      <c r="I544" s="17">
        <f>58.2876 * CHOOSE(CONTROL!$C$9, $D$9, 100%, $F$9) + CHOOSE(CONTROL!$C$27, 0.0021, 0)</f>
        <v>58.289699999999996</v>
      </c>
      <c r="J544" s="17">
        <f>58.2876 * CHOOSE(CONTROL!$C$9, $D$9, 100%, $F$9) + CHOOSE(CONTROL!$C$27, 0.0021, 0)</f>
        <v>58.289699999999996</v>
      </c>
      <c r="K544" s="17">
        <f>58.2876 * CHOOSE(CONTROL!$C$9, $D$9, 100%, $F$9) + CHOOSE(CONTROL!$C$27, 0.0021, 0)</f>
        <v>58.289699999999996</v>
      </c>
      <c r="L544" s="17"/>
    </row>
    <row r="545" spans="1:12" ht="15.75" x14ac:dyDescent="0.25">
      <c r="A545" s="13">
        <v>57526</v>
      </c>
      <c r="B545" s="17">
        <f>59.415 * CHOOSE(CONTROL!$C$9, $D$9, 100%, $F$9) + CHOOSE(CONTROL!$C$27, 0.0021, 0)</f>
        <v>59.417099999999998</v>
      </c>
      <c r="C545" s="17">
        <f>58.9828 * CHOOSE(CONTROL!$C$9, $D$9, 100%, $F$9) + CHOOSE(CONTROL!$C$27, 0.0021, 0)</f>
        <v>58.984899999999996</v>
      </c>
      <c r="D545" s="17">
        <f>58.9828 * CHOOSE(CONTROL!$C$9, $D$9, 100%, $F$9) + CHOOSE(CONTROL!$C$27, 0.0021, 0)</f>
        <v>58.984899999999996</v>
      </c>
      <c r="E545" s="17">
        <f>58.8461 * CHOOSE(CONTROL!$C$9, $D$9, 100%, $F$9) + CHOOSE(CONTROL!$C$27, 0.0021, 0)</f>
        <v>58.848199999999999</v>
      </c>
      <c r="F545" s="17">
        <f>58.8461 * CHOOSE(CONTROL!$C$9, $D$9, 100%, $F$9) + CHOOSE(CONTROL!$C$27, 0.0021, 0)</f>
        <v>58.848199999999999</v>
      </c>
      <c r="G545" s="17">
        <f>59.1175 * CHOOSE(CONTROL!$C$9, $D$9, 100%, $F$9) + CHOOSE(CONTROL!$C$27, 0.0021, 0)</f>
        <v>59.119599999999998</v>
      </c>
      <c r="H545" s="17">
        <f>58.9828 * CHOOSE(CONTROL!$C$9, $D$9, 100%, $F$9) + CHOOSE(CONTROL!$C$27, 0.0021, 0)</f>
        <v>58.984899999999996</v>
      </c>
      <c r="I545" s="17">
        <f>58.9828 * CHOOSE(CONTROL!$C$9, $D$9, 100%, $F$9) + CHOOSE(CONTROL!$C$27, 0.0021, 0)</f>
        <v>58.984899999999996</v>
      </c>
      <c r="J545" s="17">
        <f>58.9828 * CHOOSE(CONTROL!$C$9, $D$9, 100%, $F$9) + CHOOSE(CONTROL!$C$27, 0.0021, 0)</f>
        <v>58.984899999999996</v>
      </c>
      <c r="K545" s="17">
        <f>58.9828 * CHOOSE(CONTROL!$C$9, $D$9, 100%, $F$9) + CHOOSE(CONTROL!$C$27, 0.0021, 0)</f>
        <v>58.984899999999996</v>
      </c>
      <c r="L545" s="17"/>
    </row>
    <row r="546" spans="1:12" ht="15.75" x14ac:dyDescent="0.25">
      <c r="A546" s="13">
        <v>57557</v>
      </c>
      <c r="B546" s="17">
        <f>60.5618 * CHOOSE(CONTROL!$C$9, $D$9, 100%, $F$9) + CHOOSE(CONTROL!$C$27, 0.0021, 0)</f>
        <v>60.563899999999997</v>
      </c>
      <c r="C546" s="17">
        <f>60.1296 * CHOOSE(CONTROL!$C$9, $D$9, 100%, $F$9) + CHOOSE(CONTROL!$C$27, 0.0021, 0)</f>
        <v>60.131700000000002</v>
      </c>
      <c r="D546" s="17">
        <f>60.1296 * CHOOSE(CONTROL!$C$9, $D$9, 100%, $F$9) + CHOOSE(CONTROL!$C$27, 0.0021, 0)</f>
        <v>60.131700000000002</v>
      </c>
      <c r="E546" s="17">
        <f>59.9929 * CHOOSE(CONTROL!$C$9, $D$9, 100%, $F$9) + CHOOSE(CONTROL!$C$27, 0.0021, 0)</f>
        <v>59.994999999999997</v>
      </c>
      <c r="F546" s="17">
        <f>59.9929 * CHOOSE(CONTROL!$C$9, $D$9, 100%, $F$9) + CHOOSE(CONTROL!$C$27, 0.0021, 0)</f>
        <v>59.994999999999997</v>
      </c>
      <c r="G546" s="17">
        <f>60.2643 * CHOOSE(CONTROL!$C$9, $D$9, 100%, $F$9) + CHOOSE(CONTROL!$C$27, 0.0021, 0)</f>
        <v>60.266399999999997</v>
      </c>
      <c r="H546" s="17">
        <f>60.1296 * CHOOSE(CONTROL!$C$9, $D$9, 100%, $F$9) + CHOOSE(CONTROL!$C$27, 0.0021, 0)</f>
        <v>60.131700000000002</v>
      </c>
      <c r="I546" s="17">
        <f>60.1296 * CHOOSE(CONTROL!$C$9, $D$9, 100%, $F$9) + CHOOSE(CONTROL!$C$27, 0.0021, 0)</f>
        <v>60.131700000000002</v>
      </c>
      <c r="J546" s="17">
        <f>60.1296 * CHOOSE(CONTROL!$C$9, $D$9, 100%, $F$9) + CHOOSE(CONTROL!$C$27, 0.0021, 0)</f>
        <v>60.131700000000002</v>
      </c>
      <c r="K546" s="17">
        <f>60.1296 * CHOOSE(CONTROL!$C$9, $D$9, 100%, $F$9) + CHOOSE(CONTROL!$C$27, 0.0021, 0)</f>
        <v>60.131700000000002</v>
      </c>
      <c r="L546" s="17"/>
    </row>
    <row r="547" spans="1:12" ht="15.75" x14ac:dyDescent="0.25">
      <c r="A547" s="13">
        <v>57588</v>
      </c>
      <c r="B547" s="17">
        <f>60.9119 * CHOOSE(CONTROL!$C$9, $D$9, 100%, $F$9) + CHOOSE(CONTROL!$C$27, 0.0021, 0)</f>
        <v>60.914000000000001</v>
      </c>
      <c r="C547" s="17">
        <f>60.4796 * CHOOSE(CONTROL!$C$9, $D$9, 100%, $F$9) + CHOOSE(CONTROL!$C$27, 0.0021, 0)</f>
        <v>60.481699999999996</v>
      </c>
      <c r="D547" s="17">
        <f>60.4796 * CHOOSE(CONTROL!$C$9, $D$9, 100%, $F$9) + CHOOSE(CONTROL!$C$27, 0.0021, 0)</f>
        <v>60.481699999999996</v>
      </c>
      <c r="E547" s="17">
        <f>60.343 * CHOOSE(CONTROL!$C$9, $D$9, 100%, $F$9) + CHOOSE(CONTROL!$C$27, 0.0021, 0)</f>
        <v>60.345100000000002</v>
      </c>
      <c r="F547" s="17">
        <f>60.343 * CHOOSE(CONTROL!$C$9, $D$9, 100%, $F$9) + CHOOSE(CONTROL!$C$27, 0.0021, 0)</f>
        <v>60.345100000000002</v>
      </c>
      <c r="G547" s="17">
        <f>60.6143 * CHOOSE(CONTROL!$C$9, $D$9, 100%, $F$9) + CHOOSE(CONTROL!$C$27, 0.0021, 0)</f>
        <v>60.616399999999999</v>
      </c>
      <c r="H547" s="17">
        <f>60.4796 * CHOOSE(CONTROL!$C$9, $D$9, 100%, $F$9) + CHOOSE(CONTROL!$C$27, 0.0021, 0)</f>
        <v>60.481699999999996</v>
      </c>
      <c r="I547" s="17">
        <f>60.4796 * CHOOSE(CONTROL!$C$9, $D$9, 100%, $F$9) + CHOOSE(CONTROL!$C$27, 0.0021, 0)</f>
        <v>60.481699999999996</v>
      </c>
      <c r="J547" s="17">
        <f>60.4796 * CHOOSE(CONTROL!$C$9, $D$9, 100%, $F$9) + CHOOSE(CONTROL!$C$27, 0.0021, 0)</f>
        <v>60.481699999999996</v>
      </c>
      <c r="K547" s="17">
        <f>60.4796 * CHOOSE(CONTROL!$C$9, $D$9, 100%, $F$9) + CHOOSE(CONTROL!$C$27, 0.0021, 0)</f>
        <v>60.481699999999996</v>
      </c>
      <c r="L547" s="17"/>
    </row>
    <row r="548" spans="1:12" ht="15.75" x14ac:dyDescent="0.25">
      <c r="A548" s="13">
        <v>57618</v>
      </c>
      <c r="B548" s="17">
        <f>62.1039 * CHOOSE(CONTROL!$C$9, $D$9, 100%, $F$9) + CHOOSE(CONTROL!$C$27, 0.0021, 0)</f>
        <v>62.106000000000002</v>
      </c>
      <c r="C548" s="17">
        <f>61.6716 * CHOOSE(CONTROL!$C$9, $D$9, 100%, $F$9) + CHOOSE(CONTROL!$C$27, 0.0021, 0)</f>
        <v>61.673699999999997</v>
      </c>
      <c r="D548" s="17">
        <f>61.6716 * CHOOSE(CONTROL!$C$9, $D$9, 100%, $F$9) + CHOOSE(CONTROL!$C$27, 0.0021, 0)</f>
        <v>61.673699999999997</v>
      </c>
      <c r="E548" s="17">
        <f>61.535 * CHOOSE(CONTROL!$C$9, $D$9, 100%, $F$9) + CHOOSE(CONTROL!$C$27, 0.0021, 0)</f>
        <v>61.537099999999995</v>
      </c>
      <c r="F548" s="17">
        <f>61.535 * CHOOSE(CONTROL!$C$9, $D$9, 100%, $F$9) + CHOOSE(CONTROL!$C$27, 0.0021, 0)</f>
        <v>61.537099999999995</v>
      </c>
      <c r="G548" s="17">
        <f>61.8064 * CHOOSE(CONTROL!$C$9, $D$9, 100%, $F$9) + CHOOSE(CONTROL!$C$27, 0.0021, 0)</f>
        <v>61.808499999999995</v>
      </c>
      <c r="H548" s="17">
        <f>61.6716 * CHOOSE(CONTROL!$C$9, $D$9, 100%, $F$9) + CHOOSE(CONTROL!$C$27, 0.0021, 0)</f>
        <v>61.673699999999997</v>
      </c>
      <c r="I548" s="17">
        <f>61.6716 * CHOOSE(CONTROL!$C$9, $D$9, 100%, $F$9) + CHOOSE(CONTROL!$C$27, 0.0021, 0)</f>
        <v>61.673699999999997</v>
      </c>
      <c r="J548" s="17">
        <f>61.6716 * CHOOSE(CONTROL!$C$9, $D$9, 100%, $F$9) + CHOOSE(CONTROL!$C$27, 0.0021, 0)</f>
        <v>61.673699999999997</v>
      </c>
      <c r="K548" s="17">
        <f>61.6716 * CHOOSE(CONTROL!$C$9, $D$9, 100%, $F$9) + CHOOSE(CONTROL!$C$27, 0.0021, 0)</f>
        <v>61.673699999999997</v>
      </c>
      <c r="L548" s="17"/>
    </row>
    <row r="549" spans="1:12" ht="15.75" x14ac:dyDescent="0.25">
      <c r="A549" s="13">
        <v>57649</v>
      </c>
      <c r="B549" s="17">
        <f>63.6128 * CHOOSE(CONTROL!$C$9, $D$9, 100%, $F$9) + CHOOSE(CONTROL!$C$27, 0.0021, 0)</f>
        <v>63.614899999999999</v>
      </c>
      <c r="C549" s="17">
        <f>63.1805 * CHOOSE(CONTROL!$C$9, $D$9, 100%, $F$9) + CHOOSE(CONTROL!$C$27, 0.0021, 0)</f>
        <v>63.182600000000001</v>
      </c>
      <c r="D549" s="17">
        <f>63.1805 * CHOOSE(CONTROL!$C$9, $D$9, 100%, $F$9) + CHOOSE(CONTROL!$C$27, 0.0021, 0)</f>
        <v>63.182600000000001</v>
      </c>
      <c r="E549" s="17">
        <f>63.0439 * CHOOSE(CONTROL!$C$9, $D$9, 100%, $F$9) + CHOOSE(CONTROL!$C$27, 0.0021, 0)</f>
        <v>63.045999999999999</v>
      </c>
      <c r="F549" s="17">
        <f>63.0439 * CHOOSE(CONTROL!$C$9, $D$9, 100%, $F$9) + CHOOSE(CONTROL!$C$27, 0.0021, 0)</f>
        <v>63.045999999999999</v>
      </c>
      <c r="G549" s="17">
        <f>63.3153 * CHOOSE(CONTROL!$C$9, $D$9, 100%, $F$9) + CHOOSE(CONTROL!$C$27, 0.0021, 0)</f>
        <v>63.317399999999999</v>
      </c>
      <c r="H549" s="17">
        <f>63.1805 * CHOOSE(CONTROL!$C$9, $D$9, 100%, $F$9) + CHOOSE(CONTROL!$C$27, 0.0021, 0)</f>
        <v>63.182600000000001</v>
      </c>
      <c r="I549" s="17">
        <f>63.1805 * CHOOSE(CONTROL!$C$9, $D$9, 100%, $F$9) + CHOOSE(CONTROL!$C$27, 0.0021, 0)</f>
        <v>63.182600000000001</v>
      </c>
      <c r="J549" s="17">
        <f>63.1805 * CHOOSE(CONTROL!$C$9, $D$9, 100%, $F$9) + CHOOSE(CONTROL!$C$27, 0.0021, 0)</f>
        <v>63.182600000000001</v>
      </c>
      <c r="K549" s="17">
        <f>63.1805 * CHOOSE(CONTROL!$C$9, $D$9, 100%, $F$9) + CHOOSE(CONTROL!$C$27, 0.0021, 0)</f>
        <v>63.182600000000001</v>
      </c>
      <c r="L549" s="17"/>
    </row>
    <row r="550" spans="1:12" ht="15.75" x14ac:dyDescent="0.25">
      <c r="A550" s="13">
        <v>57679</v>
      </c>
      <c r="B550" s="17">
        <f>63.7544 * CHOOSE(CONTROL!$C$9, $D$9, 100%, $F$9) + CHOOSE(CONTROL!$C$27, 0.0021, 0)</f>
        <v>63.756499999999996</v>
      </c>
      <c r="C550" s="17">
        <f>63.3222 * CHOOSE(CONTROL!$C$9, $D$9, 100%, $F$9) + CHOOSE(CONTROL!$C$27, 0.0021, 0)</f>
        <v>63.324300000000001</v>
      </c>
      <c r="D550" s="17">
        <f>63.3222 * CHOOSE(CONTROL!$C$9, $D$9, 100%, $F$9) + CHOOSE(CONTROL!$C$27, 0.0021, 0)</f>
        <v>63.324300000000001</v>
      </c>
      <c r="E550" s="17">
        <f>63.1855 * CHOOSE(CONTROL!$C$9, $D$9, 100%, $F$9) + CHOOSE(CONTROL!$C$27, 0.0021, 0)</f>
        <v>63.187599999999996</v>
      </c>
      <c r="F550" s="17">
        <f>63.1855 * CHOOSE(CONTROL!$C$9, $D$9, 100%, $F$9) + CHOOSE(CONTROL!$C$27, 0.0021, 0)</f>
        <v>63.187599999999996</v>
      </c>
      <c r="G550" s="17">
        <f>63.4569 * CHOOSE(CONTROL!$C$9, $D$9, 100%, $F$9) + CHOOSE(CONTROL!$C$27, 0.0021, 0)</f>
        <v>63.458999999999996</v>
      </c>
      <c r="H550" s="17">
        <f>63.3222 * CHOOSE(CONTROL!$C$9, $D$9, 100%, $F$9) + CHOOSE(CONTROL!$C$27, 0.0021, 0)</f>
        <v>63.324300000000001</v>
      </c>
      <c r="I550" s="17">
        <f>63.3222 * CHOOSE(CONTROL!$C$9, $D$9, 100%, $F$9) + CHOOSE(CONTROL!$C$27, 0.0021, 0)</f>
        <v>63.324300000000001</v>
      </c>
      <c r="J550" s="17">
        <f>63.3222 * CHOOSE(CONTROL!$C$9, $D$9, 100%, $F$9) + CHOOSE(CONTROL!$C$27, 0.0021, 0)</f>
        <v>63.324300000000001</v>
      </c>
      <c r="K550" s="17">
        <f>63.3222 * CHOOSE(CONTROL!$C$9, $D$9, 100%, $F$9) + CHOOSE(CONTROL!$C$27, 0.0021, 0)</f>
        <v>63.324300000000001</v>
      </c>
      <c r="L550" s="17"/>
    </row>
    <row r="551" spans="1:12" ht="15.75" x14ac:dyDescent="0.25">
      <c r="A551" s="13">
        <v>57710</v>
      </c>
      <c r="B551" s="17">
        <f>62.5493 * CHOOSE(CONTROL!$C$9, $D$9, 100%, $F$9) + CHOOSE(CONTROL!$C$27, 0.0021, 0)</f>
        <v>62.551400000000001</v>
      </c>
      <c r="C551" s="17">
        <f>62.1171 * CHOOSE(CONTROL!$C$9, $D$9, 100%, $F$9) + CHOOSE(CONTROL!$C$27, 0.0021, 0)</f>
        <v>62.119199999999999</v>
      </c>
      <c r="D551" s="17">
        <f>62.1171 * CHOOSE(CONTROL!$C$9, $D$9, 100%, $F$9) + CHOOSE(CONTROL!$C$27, 0.0021, 0)</f>
        <v>62.119199999999999</v>
      </c>
      <c r="E551" s="17">
        <f>61.9804 * CHOOSE(CONTROL!$C$9, $D$9, 100%, $F$9) + CHOOSE(CONTROL!$C$27, 0.0021, 0)</f>
        <v>61.982500000000002</v>
      </c>
      <c r="F551" s="17">
        <f>61.9804 * CHOOSE(CONTROL!$C$9, $D$9, 100%, $F$9) + CHOOSE(CONTROL!$C$27, 0.0021, 0)</f>
        <v>61.982500000000002</v>
      </c>
      <c r="G551" s="17">
        <f>62.2518 * CHOOSE(CONTROL!$C$9, $D$9, 100%, $F$9) + CHOOSE(CONTROL!$C$27, 0.0021, 0)</f>
        <v>62.253900000000002</v>
      </c>
      <c r="H551" s="17">
        <f>62.1171 * CHOOSE(CONTROL!$C$9, $D$9, 100%, $F$9) + CHOOSE(CONTROL!$C$27, 0.0021, 0)</f>
        <v>62.119199999999999</v>
      </c>
      <c r="I551" s="17">
        <f>62.1171 * CHOOSE(CONTROL!$C$9, $D$9, 100%, $F$9) + CHOOSE(CONTROL!$C$27, 0.0021, 0)</f>
        <v>62.119199999999999</v>
      </c>
      <c r="J551" s="17">
        <f>62.1171 * CHOOSE(CONTROL!$C$9, $D$9, 100%, $F$9) + CHOOSE(CONTROL!$C$27, 0.0021, 0)</f>
        <v>62.119199999999999</v>
      </c>
      <c r="K551" s="17">
        <f>62.1171 * CHOOSE(CONTROL!$C$9, $D$9, 100%, $F$9) + CHOOSE(CONTROL!$C$27, 0.0021, 0)</f>
        <v>62.119199999999999</v>
      </c>
      <c r="L551" s="17"/>
    </row>
    <row r="552" spans="1:12" ht="15.75" x14ac:dyDescent="0.25">
      <c r="A552" s="13">
        <v>57741</v>
      </c>
      <c r="B552" s="17">
        <f>61.7876 * CHOOSE(CONTROL!$C$9, $D$9, 100%, $F$9) + CHOOSE(CONTROL!$C$27, 0.0021, 0)</f>
        <v>61.789699999999996</v>
      </c>
      <c r="C552" s="17">
        <f>61.3554 * CHOOSE(CONTROL!$C$9, $D$9, 100%, $F$9) + CHOOSE(CONTROL!$C$27, 0.0021, 0)</f>
        <v>61.357500000000002</v>
      </c>
      <c r="D552" s="17">
        <f>61.3554 * CHOOSE(CONTROL!$C$9, $D$9, 100%, $F$9) + CHOOSE(CONTROL!$C$27, 0.0021, 0)</f>
        <v>61.357500000000002</v>
      </c>
      <c r="E552" s="17">
        <f>61.2187 * CHOOSE(CONTROL!$C$9, $D$9, 100%, $F$9) + CHOOSE(CONTROL!$C$27, 0.0021, 0)</f>
        <v>61.220799999999997</v>
      </c>
      <c r="F552" s="17">
        <f>61.2187 * CHOOSE(CONTROL!$C$9, $D$9, 100%, $F$9) + CHOOSE(CONTROL!$C$27, 0.0021, 0)</f>
        <v>61.220799999999997</v>
      </c>
      <c r="G552" s="17">
        <f>61.4901 * CHOOSE(CONTROL!$C$9, $D$9, 100%, $F$9) + CHOOSE(CONTROL!$C$27, 0.0021, 0)</f>
        <v>61.492199999999997</v>
      </c>
      <c r="H552" s="17">
        <f>61.3554 * CHOOSE(CONTROL!$C$9, $D$9, 100%, $F$9) + CHOOSE(CONTROL!$C$27, 0.0021, 0)</f>
        <v>61.357500000000002</v>
      </c>
      <c r="I552" s="17">
        <f>61.3554 * CHOOSE(CONTROL!$C$9, $D$9, 100%, $F$9) + CHOOSE(CONTROL!$C$27, 0.0021, 0)</f>
        <v>61.357500000000002</v>
      </c>
      <c r="J552" s="17">
        <f>61.3554 * CHOOSE(CONTROL!$C$9, $D$9, 100%, $F$9) + CHOOSE(CONTROL!$C$27, 0.0021, 0)</f>
        <v>61.357500000000002</v>
      </c>
      <c r="K552" s="17">
        <f>61.3554 * CHOOSE(CONTROL!$C$9, $D$9, 100%, $F$9) + CHOOSE(CONTROL!$C$27, 0.0021, 0)</f>
        <v>61.357500000000002</v>
      </c>
      <c r="L552" s="17"/>
    </row>
    <row r="553" spans="1:12" ht="15.75" x14ac:dyDescent="0.25">
      <c r="A553" s="13">
        <v>57769</v>
      </c>
      <c r="B553" s="17">
        <f>60.1048 * CHOOSE(CONTROL!$C$9, $D$9, 100%, $F$9) + CHOOSE(CONTROL!$C$27, 0.0021, 0)</f>
        <v>60.106899999999996</v>
      </c>
      <c r="C553" s="17">
        <f>59.6725 * CHOOSE(CONTROL!$C$9, $D$9, 100%, $F$9) + CHOOSE(CONTROL!$C$27, 0.0021, 0)</f>
        <v>59.674599999999998</v>
      </c>
      <c r="D553" s="17">
        <f>59.6725 * CHOOSE(CONTROL!$C$9, $D$9, 100%, $F$9) + CHOOSE(CONTROL!$C$27, 0.0021, 0)</f>
        <v>59.674599999999998</v>
      </c>
      <c r="E553" s="17">
        <f>59.5359 * CHOOSE(CONTROL!$C$9, $D$9, 100%, $F$9) + CHOOSE(CONTROL!$C$27, 0.0021, 0)</f>
        <v>59.537999999999997</v>
      </c>
      <c r="F553" s="17">
        <f>59.5359 * CHOOSE(CONTROL!$C$9, $D$9, 100%, $F$9) + CHOOSE(CONTROL!$C$27, 0.0021, 0)</f>
        <v>59.537999999999997</v>
      </c>
      <c r="G553" s="17">
        <f>59.8072 * CHOOSE(CONTROL!$C$9, $D$9, 100%, $F$9) + CHOOSE(CONTROL!$C$27, 0.0021, 0)</f>
        <v>59.8093</v>
      </c>
      <c r="H553" s="17">
        <f>59.6725 * CHOOSE(CONTROL!$C$9, $D$9, 100%, $F$9) + CHOOSE(CONTROL!$C$27, 0.0021, 0)</f>
        <v>59.674599999999998</v>
      </c>
      <c r="I553" s="17">
        <f>59.6725 * CHOOSE(CONTROL!$C$9, $D$9, 100%, $F$9) + CHOOSE(CONTROL!$C$27, 0.0021, 0)</f>
        <v>59.674599999999998</v>
      </c>
      <c r="J553" s="17">
        <f>59.6725 * CHOOSE(CONTROL!$C$9, $D$9, 100%, $F$9) + CHOOSE(CONTROL!$C$27, 0.0021, 0)</f>
        <v>59.674599999999998</v>
      </c>
      <c r="K553" s="17">
        <f>59.6725 * CHOOSE(CONTROL!$C$9, $D$9, 100%, $F$9) + CHOOSE(CONTROL!$C$27, 0.0021, 0)</f>
        <v>59.674599999999998</v>
      </c>
      <c r="L553" s="17"/>
    </row>
    <row r="554" spans="1:12" ht="15.75" x14ac:dyDescent="0.25">
      <c r="A554" s="13">
        <v>57800</v>
      </c>
      <c r="B554" s="17">
        <f>59.4101 * CHOOSE(CONTROL!$C$9, $D$9, 100%, $F$9) + CHOOSE(CONTROL!$C$27, 0.0021, 0)</f>
        <v>59.412199999999999</v>
      </c>
      <c r="C554" s="17">
        <f>58.9778 * CHOOSE(CONTROL!$C$9, $D$9, 100%, $F$9) + CHOOSE(CONTROL!$C$27, 0.0021, 0)</f>
        <v>58.979900000000001</v>
      </c>
      <c r="D554" s="17">
        <f>58.9778 * CHOOSE(CONTROL!$C$9, $D$9, 100%, $F$9) + CHOOSE(CONTROL!$C$27, 0.0021, 0)</f>
        <v>58.979900000000001</v>
      </c>
      <c r="E554" s="17">
        <f>58.8412 * CHOOSE(CONTROL!$C$9, $D$9, 100%, $F$9) + CHOOSE(CONTROL!$C$27, 0.0021, 0)</f>
        <v>58.843299999999999</v>
      </c>
      <c r="F554" s="17">
        <f>58.8412 * CHOOSE(CONTROL!$C$9, $D$9, 100%, $F$9) + CHOOSE(CONTROL!$C$27, 0.0021, 0)</f>
        <v>58.843299999999999</v>
      </c>
      <c r="G554" s="17">
        <f>59.1126 * CHOOSE(CONTROL!$C$9, $D$9, 100%, $F$9) + CHOOSE(CONTROL!$C$27, 0.0021, 0)</f>
        <v>59.114699999999999</v>
      </c>
      <c r="H554" s="17">
        <f>58.9778 * CHOOSE(CONTROL!$C$9, $D$9, 100%, $F$9) + CHOOSE(CONTROL!$C$27, 0.0021, 0)</f>
        <v>58.979900000000001</v>
      </c>
      <c r="I554" s="17">
        <f>58.9778 * CHOOSE(CONTROL!$C$9, $D$9, 100%, $F$9) + CHOOSE(CONTROL!$C$27, 0.0021, 0)</f>
        <v>58.979900000000001</v>
      </c>
      <c r="J554" s="17">
        <f>58.9778 * CHOOSE(CONTROL!$C$9, $D$9, 100%, $F$9) + CHOOSE(CONTROL!$C$27, 0.0021, 0)</f>
        <v>58.979900000000001</v>
      </c>
      <c r="K554" s="17">
        <f>58.9778 * CHOOSE(CONTROL!$C$9, $D$9, 100%, $F$9) + CHOOSE(CONTROL!$C$27, 0.0021, 0)</f>
        <v>58.979900000000001</v>
      </c>
      <c r="L554" s="17"/>
    </row>
    <row r="555" spans="1:12" ht="15.75" x14ac:dyDescent="0.25">
      <c r="A555" s="13">
        <v>57830</v>
      </c>
      <c r="B555" s="17">
        <f>58.5806 * CHOOSE(CONTROL!$C$9, $D$9, 100%, $F$9) + CHOOSE(CONTROL!$C$27, 0.0021, 0)</f>
        <v>58.582699999999996</v>
      </c>
      <c r="C555" s="17">
        <f>58.1484 * CHOOSE(CONTROL!$C$9, $D$9, 100%, $F$9) + CHOOSE(CONTROL!$C$27, 0.0021, 0)</f>
        <v>58.150500000000001</v>
      </c>
      <c r="D555" s="17">
        <f>58.1484 * CHOOSE(CONTROL!$C$9, $D$9, 100%, $F$9) + CHOOSE(CONTROL!$C$27, 0.0021, 0)</f>
        <v>58.150500000000001</v>
      </c>
      <c r="E555" s="17">
        <f>58.0117 * CHOOSE(CONTROL!$C$9, $D$9, 100%, $F$9) + CHOOSE(CONTROL!$C$27, 0.0021, 0)</f>
        <v>58.013799999999996</v>
      </c>
      <c r="F555" s="17">
        <f>58.0117 * CHOOSE(CONTROL!$C$9, $D$9, 100%, $F$9) + CHOOSE(CONTROL!$C$27, 0.0021, 0)</f>
        <v>58.013799999999996</v>
      </c>
      <c r="G555" s="17">
        <f>58.2831 * CHOOSE(CONTROL!$C$9, $D$9, 100%, $F$9) + CHOOSE(CONTROL!$C$27, 0.0021, 0)</f>
        <v>58.285199999999996</v>
      </c>
      <c r="H555" s="17">
        <f>58.1484 * CHOOSE(CONTROL!$C$9, $D$9, 100%, $F$9) + CHOOSE(CONTROL!$C$27, 0.0021, 0)</f>
        <v>58.150500000000001</v>
      </c>
      <c r="I555" s="17">
        <f>58.1484 * CHOOSE(CONTROL!$C$9, $D$9, 100%, $F$9) + CHOOSE(CONTROL!$C$27, 0.0021, 0)</f>
        <v>58.150500000000001</v>
      </c>
      <c r="J555" s="17">
        <f>58.1484 * CHOOSE(CONTROL!$C$9, $D$9, 100%, $F$9) + CHOOSE(CONTROL!$C$27, 0.0021, 0)</f>
        <v>58.150500000000001</v>
      </c>
      <c r="K555" s="17">
        <f>58.1484 * CHOOSE(CONTROL!$C$9, $D$9, 100%, $F$9) + CHOOSE(CONTROL!$C$27, 0.0021, 0)</f>
        <v>58.150500000000001</v>
      </c>
      <c r="L555" s="17"/>
    </row>
    <row r="556" spans="1:12" ht="15.75" x14ac:dyDescent="0.25">
      <c r="A556" s="13">
        <v>57861</v>
      </c>
      <c r="B556" s="17">
        <f>59.7627 * CHOOSE(CONTROL!$C$9, $D$9, 100%, $F$9) + CHOOSE(CONTROL!$C$27, 0.0021, 0)</f>
        <v>59.764800000000001</v>
      </c>
      <c r="C556" s="17">
        <f>59.3305 * CHOOSE(CONTROL!$C$9, $D$9, 100%, $F$9) + CHOOSE(CONTROL!$C$27, 0.0021, 0)</f>
        <v>59.332599999999999</v>
      </c>
      <c r="D556" s="17">
        <f>59.3305 * CHOOSE(CONTROL!$C$9, $D$9, 100%, $F$9) + CHOOSE(CONTROL!$C$27, 0.0021, 0)</f>
        <v>59.332599999999999</v>
      </c>
      <c r="E556" s="17">
        <f>59.1938 * CHOOSE(CONTROL!$C$9, $D$9, 100%, $F$9) + CHOOSE(CONTROL!$C$27, 0.0021, 0)</f>
        <v>59.195900000000002</v>
      </c>
      <c r="F556" s="17">
        <f>59.1938 * CHOOSE(CONTROL!$C$9, $D$9, 100%, $F$9) + CHOOSE(CONTROL!$C$27, 0.0021, 0)</f>
        <v>59.195900000000002</v>
      </c>
      <c r="G556" s="17">
        <f>59.4652 * CHOOSE(CONTROL!$C$9, $D$9, 100%, $F$9) + CHOOSE(CONTROL!$C$27, 0.0021, 0)</f>
        <v>59.467300000000002</v>
      </c>
      <c r="H556" s="17">
        <f>59.3305 * CHOOSE(CONTROL!$C$9, $D$9, 100%, $F$9) + CHOOSE(CONTROL!$C$27, 0.0021, 0)</f>
        <v>59.332599999999999</v>
      </c>
      <c r="I556" s="17">
        <f>59.3305 * CHOOSE(CONTROL!$C$9, $D$9, 100%, $F$9) + CHOOSE(CONTROL!$C$27, 0.0021, 0)</f>
        <v>59.332599999999999</v>
      </c>
      <c r="J556" s="17">
        <f>59.3305 * CHOOSE(CONTROL!$C$9, $D$9, 100%, $F$9) + CHOOSE(CONTROL!$C$27, 0.0021, 0)</f>
        <v>59.332599999999999</v>
      </c>
      <c r="K556" s="17">
        <f>59.3305 * CHOOSE(CONTROL!$C$9, $D$9, 100%, $F$9) + CHOOSE(CONTROL!$C$27, 0.0021, 0)</f>
        <v>59.332599999999999</v>
      </c>
      <c r="L556" s="17"/>
    </row>
    <row r="557" spans="1:12" ht="15.75" x14ac:dyDescent="0.25">
      <c r="A557" s="13">
        <v>57891</v>
      </c>
      <c r="B557" s="17">
        <f>60.4707 * CHOOSE(CONTROL!$C$9, $D$9, 100%, $F$9) + CHOOSE(CONTROL!$C$27, 0.0021, 0)</f>
        <v>60.472799999999999</v>
      </c>
      <c r="C557" s="17">
        <f>60.0385 * CHOOSE(CONTROL!$C$9, $D$9, 100%, $F$9) + CHOOSE(CONTROL!$C$27, 0.0021, 0)</f>
        <v>60.040599999999998</v>
      </c>
      <c r="D557" s="17">
        <f>60.0385 * CHOOSE(CONTROL!$C$9, $D$9, 100%, $F$9) + CHOOSE(CONTROL!$C$27, 0.0021, 0)</f>
        <v>60.040599999999998</v>
      </c>
      <c r="E557" s="17">
        <f>59.9018 * CHOOSE(CONTROL!$C$9, $D$9, 100%, $F$9) + CHOOSE(CONTROL!$C$27, 0.0021, 0)</f>
        <v>59.9039</v>
      </c>
      <c r="F557" s="17">
        <f>59.9018 * CHOOSE(CONTROL!$C$9, $D$9, 100%, $F$9) + CHOOSE(CONTROL!$C$27, 0.0021, 0)</f>
        <v>59.9039</v>
      </c>
      <c r="G557" s="17">
        <f>60.1732 * CHOOSE(CONTROL!$C$9, $D$9, 100%, $F$9) + CHOOSE(CONTROL!$C$27, 0.0021, 0)</f>
        <v>60.1753</v>
      </c>
      <c r="H557" s="17">
        <f>60.0385 * CHOOSE(CONTROL!$C$9, $D$9, 100%, $F$9) + CHOOSE(CONTROL!$C$27, 0.0021, 0)</f>
        <v>60.040599999999998</v>
      </c>
      <c r="I557" s="17">
        <f>60.0385 * CHOOSE(CONTROL!$C$9, $D$9, 100%, $F$9) + CHOOSE(CONTROL!$C$27, 0.0021, 0)</f>
        <v>60.040599999999998</v>
      </c>
      <c r="J557" s="17">
        <f>60.0385 * CHOOSE(CONTROL!$C$9, $D$9, 100%, $F$9) + CHOOSE(CONTROL!$C$27, 0.0021, 0)</f>
        <v>60.040599999999998</v>
      </c>
      <c r="K557" s="17">
        <f>60.0385 * CHOOSE(CONTROL!$C$9, $D$9, 100%, $F$9) + CHOOSE(CONTROL!$C$27, 0.0021, 0)</f>
        <v>60.040599999999998</v>
      </c>
      <c r="L557" s="17"/>
    </row>
    <row r="558" spans="1:12" ht="15.75" x14ac:dyDescent="0.25">
      <c r="A558" s="13">
        <v>57922</v>
      </c>
      <c r="B558" s="17">
        <f>61.6387 * CHOOSE(CONTROL!$C$9, $D$9, 100%, $F$9) + CHOOSE(CONTROL!$C$27, 0.0021, 0)</f>
        <v>61.640799999999999</v>
      </c>
      <c r="C558" s="17">
        <f>61.2064 * CHOOSE(CONTROL!$C$9, $D$9, 100%, $F$9) + CHOOSE(CONTROL!$C$27, 0.0021, 0)</f>
        <v>61.208500000000001</v>
      </c>
      <c r="D558" s="17">
        <f>61.2064 * CHOOSE(CONTROL!$C$9, $D$9, 100%, $F$9) + CHOOSE(CONTROL!$C$27, 0.0021, 0)</f>
        <v>61.208500000000001</v>
      </c>
      <c r="E558" s="17">
        <f>61.0698 * CHOOSE(CONTROL!$C$9, $D$9, 100%, $F$9) + CHOOSE(CONTROL!$C$27, 0.0021, 0)</f>
        <v>61.071899999999999</v>
      </c>
      <c r="F558" s="17">
        <f>61.0698 * CHOOSE(CONTROL!$C$9, $D$9, 100%, $F$9) + CHOOSE(CONTROL!$C$27, 0.0021, 0)</f>
        <v>61.071899999999999</v>
      </c>
      <c r="G558" s="17">
        <f>61.3412 * CHOOSE(CONTROL!$C$9, $D$9, 100%, $F$9) + CHOOSE(CONTROL!$C$27, 0.0021, 0)</f>
        <v>61.343299999999999</v>
      </c>
      <c r="H558" s="17">
        <f>61.2064 * CHOOSE(CONTROL!$C$9, $D$9, 100%, $F$9) + CHOOSE(CONTROL!$C$27, 0.0021, 0)</f>
        <v>61.208500000000001</v>
      </c>
      <c r="I558" s="17">
        <f>61.2064 * CHOOSE(CONTROL!$C$9, $D$9, 100%, $F$9) + CHOOSE(CONTROL!$C$27, 0.0021, 0)</f>
        <v>61.208500000000001</v>
      </c>
      <c r="J558" s="17">
        <f>61.2064 * CHOOSE(CONTROL!$C$9, $D$9, 100%, $F$9) + CHOOSE(CONTROL!$C$27, 0.0021, 0)</f>
        <v>61.208500000000001</v>
      </c>
      <c r="K558" s="17">
        <f>61.2064 * CHOOSE(CONTROL!$C$9, $D$9, 100%, $F$9) + CHOOSE(CONTROL!$C$27, 0.0021, 0)</f>
        <v>61.208500000000001</v>
      </c>
      <c r="L558" s="17"/>
    </row>
    <row r="559" spans="1:12" ht="15.75" x14ac:dyDescent="0.25">
      <c r="A559" s="13">
        <v>57953</v>
      </c>
      <c r="B559" s="17">
        <f>61.9952 * CHOOSE(CONTROL!$C$9, $D$9, 100%, $F$9) + CHOOSE(CONTROL!$C$27, 0.0021, 0)</f>
        <v>61.997299999999996</v>
      </c>
      <c r="C559" s="17">
        <f>61.5629 * CHOOSE(CONTROL!$C$9, $D$9, 100%, $F$9) + CHOOSE(CONTROL!$C$27, 0.0021, 0)</f>
        <v>61.564999999999998</v>
      </c>
      <c r="D559" s="17">
        <f>61.5629 * CHOOSE(CONTROL!$C$9, $D$9, 100%, $F$9) + CHOOSE(CONTROL!$C$27, 0.0021, 0)</f>
        <v>61.564999999999998</v>
      </c>
      <c r="E559" s="17">
        <f>61.4263 * CHOOSE(CONTROL!$C$9, $D$9, 100%, $F$9) + CHOOSE(CONTROL!$C$27, 0.0021, 0)</f>
        <v>61.428399999999996</v>
      </c>
      <c r="F559" s="17">
        <f>61.4263 * CHOOSE(CONTROL!$C$9, $D$9, 100%, $F$9) + CHOOSE(CONTROL!$C$27, 0.0021, 0)</f>
        <v>61.428399999999996</v>
      </c>
      <c r="G559" s="17">
        <f>61.6977 * CHOOSE(CONTROL!$C$9, $D$9, 100%, $F$9) + CHOOSE(CONTROL!$C$27, 0.0021, 0)</f>
        <v>61.699799999999996</v>
      </c>
      <c r="H559" s="17">
        <f>61.5629 * CHOOSE(CONTROL!$C$9, $D$9, 100%, $F$9) + CHOOSE(CONTROL!$C$27, 0.0021, 0)</f>
        <v>61.564999999999998</v>
      </c>
      <c r="I559" s="17">
        <f>61.5629 * CHOOSE(CONTROL!$C$9, $D$9, 100%, $F$9) + CHOOSE(CONTROL!$C$27, 0.0021, 0)</f>
        <v>61.564999999999998</v>
      </c>
      <c r="J559" s="17">
        <f>61.5629 * CHOOSE(CONTROL!$C$9, $D$9, 100%, $F$9) + CHOOSE(CONTROL!$C$27, 0.0021, 0)</f>
        <v>61.564999999999998</v>
      </c>
      <c r="K559" s="17">
        <f>61.5629 * CHOOSE(CONTROL!$C$9, $D$9, 100%, $F$9) + CHOOSE(CONTROL!$C$27, 0.0021, 0)</f>
        <v>61.564999999999998</v>
      </c>
      <c r="L559" s="17"/>
    </row>
    <row r="560" spans="1:12" ht="15.75" x14ac:dyDescent="0.25">
      <c r="A560" s="13">
        <v>57983</v>
      </c>
      <c r="B560" s="17">
        <f>63.2092 * CHOOSE(CONTROL!$C$9, $D$9, 100%, $F$9) + CHOOSE(CONTROL!$C$27, 0.0021, 0)</f>
        <v>63.211300000000001</v>
      </c>
      <c r="C560" s="17">
        <f>62.777 * CHOOSE(CONTROL!$C$9, $D$9, 100%, $F$9) + CHOOSE(CONTROL!$C$27, 0.0021, 0)</f>
        <v>62.7791</v>
      </c>
      <c r="D560" s="17">
        <f>62.777 * CHOOSE(CONTROL!$C$9, $D$9, 100%, $F$9) + CHOOSE(CONTROL!$C$27, 0.0021, 0)</f>
        <v>62.7791</v>
      </c>
      <c r="E560" s="17">
        <f>62.6403 * CHOOSE(CONTROL!$C$9, $D$9, 100%, $F$9) + CHOOSE(CONTROL!$C$27, 0.0021, 0)</f>
        <v>62.642400000000002</v>
      </c>
      <c r="F560" s="17">
        <f>62.6403 * CHOOSE(CONTROL!$C$9, $D$9, 100%, $F$9) + CHOOSE(CONTROL!$C$27, 0.0021, 0)</f>
        <v>62.642400000000002</v>
      </c>
      <c r="G560" s="17">
        <f>62.9117 * CHOOSE(CONTROL!$C$9, $D$9, 100%, $F$9) + CHOOSE(CONTROL!$C$27, 0.0021, 0)</f>
        <v>62.913800000000002</v>
      </c>
      <c r="H560" s="17">
        <f>62.777 * CHOOSE(CONTROL!$C$9, $D$9, 100%, $F$9) + CHOOSE(CONTROL!$C$27, 0.0021, 0)</f>
        <v>62.7791</v>
      </c>
      <c r="I560" s="17">
        <f>62.777 * CHOOSE(CONTROL!$C$9, $D$9, 100%, $F$9) + CHOOSE(CONTROL!$C$27, 0.0021, 0)</f>
        <v>62.7791</v>
      </c>
      <c r="J560" s="17">
        <f>62.777 * CHOOSE(CONTROL!$C$9, $D$9, 100%, $F$9) + CHOOSE(CONTROL!$C$27, 0.0021, 0)</f>
        <v>62.7791</v>
      </c>
      <c r="K560" s="17">
        <f>62.777 * CHOOSE(CONTROL!$C$9, $D$9, 100%, $F$9) + CHOOSE(CONTROL!$C$27, 0.0021, 0)</f>
        <v>62.7791</v>
      </c>
      <c r="L560" s="17"/>
    </row>
    <row r="561" spans="1:12" ht="15.75" x14ac:dyDescent="0.25">
      <c r="A561" s="13">
        <v>58014</v>
      </c>
      <c r="B561" s="17">
        <f>64.746 * CHOOSE(CONTROL!$C$9, $D$9, 100%, $F$9) + CHOOSE(CONTROL!$C$27, 0.0021, 0)</f>
        <v>64.748099999999994</v>
      </c>
      <c r="C561" s="17">
        <f>64.3138 * CHOOSE(CONTROL!$C$9, $D$9, 100%, $F$9) + CHOOSE(CONTROL!$C$27, 0.0021, 0)</f>
        <v>64.315899999999999</v>
      </c>
      <c r="D561" s="17">
        <f>64.3138 * CHOOSE(CONTROL!$C$9, $D$9, 100%, $F$9) + CHOOSE(CONTROL!$C$27, 0.0021, 0)</f>
        <v>64.315899999999999</v>
      </c>
      <c r="E561" s="17">
        <f>64.1771 * CHOOSE(CONTROL!$C$9, $D$9, 100%, $F$9) + CHOOSE(CONTROL!$C$27, 0.0021, 0)</f>
        <v>64.179199999999994</v>
      </c>
      <c r="F561" s="17">
        <f>64.1771 * CHOOSE(CONTROL!$C$9, $D$9, 100%, $F$9) + CHOOSE(CONTROL!$C$27, 0.0021, 0)</f>
        <v>64.179199999999994</v>
      </c>
      <c r="G561" s="17">
        <f>64.4485 * CHOOSE(CONTROL!$C$9, $D$9, 100%, $F$9) + CHOOSE(CONTROL!$C$27, 0.0021, 0)</f>
        <v>64.450599999999994</v>
      </c>
      <c r="H561" s="17">
        <f>64.3138 * CHOOSE(CONTROL!$C$9, $D$9, 100%, $F$9) + CHOOSE(CONTROL!$C$27, 0.0021, 0)</f>
        <v>64.315899999999999</v>
      </c>
      <c r="I561" s="17">
        <f>64.3138 * CHOOSE(CONTROL!$C$9, $D$9, 100%, $F$9) + CHOOSE(CONTROL!$C$27, 0.0021, 0)</f>
        <v>64.315899999999999</v>
      </c>
      <c r="J561" s="17">
        <f>64.3138 * CHOOSE(CONTROL!$C$9, $D$9, 100%, $F$9) + CHOOSE(CONTROL!$C$27, 0.0021, 0)</f>
        <v>64.315899999999999</v>
      </c>
      <c r="K561" s="17">
        <f>64.3138 * CHOOSE(CONTROL!$C$9, $D$9, 100%, $F$9) + CHOOSE(CONTROL!$C$27, 0.0021, 0)</f>
        <v>64.315899999999999</v>
      </c>
      <c r="L561" s="17"/>
    </row>
    <row r="562" spans="1:12" ht="15.75" x14ac:dyDescent="0.25">
      <c r="A562" s="13">
        <v>58044</v>
      </c>
      <c r="B562" s="17">
        <f>64.8903 * CHOOSE(CONTROL!$C$9, $D$9, 100%, $F$9) + CHOOSE(CONTROL!$C$27, 0.0021, 0)</f>
        <v>64.892399999999995</v>
      </c>
      <c r="C562" s="17">
        <f>64.4581 * CHOOSE(CONTROL!$C$9, $D$9, 100%, $F$9) + CHOOSE(CONTROL!$C$27, 0.0021, 0)</f>
        <v>64.4602</v>
      </c>
      <c r="D562" s="17">
        <f>64.4581 * CHOOSE(CONTROL!$C$9, $D$9, 100%, $F$9) + CHOOSE(CONTROL!$C$27, 0.0021, 0)</f>
        <v>64.4602</v>
      </c>
      <c r="E562" s="17">
        <f>64.3214 * CHOOSE(CONTROL!$C$9, $D$9, 100%, $F$9) + CHOOSE(CONTROL!$C$27, 0.0021, 0)</f>
        <v>64.323499999999996</v>
      </c>
      <c r="F562" s="17">
        <f>64.3214 * CHOOSE(CONTROL!$C$9, $D$9, 100%, $F$9) + CHOOSE(CONTROL!$C$27, 0.0021, 0)</f>
        <v>64.323499999999996</v>
      </c>
      <c r="G562" s="17">
        <f>64.5928 * CHOOSE(CONTROL!$C$9, $D$9, 100%, $F$9) + CHOOSE(CONTROL!$C$27, 0.0021, 0)</f>
        <v>64.594899999999996</v>
      </c>
      <c r="H562" s="17">
        <f>64.4581 * CHOOSE(CONTROL!$C$9, $D$9, 100%, $F$9) + CHOOSE(CONTROL!$C$27, 0.0021, 0)</f>
        <v>64.4602</v>
      </c>
      <c r="I562" s="17">
        <f>64.4581 * CHOOSE(CONTROL!$C$9, $D$9, 100%, $F$9) + CHOOSE(CONTROL!$C$27, 0.0021, 0)</f>
        <v>64.4602</v>
      </c>
      <c r="J562" s="17">
        <f>64.4581 * CHOOSE(CONTROL!$C$9, $D$9, 100%, $F$9) + CHOOSE(CONTROL!$C$27, 0.0021, 0)</f>
        <v>64.4602</v>
      </c>
      <c r="K562" s="17">
        <f>64.4581 * CHOOSE(CONTROL!$C$9, $D$9, 100%, $F$9) + CHOOSE(CONTROL!$C$27, 0.0021, 0)</f>
        <v>64.4602</v>
      </c>
      <c r="L562" s="17"/>
    </row>
    <row r="563" spans="1:12" ht="15.75" x14ac:dyDescent="0.25">
      <c r="A563" s="13">
        <v>58075</v>
      </c>
      <c r="B563" s="17">
        <f>63.6629 * CHOOSE(CONTROL!$C$9, $D$9, 100%, $F$9) + CHOOSE(CONTROL!$C$27, 0.0021, 0)</f>
        <v>63.664999999999999</v>
      </c>
      <c r="C563" s="17">
        <f>63.2307 * CHOOSE(CONTROL!$C$9, $D$9, 100%, $F$9) + CHOOSE(CONTROL!$C$27, 0.0021, 0)</f>
        <v>63.232799999999997</v>
      </c>
      <c r="D563" s="17">
        <f>63.2307 * CHOOSE(CONTROL!$C$9, $D$9, 100%, $F$9) + CHOOSE(CONTROL!$C$27, 0.0021, 0)</f>
        <v>63.232799999999997</v>
      </c>
      <c r="E563" s="17">
        <f>63.094 * CHOOSE(CONTROL!$C$9, $D$9, 100%, $F$9) + CHOOSE(CONTROL!$C$27, 0.0021, 0)</f>
        <v>63.0961</v>
      </c>
      <c r="F563" s="17">
        <f>63.094 * CHOOSE(CONTROL!$C$9, $D$9, 100%, $F$9) + CHOOSE(CONTROL!$C$27, 0.0021, 0)</f>
        <v>63.0961</v>
      </c>
      <c r="G563" s="17">
        <f>63.3654 * CHOOSE(CONTROL!$C$9, $D$9, 100%, $F$9) + CHOOSE(CONTROL!$C$27, 0.0021, 0)</f>
        <v>63.3675</v>
      </c>
      <c r="H563" s="17">
        <f>63.2307 * CHOOSE(CONTROL!$C$9, $D$9, 100%, $F$9) + CHOOSE(CONTROL!$C$27, 0.0021, 0)</f>
        <v>63.232799999999997</v>
      </c>
      <c r="I563" s="17">
        <f>63.2307 * CHOOSE(CONTROL!$C$9, $D$9, 100%, $F$9) + CHOOSE(CONTROL!$C$27, 0.0021, 0)</f>
        <v>63.232799999999997</v>
      </c>
      <c r="J563" s="17">
        <f>63.2307 * CHOOSE(CONTROL!$C$9, $D$9, 100%, $F$9) + CHOOSE(CONTROL!$C$27, 0.0021, 0)</f>
        <v>63.232799999999997</v>
      </c>
      <c r="K563" s="17">
        <f>63.2307 * CHOOSE(CONTROL!$C$9, $D$9, 100%, $F$9) + CHOOSE(CONTROL!$C$27, 0.0021, 0)</f>
        <v>63.232799999999997</v>
      </c>
      <c r="L563" s="17"/>
    </row>
    <row r="564" spans="1:12" ht="15.75" x14ac:dyDescent="0.25">
      <c r="A564" s="13">
        <v>58106</v>
      </c>
      <c r="B564" s="17">
        <f>62.8871 * CHOOSE(CONTROL!$C$9, $D$9, 100%, $F$9) + CHOOSE(CONTROL!$C$27, 0.0021, 0)</f>
        <v>62.889199999999995</v>
      </c>
      <c r="C564" s="17">
        <f>62.4549 * CHOOSE(CONTROL!$C$9, $D$9, 100%, $F$9) + CHOOSE(CONTROL!$C$27, 0.0021, 0)</f>
        <v>62.457000000000001</v>
      </c>
      <c r="D564" s="17">
        <f>62.4549 * CHOOSE(CONTROL!$C$9, $D$9, 100%, $F$9) + CHOOSE(CONTROL!$C$27, 0.0021, 0)</f>
        <v>62.457000000000001</v>
      </c>
      <c r="E564" s="17">
        <f>62.3182 * CHOOSE(CONTROL!$C$9, $D$9, 100%, $F$9) + CHOOSE(CONTROL!$C$27, 0.0021, 0)</f>
        <v>62.320299999999996</v>
      </c>
      <c r="F564" s="17">
        <f>62.3182 * CHOOSE(CONTROL!$C$9, $D$9, 100%, $F$9) + CHOOSE(CONTROL!$C$27, 0.0021, 0)</f>
        <v>62.320299999999996</v>
      </c>
      <c r="G564" s="17">
        <f>62.5896 * CHOOSE(CONTROL!$C$9, $D$9, 100%, $F$9) + CHOOSE(CONTROL!$C$27, 0.0021, 0)</f>
        <v>62.591699999999996</v>
      </c>
      <c r="H564" s="17">
        <f>62.4549 * CHOOSE(CONTROL!$C$9, $D$9, 100%, $F$9) + CHOOSE(CONTROL!$C$27, 0.0021, 0)</f>
        <v>62.457000000000001</v>
      </c>
      <c r="I564" s="17">
        <f>62.4549 * CHOOSE(CONTROL!$C$9, $D$9, 100%, $F$9) + CHOOSE(CONTROL!$C$27, 0.0021, 0)</f>
        <v>62.457000000000001</v>
      </c>
      <c r="J564" s="17">
        <f>62.4549 * CHOOSE(CONTROL!$C$9, $D$9, 100%, $F$9) + CHOOSE(CONTROL!$C$27, 0.0021, 0)</f>
        <v>62.457000000000001</v>
      </c>
      <c r="K564" s="17">
        <f>62.4549 * CHOOSE(CONTROL!$C$9, $D$9, 100%, $F$9) + CHOOSE(CONTROL!$C$27, 0.0021, 0)</f>
        <v>62.457000000000001</v>
      </c>
      <c r="L564" s="17"/>
    </row>
    <row r="565" spans="1:12" ht="15.75" x14ac:dyDescent="0.25">
      <c r="A565" s="13">
        <v>58134</v>
      </c>
      <c r="B565" s="17">
        <f>61.1732 * CHOOSE(CONTROL!$C$9, $D$9, 100%, $F$9) + CHOOSE(CONTROL!$C$27, 0.0021, 0)</f>
        <v>61.1753</v>
      </c>
      <c r="C565" s="17">
        <f>60.7409 * CHOOSE(CONTROL!$C$9, $D$9, 100%, $F$9) + CHOOSE(CONTROL!$C$27, 0.0021, 0)</f>
        <v>60.743000000000002</v>
      </c>
      <c r="D565" s="17">
        <f>60.7409 * CHOOSE(CONTROL!$C$9, $D$9, 100%, $F$9) + CHOOSE(CONTROL!$C$27, 0.0021, 0)</f>
        <v>60.743000000000002</v>
      </c>
      <c r="E565" s="17">
        <f>60.6043 * CHOOSE(CONTROL!$C$9, $D$9, 100%, $F$9) + CHOOSE(CONTROL!$C$27, 0.0021, 0)</f>
        <v>60.606400000000001</v>
      </c>
      <c r="F565" s="17">
        <f>60.6043 * CHOOSE(CONTROL!$C$9, $D$9, 100%, $F$9) + CHOOSE(CONTROL!$C$27, 0.0021, 0)</f>
        <v>60.606400000000001</v>
      </c>
      <c r="G565" s="17">
        <f>60.8756 * CHOOSE(CONTROL!$C$9, $D$9, 100%, $F$9) + CHOOSE(CONTROL!$C$27, 0.0021, 0)</f>
        <v>60.877699999999997</v>
      </c>
      <c r="H565" s="17">
        <f>60.7409 * CHOOSE(CONTROL!$C$9, $D$9, 100%, $F$9) + CHOOSE(CONTROL!$C$27, 0.0021, 0)</f>
        <v>60.743000000000002</v>
      </c>
      <c r="I565" s="17">
        <f>60.7409 * CHOOSE(CONTROL!$C$9, $D$9, 100%, $F$9) + CHOOSE(CONTROL!$C$27, 0.0021, 0)</f>
        <v>60.743000000000002</v>
      </c>
      <c r="J565" s="17">
        <f>60.7409 * CHOOSE(CONTROL!$C$9, $D$9, 100%, $F$9) + CHOOSE(CONTROL!$C$27, 0.0021, 0)</f>
        <v>60.743000000000002</v>
      </c>
      <c r="K565" s="17">
        <f>60.7409 * CHOOSE(CONTROL!$C$9, $D$9, 100%, $F$9) + CHOOSE(CONTROL!$C$27, 0.0021, 0)</f>
        <v>60.743000000000002</v>
      </c>
      <c r="L565" s="17"/>
    </row>
    <row r="566" spans="1:12" ht="15.75" x14ac:dyDescent="0.25">
      <c r="A566" s="13">
        <v>58165</v>
      </c>
      <c r="B566" s="17">
        <f>60.4657 * CHOOSE(CONTROL!$C$9, $D$9, 100%, $F$9) + CHOOSE(CONTROL!$C$27, 0.0021, 0)</f>
        <v>60.467799999999997</v>
      </c>
      <c r="C566" s="17">
        <f>60.0334 * CHOOSE(CONTROL!$C$9, $D$9, 100%, $F$9) + CHOOSE(CONTROL!$C$27, 0.0021, 0)</f>
        <v>60.035499999999999</v>
      </c>
      <c r="D566" s="17">
        <f>60.0334 * CHOOSE(CONTROL!$C$9, $D$9, 100%, $F$9) + CHOOSE(CONTROL!$C$27, 0.0021, 0)</f>
        <v>60.035499999999999</v>
      </c>
      <c r="E566" s="17">
        <f>59.8968 * CHOOSE(CONTROL!$C$9, $D$9, 100%, $F$9) + CHOOSE(CONTROL!$C$27, 0.0021, 0)</f>
        <v>59.898899999999998</v>
      </c>
      <c r="F566" s="17">
        <f>59.8968 * CHOOSE(CONTROL!$C$9, $D$9, 100%, $F$9) + CHOOSE(CONTROL!$C$27, 0.0021, 0)</f>
        <v>59.898899999999998</v>
      </c>
      <c r="G566" s="17">
        <f>60.1681 * CHOOSE(CONTROL!$C$9, $D$9, 100%, $F$9) + CHOOSE(CONTROL!$C$27, 0.0021, 0)</f>
        <v>60.170200000000001</v>
      </c>
      <c r="H566" s="17">
        <f>60.0334 * CHOOSE(CONTROL!$C$9, $D$9, 100%, $F$9) + CHOOSE(CONTROL!$C$27, 0.0021, 0)</f>
        <v>60.035499999999999</v>
      </c>
      <c r="I566" s="17">
        <f>60.0334 * CHOOSE(CONTROL!$C$9, $D$9, 100%, $F$9) + CHOOSE(CONTROL!$C$27, 0.0021, 0)</f>
        <v>60.035499999999999</v>
      </c>
      <c r="J566" s="17">
        <f>60.0334 * CHOOSE(CONTROL!$C$9, $D$9, 100%, $F$9) + CHOOSE(CONTROL!$C$27, 0.0021, 0)</f>
        <v>60.035499999999999</v>
      </c>
      <c r="K566" s="17">
        <f>60.0334 * CHOOSE(CONTROL!$C$9, $D$9, 100%, $F$9) + CHOOSE(CONTROL!$C$27, 0.0021, 0)</f>
        <v>60.035499999999999</v>
      </c>
      <c r="L566" s="17"/>
    </row>
    <row r="567" spans="1:12" ht="15.75" x14ac:dyDescent="0.25">
      <c r="A567" s="13">
        <v>58195</v>
      </c>
      <c r="B567" s="17">
        <f>59.6209 * CHOOSE(CONTROL!$C$9, $D$9, 100%, $F$9) + CHOOSE(CONTROL!$C$27, 0.0021, 0)</f>
        <v>59.622999999999998</v>
      </c>
      <c r="C567" s="17">
        <f>59.1886 * CHOOSE(CONTROL!$C$9, $D$9, 100%, $F$9) + CHOOSE(CONTROL!$C$27, 0.0021, 0)</f>
        <v>59.1907</v>
      </c>
      <c r="D567" s="17">
        <f>59.1886 * CHOOSE(CONTROL!$C$9, $D$9, 100%, $F$9) + CHOOSE(CONTROL!$C$27, 0.0021, 0)</f>
        <v>59.1907</v>
      </c>
      <c r="E567" s="17">
        <f>59.052 * CHOOSE(CONTROL!$C$9, $D$9, 100%, $F$9) + CHOOSE(CONTROL!$C$27, 0.0021, 0)</f>
        <v>59.054099999999998</v>
      </c>
      <c r="F567" s="17">
        <f>59.052 * CHOOSE(CONTROL!$C$9, $D$9, 100%, $F$9) + CHOOSE(CONTROL!$C$27, 0.0021, 0)</f>
        <v>59.054099999999998</v>
      </c>
      <c r="G567" s="17">
        <f>59.3233 * CHOOSE(CONTROL!$C$9, $D$9, 100%, $F$9) + CHOOSE(CONTROL!$C$27, 0.0021, 0)</f>
        <v>59.325400000000002</v>
      </c>
      <c r="H567" s="17">
        <f>59.1886 * CHOOSE(CONTROL!$C$9, $D$9, 100%, $F$9) + CHOOSE(CONTROL!$C$27, 0.0021, 0)</f>
        <v>59.1907</v>
      </c>
      <c r="I567" s="17">
        <f>59.1886 * CHOOSE(CONTROL!$C$9, $D$9, 100%, $F$9) + CHOOSE(CONTROL!$C$27, 0.0021, 0)</f>
        <v>59.1907</v>
      </c>
      <c r="J567" s="17">
        <f>59.1886 * CHOOSE(CONTROL!$C$9, $D$9, 100%, $F$9) + CHOOSE(CONTROL!$C$27, 0.0021, 0)</f>
        <v>59.1907</v>
      </c>
      <c r="K567" s="17">
        <f>59.1886 * CHOOSE(CONTROL!$C$9, $D$9, 100%, $F$9) + CHOOSE(CONTROL!$C$27, 0.0021, 0)</f>
        <v>59.1907</v>
      </c>
      <c r="L567" s="17"/>
    </row>
    <row r="568" spans="1:12" ht="15.75" x14ac:dyDescent="0.25">
      <c r="A568" s="13">
        <v>58226</v>
      </c>
      <c r="B568" s="17">
        <f>60.8248 * CHOOSE(CONTROL!$C$9, $D$9, 100%, $F$9) + CHOOSE(CONTROL!$C$27, 0.0021, 0)</f>
        <v>60.826900000000002</v>
      </c>
      <c r="C568" s="17">
        <f>60.3925 * CHOOSE(CONTROL!$C$9, $D$9, 100%, $F$9) + CHOOSE(CONTROL!$C$27, 0.0021, 0)</f>
        <v>60.394599999999997</v>
      </c>
      <c r="D568" s="17">
        <f>60.3925 * CHOOSE(CONTROL!$C$9, $D$9, 100%, $F$9) + CHOOSE(CONTROL!$C$27, 0.0021, 0)</f>
        <v>60.394599999999997</v>
      </c>
      <c r="E568" s="17">
        <f>60.2559 * CHOOSE(CONTROL!$C$9, $D$9, 100%, $F$9) + CHOOSE(CONTROL!$C$27, 0.0021, 0)</f>
        <v>60.257999999999996</v>
      </c>
      <c r="F568" s="17">
        <f>60.2559 * CHOOSE(CONTROL!$C$9, $D$9, 100%, $F$9) + CHOOSE(CONTROL!$C$27, 0.0021, 0)</f>
        <v>60.257999999999996</v>
      </c>
      <c r="G568" s="17">
        <f>60.5273 * CHOOSE(CONTROL!$C$9, $D$9, 100%, $F$9) + CHOOSE(CONTROL!$C$27, 0.0021, 0)</f>
        <v>60.529399999999995</v>
      </c>
      <c r="H568" s="17">
        <f>60.3925 * CHOOSE(CONTROL!$C$9, $D$9, 100%, $F$9) + CHOOSE(CONTROL!$C$27, 0.0021, 0)</f>
        <v>60.394599999999997</v>
      </c>
      <c r="I568" s="17">
        <f>60.3925 * CHOOSE(CONTROL!$C$9, $D$9, 100%, $F$9) + CHOOSE(CONTROL!$C$27, 0.0021, 0)</f>
        <v>60.394599999999997</v>
      </c>
      <c r="J568" s="17">
        <f>60.3925 * CHOOSE(CONTROL!$C$9, $D$9, 100%, $F$9) + CHOOSE(CONTROL!$C$27, 0.0021, 0)</f>
        <v>60.394599999999997</v>
      </c>
      <c r="K568" s="17">
        <f>60.3925 * CHOOSE(CONTROL!$C$9, $D$9, 100%, $F$9) + CHOOSE(CONTROL!$C$27, 0.0021, 0)</f>
        <v>60.394599999999997</v>
      </c>
      <c r="L568" s="17"/>
    </row>
    <row r="569" spans="1:12" ht="15.75" x14ac:dyDescent="0.25">
      <c r="A569" s="13">
        <v>58256</v>
      </c>
      <c r="B569" s="17">
        <f>61.5459 * CHOOSE(CONTROL!$C$9, $D$9, 100%, $F$9) + CHOOSE(CONTROL!$C$27, 0.0021, 0)</f>
        <v>61.548000000000002</v>
      </c>
      <c r="C569" s="17">
        <f>61.1137 * CHOOSE(CONTROL!$C$9, $D$9, 100%, $F$9) + CHOOSE(CONTROL!$C$27, 0.0021, 0)</f>
        <v>61.1158</v>
      </c>
      <c r="D569" s="17">
        <f>61.1137 * CHOOSE(CONTROL!$C$9, $D$9, 100%, $F$9) + CHOOSE(CONTROL!$C$27, 0.0021, 0)</f>
        <v>61.1158</v>
      </c>
      <c r="E569" s="17">
        <f>60.977 * CHOOSE(CONTROL!$C$9, $D$9, 100%, $F$9) + CHOOSE(CONTROL!$C$27, 0.0021, 0)</f>
        <v>60.979099999999995</v>
      </c>
      <c r="F569" s="17">
        <f>60.977 * CHOOSE(CONTROL!$C$9, $D$9, 100%, $F$9) + CHOOSE(CONTROL!$C$27, 0.0021, 0)</f>
        <v>60.979099999999995</v>
      </c>
      <c r="G569" s="17">
        <f>61.2484 * CHOOSE(CONTROL!$C$9, $D$9, 100%, $F$9) + CHOOSE(CONTROL!$C$27, 0.0021, 0)</f>
        <v>61.250499999999995</v>
      </c>
      <c r="H569" s="17">
        <f>61.1137 * CHOOSE(CONTROL!$C$9, $D$9, 100%, $F$9) + CHOOSE(CONTROL!$C$27, 0.0021, 0)</f>
        <v>61.1158</v>
      </c>
      <c r="I569" s="17">
        <f>61.1137 * CHOOSE(CONTROL!$C$9, $D$9, 100%, $F$9) + CHOOSE(CONTROL!$C$27, 0.0021, 0)</f>
        <v>61.1158</v>
      </c>
      <c r="J569" s="17">
        <f>61.1137 * CHOOSE(CONTROL!$C$9, $D$9, 100%, $F$9) + CHOOSE(CONTROL!$C$27, 0.0021, 0)</f>
        <v>61.1158</v>
      </c>
      <c r="K569" s="17">
        <f>61.1137 * CHOOSE(CONTROL!$C$9, $D$9, 100%, $F$9) + CHOOSE(CONTROL!$C$27, 0.0021, 0)</f>
        <v>61.1158</v>
      </c>
      <c r="L569" s="17"/>
    </row>
    <row r="570" spans="1:12" ht="15.75" x14ac:dyDescent="0.25">
      <c r="A570" s="13">
        <v>58287</v>
      </c>
      <c r="B570" s="17">
        <f>62.7355 * CHOOSE(CONTROL!$C$9, $D$9, 100%, $F$9) + CHOOSE(CONTROL!$C$27, 0.0021, 0)</f>
        <v>62.7376</v>
      </c>
      <c r="C570" s="17">
        <f>62.3032 * CHOOSE(CONTROL!$C$9, $D$9, 100%, $F$9) + CHOOSE(CONTROL!$C$27, 0.0021, 0)</f>
        <v>62.305299999999995</v>
      </c>
      <c r="D570" s="17">
        <f>62.3032 * CHOOSE(CONTROL!$C$9, $D$9, 100%, $F$9) + CHOOSE(CONTROL!$C$27, 0.0021, 0)</f>
        <v>62.305299999999995</v>
      </c>
      <c r="E570" s="17">
        <f>62.1665 * CHOOSE(CONTROL!$C$9, $D$9, 100%, $F$9) + CHOOSE(CONTROL!$C$27, 0.0021, 0)</f>
        <v>62.168599999999998</v>
      </c>
      <c r="F570" s="17">
        <f>62.1665 * CHOOSE(CONTROL!$C$9, $D$9, 100%, $F$9) + CHOOSE(CONTROL!$C$27, 0.0021, 0)</f>
        <v>62.168599999999998</v>
      </c>
      <c r="G570" s="17">
        <f>62.4379 * CHOOSE(CONTROL!$C$9, $D$9, 100%, $F$9) + CHOOSE(CONTROL!$C$27, 0.0021, 0)</f>
        <v>62.44</v>
      </c>
      <c r="H570" s="17">
        <f>62.3032 * CHOOSE(CONTROL!$C$9, $D$9, 100%, $F$9) + CHOOSE(CONTROL!$C$27, 0.0021, 0)</f>
        <v>62.305299999999995</v>
      </c>
      <c r="I570" s="17">
        <f>62.3032 * CHOOSE(CONTROL!$C$9, $D$9, 100%, $F$9) + CHOOSE(CONTROL!$C$27, 0.0021, 0)</f>
        <v>62.305299999999995</v>
      </c>
      <c r="J570" s="17">
        <f>62.3032 * CHOOSE(CONTROL!$C$9, $D$9, 100%, $F$9) + CHOOSE(CONTROL!$C$27, 0.0021, 0)</f>
        <v>62.305299999999995</v>
      </c>
      <c r="K570" s="17">
        <f>62.3032 * CHOOSE(CONTROL!$C$9, $D$9, 100%, $F$9) + CHOOSE(CONTROL!$C$27, 0.0021, 0)</f>
        <v>62.305299999999995</v>
      </c>
      <c r="L570" s="17"/>
    </row>
    <row r="571" spans="1:12" ht="15.75" x14ac:dyDescent="0.25">
      <c r="A571" s="13">
        <v>58318</v>
      </c>
      <c r="B571" s="17">
        <f>63.0985 * CHOOSE(CONTROL!$C$9, $D$9, 100%, $F$9) + CHOOSE(CONTROL!$C$27, 0.0021, 0)</f>
        <v>63.1006</v>
      </c>
      <c r="C571" s="17">
        <f>62.6663 * CHOOSE(CONTROL!$C$9, $D$9, 100%, $F$9) + CHOOSE(CONTROL!$C$27, 0.0021, 0)</f>
        <v>62.668399999999998</v>
      </c>
      <c r="D571" s="17">
        <f>62.6663 * CHOOSE(CONTROL!$C$9, $D$9, 100%, $F$9) + CHOOSE(CONTROL!$C$27, 0.0021, 0)</f>
        <v>62.668399999999998</v>
      </c>
      <c r="E571" s="17">
        <f>62.5296 * CHOOSE(CONTROL!$C$9, $D$9, 100%, $F$9) + CHOOSE(CONTROL!$C$27, 0.0021, 0)</f>
        <v>62.531700000000001</v>
      </c>
      <c r="F571" s="17">
        <f>62.5296 * CHOOSE(CONTROL!$C$9, $D$9, 100%, $F$9) + CHOOSE(CONTROL!$C$27, 0.0021, 0)</f>
        <v>62.531700000000001</v>
      </c>
      <c r="G571" s="17">
        <f>62.801 * CHOOSE(CONTROL!$C$9, $D$9, 100%, $F$9) + CHOOSE(CONTROL!$C$27, 0.0021, 0)</f>
        <v>62.803100000000001</v>
      </c>
      <c r="H571" s="17">
        <f>62.6663 * CHOOSE(CONTROL!$C$9, $D$9, 100%, $F$9) + CHOOSE(CONTROL!$C$27, 0.0021, 0)</f>
        <v>62.668399999999998</v>
      </c>
      <c r="I571" s="17">
        <f>62.6663 * CHOOSE(CONTROL!$C$9, $D$9, 100%, $F$9) + CHOOSE(CONTROL!$C$27, 0.0021, 0)</f>
        <v>62.668399999999998</v>
      </c>
      <c r="J571" s="17">
        <f>62.6663 * CHOOSE(CONTROL!$C$9, $D$9, 100%, $F$9) + CHOOSE(CONTROL!$C$27, 0.0021, 0)</f>
        <v>62.668399999999998</v>
      </c>
      <c r="K571" s="17">
        <f>62.6663 * CHOOSE(CONTROL!$C$9, $D$9, 100%, $F$9) + CHOOSE(CONTROL!$C$27, 0.0021, 0)</f>
        <v>62.668399999999998</v>
      </c>
      <c r="L571" s="17"/>
    </row>
    <row r="572" spans="1:12" ht="15.75" x14ac:dyDescent="0.25">
      <c r="A572" s="13">
        <v>58348</v>
      </c>
      <c r="B572" s="17">
        <f>64.335 * CHOOSE(CONTROL!$C$9, $D$9, 100%, $F$9) + CHOOSE(CONTROL!$C$27, 0.0021, 0)</f>
        <v>64.337099999999992</v>
      </c>
      <c r="C572" s="17">
        <f>63.9028 * CHOOSE(CONTROL!$C$9, $D$9, 100%, $F$9) + CHOOSE(CONTROL!$C$27, 0.0021, 0)</f>
        <v>63.904899999999998</v>
      </c>
      <c r="D572" s="17">
        <f>63.9028 * CHOOSE(CONTROL!$C$9, $D$9, 100%, $F$9) + CHOOSE(CONTROL!$C$27, 0.0021, 0)</f>
        <v>63.904899999999998</v>
      </c>
      <c r="E572" s="17">
        <f>63.7661 * CHOOSE(CONTROL!$C$9, $D$9, 100%, $F$9) + CHOOSE(CONTROL!$C$27, 0.0021, 0)</f>
        <v>63.7682</v>
      </c>
      <c r="F572" s="17">
        <f>63.7661 * CHOOSE(CONTROL!$C$9, $D$9, 100%, $F$9) + CHOOSE(CONTROL!$C$27, 0.0021, 0)</f>
        <v>63.7682</v>
      </c>
      <c r="G572" s="17">
        <f>64.0375 * CHOOSE(CONTROL!$C$9, $D$9, 100%, $F$9) + CHOOSE(CONTROL!$C$27, 0.0021, 0)</f>
        <v>64.039599999999993</v>
      </c>
      <c r="H572" s="17">
        <f>63.9028 * CHOOSE(CONTROL!$C$9, $D$9, 100%, $F$9) + CHOOSE(CONTROL!$C$27, 0.0021, 0)</f>
        <v>63.904899999999998</v>
      </c>
      <c r="I572" s="17">
        <f>63.9028 * CHOOSE(CONTROL!$C$9, $D$9, 100%, $F$9) + CHOOSE(CONTROL!$C$27, 0.0021, 0)</f>
        <v>63.904899999999998</v>
      </c>
      <c r="J572" s="17">
        <f>63.9028 * CHOOSE(CONTROL!$C$9, $D$9, 100%, $F$9) + CHOOSE(CONTROL!$C$27, 0.0021, 0)</f>
        <v>63.904899999999998</v>
      </c>
      <c r="K572" s="17">
        <f>63.9028 * CHOOSE(CONTROL!$C$9, $D$9, 100%, $F$9) + CHOOSE(CONTROL!$C$27, 0.0021, 0)</f>
        <v>63.904899999999998</v>
      </c>
      <c r="L572" s="17"/>
    </row>
    <row r="573" spans="1:12" ht="15.75" x14ac:dyDescent="0.25">
      <c r="A573" s="13">
        <v>58379</v>
      </c>
      <c r="B573" s="17">
        <f>65.9002 * CHOOSE(CONTROL!$C$9, $D$9, 100%, $F$9) + CHOOSE(CONTROL!$C$27, 0.0021, 0)</f>
        <v>65.902299999999997</v>
      </c>
      <c r="C573" s="17">
        <f>65.468 * CHOOSE(CONTROL!$C$9, $D$9, 100%, $F$9) + CHOOSE(CONTROL!$C$27, 0.0021, 0)</f>
        <v>65.470100000000002</v>
      </c>
      <c r="D573" s="17">
        <f>65.468 * CHOOSE(CONTROL!$C$9, $D$9, 100%, $F$9) + CHOOSE(CONTROL!$C$27, 0.0021, 0)</f>
        <v>65.470100000000002</v>
      </c>
      <c r="E573" s="17">
        <f>65.3313 * CHOOSE(CONTROL!$C$9, $D$9, 100%, $F$9) + CHOOSE(CONTROL!$C$27, 0.0021, 0)</f>
        <v>65.333399999999997</v>
      </c>
      <c r="F573" s="17">
        <f>65.3313 * CHOOSE(CONTROL!$C$9, $D$9, 100%, $F$9) + CHOOSE(CONTROL!$C$27, 0.0021, 0)</f>
        <v>65.333399999999997</v>
      </c>
      <c r="G573" s="17">
        <f>65.6027 * CHOOSE(CONTROL!$C$9, $D$9, 100%, $F$9) + CHOOSE(CONTROL!$C$27, 0.0021, 0)</f>
        <v>65.604799999999997</v>
      </c>
      <c r="H573" s="17">
        <f>65.468 * CHOOSE(CONTROL!$C$9, $D$9, 100%, $F$9) + CHOOSE(CONTROL!$C$27, 0.0021, 0)</f>
        <v>65.470100000000002</v>
      </c>
      <c r="I573" s="17">
        <f>65.468 * CHOOSE(CONTROL!$C$9, $D$9, 100%, $F$9) + CHOOSE(CONTROL!$C$27, 0.0021, 0)</f>
        <v>65.470100000000002</v>
      </c>
      <c r="J573" s="17">
        <f>65.468 * CHOOSE(CONTROL!$C$9, $D$9, 100%, $F$9) + CHOOSE(CONTROL!$C$27, 0.0021, 0)</f>
        <v>65.470100000000002</v>
      </c>
      <c r="K573" s="17">
        <f>65.468 * CHOOSE(CONTROL!$C$9, $D$9, 100%, $F$9) + CHOOSE(CONTROL!$C$27, 0.0021, 0)</f>
        <v>65.470100000000002</v>
      </c>
      <c r="L573" s="17"/>
    </row>
    <row r="574" spans="1:12" ht="15.75" x14ac:dyDescent="0.25">
      <c r="A574" s="13">
        <v>58409</v>
      </c>
      <c r="B574" s="17">
        <f>66.0472 * CHOOSE(CONTROL!$C$9, $D$9, 100%, $F$9) + CHOOSE(CONTROL!$C$27, 0.0021, 0)</f>
        <v>66.049300000000002</v>
      </c>
      <c r="C574" s="17">
        <f>65.6149 * CHOOSE(CONTROL!$C$9, $D$9, 100%, $F$9) + CHOOSE(CONTROL!$C$27, 0.0021, 0)</f>
        <v>65.617000000000004</v>
      </c>
      <c r="D574" s="17">
        <f>65.6149 * CHOOSE(CONTROL!$C$9, $D$9, 100%, $F$9) + CHOOSE(CONTROL!$C$27, 0.0021, 0)</f>
        <v>65.617000000000004</v>
      </c>
      <c r="E574" s="17">
        <f>65.4783 * CHOOSE(CONTROL!$C$9, $D$9, 100%, $F$9) + CHOOSE(CONTROL!$C$27, 0.0021, 0)</f>
        <v>65.480400000000003</v>
      </c>
      <c r="F574" s="17">
        <f>65.4783 * CHOOSE(CONTROL!$C$9, $D$9, 100%, $F$9) + CHOOSE(CONTROL!$C$27, 0.0021, 0)</f>
        <v>65.480400000000003</v>
      </c>
      <c r="G574" s="17">
        <f>65.7496 * CHOOSE(CONTROL!$C$9, $D$9, 100%, $F$9) + CHOOSE(CONTROL!$C$27, 0.0021, 0)</f>
        <v>65.7517</v>
      </c>
      <c r="H574" s="17">
        <f>65.6149 * CHOOSE(CONTROL!$C$9, $D$9, 100%, $F$9) + CHOOSE(CONTROL!$C$27, 0.0021, 0)</f>
        <v>65.617000000000004</v>
      </c>
      <c r="I574" s="17">
        <f>65.6149 * CHOOSE(CONTROL!$C$9, $D$9, 100%, $F$9) + CHOOSE(CONTROL!$C$27, 0.0021, 0)</f>
        <v>65.617000000000004</v>
      </c>
      <c r="J574" s="17">
        <f>65.6149 * CHOOSE(CONTROL!$C$9, $D$9, 100%, $F$9) + CHOOSE(CONTROL!$C$27, 0.0021, 0)</f>
        <v>65.617000000000004</v>
      </c>
      <c r="K574" s="17">
        <f>65.6149 * CHOOSE(CONTROL!$C$9, $D$9, 100%, $F$9) + CHOOSE(CONTROL!$C$27, 0.0021, 0)</f>
        <v>65.617000000000004</v>
      </c>
      <c r="L574" s="17"/>
    </row>
    <row r="575" spans="1:12" ht="15.75" x14ac:dyDescent="0.25">
      <c r="A575" s="13">
        <v>58440</v>
      </c>
      <c r="B575" s="17">
        <f>64.7971 * CHOOSE(CONTROL!$C$9, $D$9, 100%, $F$9) + CHOOSE(CONTROL!$C$27, 0.0021, 0)</f>
        <v>64.799199999999999</v>
      </c>
      <c r="C575" s="17">
        <f>64.3648 * CHOOSE(CONTROL!$C$9, $D$9, 100%, $F$9) + CHOOSE(CONTROL!$C$27, 0.0021, 0)</f>
        <v>64.366900000000001</v>
      </c>
      <c r="D575" s="17">
        <f>64.3648 * CHOOSE(CONTROL!$C$9, $D$9, 100%, $F$9) + CHOOSE(CONTROL!$C$27, 0.0021, 0)</f>
        <v>64.366900000000001</v>
      </c>
      <c r="E575" s="17">
        <f>64.2282 * CHOOSE(CONTROL!$C$9, $D$9, 100%, $F$9) + CHOOSE(CONTROL!$C$27, 0.0021, 0)</f>
        <v>64.2303</v>
      </c>
      <c r="F575" s="17">
        <f>64.2282 * CHOOSE(CONTROL!$C$9, $D$9, 100%, $F$9) + CHOOSE(CONTROL!$C$27, 0.0021, 0)</f>
        <v>64.2303</v>
      </c>
      <c r="G575" s="17">
        <f>64.4995 * CHOOSE(CONTROL!$C$9, $D$9, 100%, $F$9) + CHOOSE(CONTROL!$C$27, 0.0021, 0)</f>
        <v>64.501599999999996</v>
      </c>
      <c r="H575" s="17">
        <f>64.3648 * CHOOSE(CONTROL!$C$9, $D$9, 100%, $F$9) + CHOOSE(CONTROL!$C$27, 0.0021, 0)</f>
        <v>64.366900000000001</v>
      </c>
      <c r="I575" s="17">
        <f>64.3648 * CHOOSE(CONTROL!$C$9, $D$9, 100%, $F$9) + CHOOSE(CONTROL!$C$27, 0.0021, 0)</f>
        <v>64.366900000000001</v>
      </c>
      <c r="J575" s="17">
        <f>64.3648 * CHOOSE(CONTROL!$C$9, $D$9, 100%, $F$9) + CHOOSE(CONTROL!$C$27, 0.0021, 0)</f>
        <v>64.366900000000001</v>
      </c>
      <c r="K575" s="17">
        <f>64.3648 * CHOOSE(CONTROL!$C$9, $D$9, 100%, $F$9) + CHOOSE(CONTROL!$C$27, 0.0021, 0)</f>
        <v>64.366900000000001</v>
      </c>
      <c r="L575" s="17"/>
    </row>
    <row r="576" spans="1:12" ht="15.75" x14ac:dyDescent="0.25">
      <c r="A576" s="13">
        <v>58471</v>
      </c>
      <c r="B576" s="17">
        <f>64.007 * CHOOSE(CONTROL!$C$9, $D$9, 100%, $F$9) + CHOOSE(CONTROL!$C$27, 0.0021, 0)</f>
        <v>64.009100000000004</v>
      </c>
      <c r="C576" s="17">
        <f>63.5747 * CHOOSE(CONTROL!$C$9, $D$9, 100%, $F$9) + CHOOSE(CONTROL!$C$27, 0.0021, 0)</f>
        <v>63.576799999999999</v>
      </c>
      <c r="D576" s="17">
        <f>63.5747 * CHOOSE(CONTROL!$C$9, $D$9, 100%, $F$9) + CHOOSE(CONTROL!$C$27, 0.0021, 0)</f>
        <v>63.576799999999999</v>
      </c>
      <c r="E576" s="17">
        <f>63.4381 * CHOOSE(CONTROL!$C$9, $D$9, 100%, $F$9) + CHOOSE(CONTROL!$C$27, 0.0021, 0)</f>
        <v>63.440199999999997</v>
      </c>
      <c r="F576" s="17">
        <f>63.4381 * CHOOSE(CONTROL!$C$9, $D$9, 100%, $F$9) + CHOOSE(CONTROL!$C$27, 0.0021, 0)</f>
        <v>63.440199999999997</v>
      </c>
      <c r="G576" s="17">
        <f>63.7094 * CHOOSE(CONTROL!$C$9, $D$9, 100%, $F$9) + CHOOSE(CONTROL!$C$27, 0.0021, 0)</f>
        <v>63.711500000000001</v>
      </c>
      <c r="H576" s="17">
        <f>63.5747 * CHOOSE(CONTROL!$C$9, $D$9, 100%, $F$9) + CHOOSE(CONTROL!$C$27, 0.0021, 0)</f>
        <v>63.576799999999999</v>
      </c>
      <c r="I576" s="17">
        <f>63.5747 * CHOOSE(CONTROL!$C$9, $D$9, 100%, $F$9) + CHOOSE(CONTROL!$C$27, 0.0021, 0)</f>
        <v>63.576799999999999</v>
      </c>
      <c r="J576" s="17">
        <f>63.5747 * CHOOSE(CONTROL!$C$9, $D$9, 100%, $F$9) + CHOOSE(CONTROL!$C$27, 0.0021, 0)</f>
        <v>63.576799999999999</v>
      </c>
      <c r="K576" s="17">
        <f>63.5747 * CHOOSE(CONTROL!$C$9, $D$9, 100%, $F$9) + CHOOSE(CONTROL!$C$27, 0.0021, 0)</f>
        <v>63.576799999999999</v>
      </c>
      <c r="L576" s="17"/>
    </row>
    <row r="577" spans="1:12" ht="15.75" x14ac:dyDescent="0.25">
      <c r="A577" s="13">
        <v>58499</v>
      </c>
      <c r="B577" s="17">
        <f>62.2613 * CHOOSE(CONTROL!$C$9, $D$9, 100%, $F$9) + CHOOSE(CONTROL!$C$27, 0.0021, 0)</f>
        <v>62.263399999999997</v>
      </c>
      <c r="C577" s="17">
        <f>61.8291 * CHOOSE(CONTROL!$C$9, $D$9, 100%, $F$9) + CHOOSE(CONTROL!$C$27, 0.0021, 0)</f>
        <v>61.831199999999995</v>
      </c>
      <c r="D577" s="17">
        <f>61.8291 * CHOOSE(CONTROL!$C$9, $D$9, 100%, $F$9) + CHOOSE(CONTROL!$C$27, 0.0021, 0)</f>
        <v>61.831199999999995</v>
      </c>
      <c r="E577" s="17">
        <f>61.6924 * CHOOSE(CONTROL!$C$9, $D$9, 100%, $F$9) + CHOOSE(CONTROL!$C$27, 0.0021, 0)</f>
        <v>61.694499999999998</v>
      </c>
      <c r="F577" s="17">
        <f>61.6924 * CHOOSE(CONTROL!$C$9, $D$9, 100%, $F$9) + CHOOSE(CONTROL!$C$27, 0.0021, 0)</f>
        <v>61.694499999999998</v>
      </c>
      <c r="G577" s="17">
        <f>61.9638 * CHOOSE(CONTROL!$C$9, $D$9, 100%, $F$9) + CHOOSE(CONTROL!$C$27, 0.0021, 0)</f>
        <v>61.965899999999998</v>
      </c>
      <c r="H577" s="17">
        <f>61.8291 * CHOOSE(CONTROL!$C$9, $D$9, 100%, $F$9) + CHOOSE(CONTROL!$C$27, 0.0021, 0)</f>
        <v>61.831199999999995</v>
      </c>
      <c r="I577" s="17">
        <f>61.8291 * CHOOSE(CONTROL!$C$9, $D$9, 100%, $F$9) + CHOOSE(CONTROL!$C$27, 0.0021, 0)</f>
        <v>61.831199999999995</v>
      </c>
      <c r="J577" s="17">
        <f>61.8291 * CHOOSE(CONTROL!$C$9, $D$9, 100%, $F$9) + CHOOSE(CONTROL!$C$27, 0.0021, 0)</f>
        <v>61.831199999999995</v>
      </c>
      <c r="K577" s="17">
        <f>61.8291 * CHOOSE(CONTROL!$C$9, $D$9, 100%, $F$9) + CHOOSE(CONTROL!$C$27, 0.0021, 0)</f>
        <v>61.831199999999995</v>
      </c>
      <c r="L577" s="17"/>
    </row>
    <row r="578" spans="1:12" ht="15.75" x14ac:dyDescent="0.25">
      <c r="A578" s="13">
        <v>58531</v>
      </c>
      <c r="B578" s="17">
        <f>61.5407 * CHOOSE(CONTROL!$C$9, $D$9, 100%, $F$9) + CHOOSE(CONTROL!$C$27, 0.0021, 0)</f>
        <v>61.5428</v>
      </c>
      <c r="C578" s="17">
        <f>61.1085 * CHOOSE(CONTROL!$C$9, $D$9, 100%, $F$9) + CHOOSE(CONTROL!$C$27, 0.0021, 0)</f>
        <v>61.110599999999998</v>
      </c>
      <c r="D578" s="17">
        <f>61.1085 * CHOOSE(CONTROL!$C$9, $D$9, 100%, $F$9) + CHOOSE(CONTROL!$C$27, 0.0021, 0)</f>
        <v>61.110599999999998</v>
      </c>
      <c r="E578" s="17">
        <f>60.9718 * CHOOSE(CONTROL!$C$9, $D$9, 100%, $F$9) + CHOOSE(CONTROL!$C$27, 0.0021, 0)</f>
        <v>60.9739</v>
      </c>
      <c r="F578" s="17">
        <f>60.9718 * CHOOSE(CONTROL!$C$9, $D$9, 100%, $F$9) + CHOOSE(CONTROL!$C$27, 0.0021, 0)</f>
        <v>60.9739</v>
      </c>
      <c r="G578" s="17">
        <f>61.2432 * CHOOSE(CONTROL!$C$9, $D$9, 100%, $F$9) + CHOOSE(CONTROL!$C$27, 0.0021, 0)</f>
        <v>61.2453</v>
      </c>
      <c r="H578" s="17">
        <f>61.1085 * CHOOSE(CONTROL!$C$9, $D$9, 100%, $F$9) + CHOOSE(CONTROL!$C$27, 0.0021, 0)</f>
        <v>61.110599999999998</v>
      </c>
      <c r="I578" s="17">
        <f>61.1085 * CHOOSE(CONTROL!$C$9, $D$9, 100%, $F$9) + CHOOSE(CONTROL!$C$27, 0.0021, 0)</f>
        <v>61.110599999999998</v>
      </c>
      <c r="J578" s="17">
        <f>61.1085 * CHOOSE(CONTROL!$C$9, $D$9, 100%, $F$9) + CHOOSE(CONTROL!$C$27, 0.0021, 0)</f>
        <v>61.110599999999998</v>
      </c>
      <c r="K578" s="17">
        <f>61.1085 * CHOOSE(CONTROL!$C$9, $D$9, 100%, $F$9) + CHOOSE(CONTROL!$C$27, 0.0021, 0)</f>
        <v>61.110599999999998</v>
      </c>
      <c r="L578" s="17"/>
    </row>
    <row r="579" spans="1:12" ht="15.75" x14ac:dyDescent="0.25">
      <c r="A579" s="13">
        <v>58561</v>
      </c>
      <c r="B579" s="17">
        <f>60.6803 * CHOOSE(CONTROL!$C$9, $D$9, 100%, $F$9) + CHOOSE(CONTROL!$C$27, 0.0021, 0)</f>
        <v>60.682400000000001</v>
      </c>
      <c r="C579" s="17">
        <f>60.2481 * CHOOSE(CONTROL!$C$9, $D$9, 100%, $F$9) + CHOOSE(CONTROL!$C$27, 0.0021, 0)</f>
        <v>60.2502</v>
      </c>
      <c r="D579" s="17">
        <f>60.2481 * CHOOSE(CONTROL!$C$9, $D$9, 100%, $F$9) + CHOOSE(CONTROL!$C$27, 0.0021, 0)</f>
        <v>60.2502</v>
      </c>
      <c r="E579" s="17">
        <f>60.1114 * CHOOSE(CONTROL!$C$9, $D$9, 100%, $F$9) + CHOOSE(CONTROL!$C$27, 0.0021, 0)</f>
        <v>60.113500000000002</v>
      </c>
      <c r="F579" s="17">
        <f>60.1114 * CHOOSE(CONTROL!$C$9, $D$9, 100%, $F$9) + CHOOSE(CONTROL!$C$27, 0.0021, 0)</f>
        <v>60.113500000000002</v>
      </c>
      <c r="G579" s="17">
        <f>60.3828 * CHOOSE(CONTROL!$C$9, $D$9, 100%, $F$9) + CHOOSE(CONTROL!$C$27, 0.0021, 0)</f>
        <v>60.384900000000002</v>
      </c>
      <c r="H579" s="17">
        <f>60.2481 * CHOOSE(CONTROL!$C$9, $D$9, 100%, $F$9) + CHOOSE(CONTROL!$C$27, 0.0021, 0)</f>
        <v>60.2502</v>
      </c>
      <c r="I579" s="17">
        <f>60.2481 * CHOOSE(CONTROL!$C$9, $D$9, 100%, $F$9) + CHOOSE(CONTROL!$C$27, 0.0021, 0)</f>
        <v>60.2502</v>
      </c>
      <c r="J579" s="17">
        <f>60.2481 * CHOOSE(CONTROL!$C$9, $D$9, 100%, $F$9) + CHOOSE(CONTROL!$C$27, 0.0021, 0)</f>
        <v>60.2502</v>
      </c>
      <c r="K579" s="17">
        <f>60.2481 * CHOOSE(CONTROL!$C$9, $D$9, 100%, $F$9) + CHOOSE(CONTROL!$C$27, 0.0021, 0)</f>
        <v>60.2502</v>
      </c>
      <c r="L579" s="17"/>
    </row>
    <row r="580" spans="1:12" ht="15.75" x14ac:dyDescent="0.25">
      <c r="A580" s="13">
        <v>58592</v>
      </c>
      <c r="B580" s="17">
        <f>61.9065 * CHOOSE(CONTROL!$C$9, $D$9, 100%, $F$9) + CHOOSE(CONTROL!$C$27, 0.0021, 0)</f>
        <v>61.9086</v>
      </c>
      <c r="C580" s="17">
        <f>61.4743 * CHOOSE(CONTROL!$C$9, $D$9, 100%, $F$9) + CHOOSE(CONTROL!$C$27, 0.0021, 0)</f>
        <v>61.476399999999998</v>
      </c>
      <c r="D580" s="17">
        <f>61.4743 * CHOOSE(CONTROL!$C$9, $D$9, 100%, $F$9) + CHOOSE(CONTROL!$C$27, 0.0021, 0)</f>
        <v>61.476399999999998</v>
      </c>
      <c r="E580" s="17">
        <f>61.3376 * CHOOSE(CONTROL!$C$9, $D$9, 100%, $F$9) + CHOOSE(CONTROL!$C$27, 0.0021, 0)</f>
        <v>61.339700000000001</v>
      </c>
      <c r="F580" s="17">
        <f>61.3376 * CHOOSE(CONTROL!$C$9, $D$9, 100%, $F$9) + CHOOSE(CONTROL!$C$27, 0.0021, 0)</f>
        <v>61.339700000000001</v>
      </c>
      <c r="G580" s="17">
        <f>61.609 * CHOOSE(CONTROL!$C$9, $D$9, 100%, $F$9) + CHOOSE(CONTROL!$C$27, 0.0021, 0)</f>
        <v>61.6111</v>
      </c>
      <c r="H580" s="17">
        <f>61.4743 * CHOOSE(CONTROL!$C$9, $D$9, 100%, $F$9) + CHOOSE(CONTROL!$C$27, 0.0021, 0)</f>
        <v>61.476399999999998</v>
      </c>
      <c r="I580" s="17">
        <f>61.4743 * CHOOSE(CONTROL!$C$9, $D$9, 100%, $F$9) + CHOOSE(CONTROL!$C$27, 0.0021, 0)</f>
        <v>61.476399999999998</v>
      </c>
      <c r="J580" s="17">
        <f>61.4743 * CHOOSE(CONTROL!$C$9, $D$9, 100%, $F$9) + CHOOSE(CONTROL!$C$27, 0.0021, 0)</f>
        <v>61.476399999999998</v>
      </c>
      <c r="K580" s="17">
        <f>61.4743 * CHOOSE(CONTROL!$C$9, $D$9, 100%, $F$9) + CHOOSE(CONTROL!$C$27, 0.0021, 0)</f>
        <v>61.476399999999998</v>
      </c>
      <c r="L580" s="17"/>
    </row>
    <row r="581" spans="1:12" ht="15.75" x14ac:dyDescent="0.25">
      <c r="A581" s="13">
        <v>58622</v>
      </c>
      <c r="B581" s="17">
        <f>62.6409 * CHOOSE(CONTROL!$C$9, $D$9, 100%, $F$9) + CHOOSE(CONTROL!$C$27, 0.0021, 0)</f>
        <v>62.643000000000001</v>
      </c>
      <c r="C581" s="17">
        <f>62.2087 * CHOOSE(CONTROL!$C$9, $D$9, 100%, $F$9) + CHOOSE(CONTROL!$C$27, 0.0021, 0)</f>
        <v>62.210799999999999</v>
      </c>
      <c r="D581" s="17">
        <f>62.2087 * CHOOSE(CONTROL!$C$9, $D$9, 100%, $F$9) + CHOOSE(CONTROL!$C$27, 0.0021, 0)</f>
        <v>62.210799999999999</v>
      </c>
      <c r="E581" s="17">
        <f>62.072 * CHOOSE(CONTROL!$C$9, $D$9, 100%, $F$9) + CHOOSE(CONTROL!$C$27, 0.0021, 0)</f>
        <v>62.074100000000001</v>
      </c>
      <c r="F581" s="17">
        <f>62.072 * CHOOSE(CONTROL!$C$9, $D$9, 100%, $F$9) + CHOOSE(CONTROL!$C$27, 0.0021, 0)</f>
        <v>62.074100000000001</v>
      </c>
      <c r="G581" s="17">
        <f>62.3434 * CHOOSE(CONTROL!$C$9, $D$9, 100%, $F$9) + CHOOSE(CONTROL!$C$27, 0.0021, 0)</f>
        <v>62.345500000000001</v>
      </c>
      <c r="H581" s="17">
        <f>62.2087 * CHOOSE(CONTROL!$C$9, $D$9, 100%, $F$9) + CHOOSE(CONTROL!$C$27, 0.0021, 0)</f>
        <v>62.210799999999999</v>
      </c>
      <c r="I581" s="17">
        <f>62.2087 * CHOOSE(CONTROL!$C$9, $D$9, 100%, $F$9) + CHOOSE(CONTROL!$C$27, 0.0021, 0)</f>
        <v>62.210799999999999</v>
      </c>
      <c r="J581" s="17">
        <f>62.2087 * CHOOSE(CONTROL!$C$9, $D$9, 100%, $F$9) + CHOOSE(CONTROL!$C$27, 0.0021, 0)</f>
        <v>62.210799999999999</v>
      </c>
      <c r="K581" s="17">
        <f>62.2087 * CHOOSE(CONTROL!$C$9, $D$9, 100%, $F$9) + CHOOSE(CONTROL!$C$27, 0.0021, 0)</f>
        <v>62.210799999999999</v>
      </c>
      <c r="L581" s="17"/>
    </row>
    <row r="582" spans="1:12" ht="15.75" x14ac:dyDescent="0.25">
      <c r="A582" s="13">
        <v>58653</v>
      </c>
      <c r="B582" s="17">
        <f>63.8525 * CHOOSE(CONTROL!$C$9, $D$9, 100%, $F$9) + CHOOSE(CONTROL!$C$27, 0.0021, 0)</f>
        <v>63.854599999999998</v>
      </c>
      <c r="C582" s="17">
        <f>63.4202 * CHOOSE(CONTROL!$C$9, $D$9, 100%, $F$9) + CHOOSE(CONTROL!$C$27, 0.0021, 0)</f>
        <v>63.4223</v>
      </c>
      <c r="D582" s="17">
        <f>63.4202 * CHOOSE(CONTROL!$C$9, $D$9, 100%, $F$9) + CHOOSE(CONTROL!$C$27, 0.0021, 0)</f>
        <v>63.4223</v>
      </c>
      <c r="E582" s="17">
        <f>63.2836 * CHOOSE(CONTROL!$C$9, $D$9, 100%, $F$9) + CHOOSE(CONTROL!$C$27, 0.0021, 0)</f>
        <v>63.285699999999999</v>
      </c>
      <c r="F582" s="17">
        <f>63.2836 * CHOOSE(CONTROL!$C$9, $D$9, 100%, $F$9) + CHOOSE(CONTROL!$C$27, 0.0021, 0)</f>
        <v>63.285699999999999</v>
      </c>
      <c r="G582" s="17">
        <f>63.555 * CHOOSE(CONTROL!$C$9, $D$9, 100%, $F$9) + CHOOSE(CONTROL!$C$27, 0.0021, 0)</f>
        <v>63.557099999999998</v>
      </c>
      <c r="H582" s="17">
        <f>63.4202 * CHOOSE(CONTROL!$C$9, $D$9, 100%, $F$9) + CHOOSE(CONTROL!$C$27, 0.0021, 0)</f>
        <v>63.4223</v>
      </c>
      <c r="I582" s="17">
        <f>63.4202 * CHOOSE(CONTROL!$C$9, $D$9, 100%, $F$9) + CHOOSE(CONTROL!$C$27, 0.0021, 0)</f>
        <v>63.4223</v>
      </c>
      <c r="J582" s="17">
        <f>63.4202 * CHOOSE(CONTROL!$C$9, $D$9, 100%, $F$9) + CHOOSE(CONTROL!$C$27, 0.0021, 0)</f>
        <v>63.4223</v>
      </c>
      <c r="K582" s="17">
        <f>63.4202 * CHOOSE(CONTROL!$C$9, $D$9, 100%, $F$9) + CHOOSE(CONTROL!$C$27, 0.0021, 0)</f>
        <v>63.4223</v>
      </c>
      <c r="L582" s="17"/>
    </row>
    <row r="583" spans="1:12" ht="15.75" x14ac:dyDescent="0.25">
      <c r="A583" s="13">
        <v>58684</v>
      </c>
      <c r="B583" s="17">
        <f>64.2223 * CHOOSE(CONTROL!$C$9, $D$9, 100%, $F$9) + CHOOSE(CONTROL!$C$27, 0.0021, 0)</f>
        <v>64.224400000000003</v>
      </c>
      <c r="C583" s="17">
        <f>63.79 * CHOOSE(CONTROL!$C$9, $D$9, 100%, $F$9) + CHOOSE(CONTROL!$C$27, 0.0021, 0)</f>
        <v>63.792099999999998</v>
      </c>
      <c r="D583" s="17">
        <f>63.79 * CHOOSE(CONTROL!$C$9, $D$9, 100%, $F$9) + CHOOSE(CONTROL!$C$27, 0.0021, 0)</f>
        <v>63.792099999999998</v>
      </c>
      <c r="E583" s="17">
        <f>63.6534 * CHOOSE(CONTROL!$C$9, $D$9, 100%, $F$9) + CHOOSE(CONTROL!$C$27, 0.0021, 0)</f>
        <v>63.655499999999996</v>
      </c>
      <c r="F583" s="17">
        <f>63.6534 * CHOOSE(CONTROL!$C$9, $D$9, 100%, $F$9) + CHOOSE(CONTROL!$C$27, 0.0021, 0)</f>
        <v>63.655499999999996</v>
      </c>
      <c r="G583" s="17">
        <f>63.9248 * CHOOSE(CONTROL!$C$9, $D$9, 100%, $F$9) + CHOOSE(CONTROL!$C$27, 0.0021, 0)</f>
        <v>63.926899999999996</v>
      </c>
      <c r="H583" s="17">
        <f>63.79 * CHOOSE(CONTROL!$C$9, $D$9, 100%, $F$9) + CHOOSE(CONTROL!$C$27, 0.0021, 0)</f>
        <v>63.792099999999998</v>
      </c>
      <c r="I583" s="17">
        <f>63.79 * CHOOSE(CONTROL!$C$9, $D$9, 100%, $F$9) + CHOOSE(CONTROL!$C$27, 0.0021, 0)</f>
        <v>63.792099999999998</v>
      </c>
      <c r="J583" s="17">
        <f>63.79 * CHOOSE(CONTROL!$C$9, $D$9, 100%, $F$9) + CHOOSE(CONTROL!$C$27, 0.0021, 0)</f>
        <v>63.792099999999998</v>
      </c>
      <c r="K583" s="17">
        <f>63.79 * CHOOSE(CONTROL!$C$9, $D$9, 100%, $F$9) + CHOOSE(CONTROL!$C$27, 0.0021, 0)</f>
        <v>63.792099999999998</v>
      </c>
      <c r="L583" s="17"/>
    </row>
    <row r="584" spans="1:12" ht="15.75" x14ac:dyDescent="0.25">
      <c r="A584" s="13">
        <v>58714</v>
      </c>
      <c r="B584" s="17">
        <f>65.4816 * CHOOSE(CONTROL!$C$9, $D$9, 100%, $F$9) + CHOOSE(CONTROL!$C$27, 0.0021, 0)</f>
        <v>65.483699999999999</v>
      </c>
      <c r="C584" s="17">
        <f>65.0494 * CHOOSE(CONTROL!$C$9, $D$9, 100%, $F$9) + CHOOSE(CONTROL!$C$27, 0.0021, 0)</f>
        <v>65.051500000000004</v>
      </c>
      <c r="D584" s="17">
        <f>65.0494 * CHOOSE(CONTROL!$C$9, $D$9, 100%, $F$9) + CHOOSE(CONTROL!$C$27, 0.0021, 0)</f>
        <v>65.051500000000004</v>
      </c>
      <c r="E584" s="17">
        <f>64.9127 * CHOOSE(CONTROL!$C$9, $D$9, 100%, $F$9) + CHOOSE(CONTROL!$C$27, 0.0021, 0)</f>
        <v>64.9148</v>
      </c>
      <c r="F584" s="17">
        <f>64.9127 * CHOOSE(CONTROL!$C$9, $D$9, 100%, $F$9) + CHOOSE(CONTROL!$C$27, 0.0021, 0)</f>
        <v>64.9148</v>
      </c>
      <c r="G584" s="17">
        <f>65.1841 * CHOOSE(CONTROL!$C$9, $D$9, 100%, $F$9) + CHOOSE(CONTROL!$C$27, 0.0021, 0)</f>
        <v>65.186199999999999</v>
      </c>
      <c r="H584" s="17">
        <f>65.0494 * CHOOSE(CONTROL!$C$9, $D$9, 100%, $F$9) + CHOOSE(CONTROL!$C$27, 0.0021, 0)</f>
        <v>65.051500000000004</v>
      </c>
      <c r="I584" s="17">
        <f>65.0494 * CHOOSE(CONTROL!$C$9, $D$9, 100%, $F$9) + CHOOSE(CONTROL!$C$27, 0.0021, 0)</f>
        <v>65.051500000000004</v>
      </c>
      <c r="J584" s="17">
        <f>65.0494 * CHOOSE(CONTROL!$C$9, $D$9, 100%, $F$9) + CHOOSE(CONTROL!$C$27, 0.0021, 0)</f>
        <v>65.051500000000004</v>
      </c>
      <c r="K584" s="17">
        <f>65.0494 * CHOOSE(CONTROL!$C$9, $D$9, 100%, $F$9) + CHOOSE(CONTROL!$C$27, 0.0021, 0)</f>
        <v>65.051500000000004</v>
      </c>
      <c r="L584" s="17"/>
    </row>
    <row r="585" spans="1:12" ht="15.75" x14ac:dyDescent="0.25">
      <c r="A585" s="13">
        <v>58745</v>
      </c>
      <c r="B585" s="17">
        <f>67.0757 * CHOOSE(CONTROL!$C$9, $D$9, 100%, $F$9) + CHOOSE(CONTROL!$C$27, 0.0021, 0)</f>
        <v>67.077799999999996</v>
      </c>
      <c r="C585" s="17">
        <f>66.6435 * CHOOSE(CONTROL!$C$9, $D$9, 100%, $F$9) + CHOOSE(CONTROL!$C$27, 0.0021, 0)</f>
        <v>66.645600000000002</v>
      </c>
      <c r="D585" s="17">
        <f>66.6435 * CHOOSE(CONTROL!$C$9, $D$9, 100%, $F$9) + CHOOSE(CONTROL!$C$27, 0.0021, 0)</f>
        <v>66.645600000000002</v>
      </c>
      <c r="E585" s="17">
        <f>66.5068 * CHOOSE(CONTROL!$C$9, $D$9, 100%, $F$9) + CHOOSE(CONTROL!$C$27, 0.0021, 0)</f>
        <v>66.508899999999997</v>
      </c>
      <c r="F585" s="17">
        <f>66.5068 * CHOOSE(CONTROL!$C$9, $D$9, 100%, $F$9) + CHOOSE(CONTROL!$C$27, 0.0021, 0)</f>
        <v>66.508899999999997</v>
      </c>
      <c r="G585" s="17">
        <f>66.7782 * CHOOSE(CONTROL!$C$9, $D$9, 100%, $F$9) + CHOOSE(CONTROL!$C$27, 0.0021, 0)</f>
        <v>66.780299999999997</v>
      </c>
      <c r="H585" s="17">
        <f>66.6435 * CHOOSE(CONTROL!$C$9, $D$9, 100%, $F$9) + CHOOSE(CONTROL!$C$27, 0.0021, 0)</f>
        <v>66.645600000000002</v>
      </c>
      <c r="I585" s="17">
        <f>66.6435 * CHOOSE(CONTROL!$C$9, $D$9, 100%, $F$9) + CHOOSE(CONTROL!$C$27, 0.0021, 0)</f>
        <v>66.645600000000002</v>
      </c>
      <c r="J585" s="17">
        <f>66.6435 * CHOOSE(CONTROL!$C$9, $D$9, 100%, $F$9) + CHOOSE(CONTROL!$C$27, 0.0021, 0)</f>
        <v>66.645600000000002</v>
      </c>
      <c r="K585" s="17">
        <f>66.6435 * CHOOSE(CONTROL!$C$9, $D$9, 100%, $F$9) + CHOOSE(CONTROL!$C$27, 0.0021, 0)</f>
        <v>66.645600000000002</v>
      </c>
      <c r="L585" s="17"/>
    </row>
    <row r="586" spans="1:12" ht="15.75" x14ac:dyDescent="0.25">
      <c r="A586" s="13">
        <v>58775</v>
      </c>
      <c r="B586" s="17">
        <f>67.2254 * CHOOSE(CONTROL!$C$9, $D$9, 100%, $F$9) + CHOOSE(CONTROL!$C$27, 0.0021, 0)</f>
        <v>67.227499999999992</v>
      </c>
      <c r="C586" s="17">
        <f>66.7931 * CHOOSE(CONTROL!$C$9, $D$9, 100%, $F$9) + CHOOSE(CONTROL!$C$27, 0.0021, 0)</f>
        <v>66.795199999999994</v>
      </c>
      <c r="D586" s="17">
        <f>66.7931 * CHOOSE(CONTROL!$C$9, $D$9, 100%, $F$9) + CHOOSE(CONTROL!$C$27, 0.0021, 0)</f>
        <v>66.795199999999994</v>
      </c>
      <c r="E586" s="17">
        <f>66.6565 * CHOOSE(CONTROL!$C$9, $D$9, 100%, $F$9) + CHOOSE(CONTROL!$C$27, 0.0021, 0)</f>
        <v>66.658599999999993</v>
      </c>
      <c r="F586" s="17">
        <f>66.6565 * CHOOSE(CONTROL!$C$9, $D$9, 100%, $F$9) + CHOOSE(CONTROL!$C$27, 0.0021, 0)</f>
        <v>66.658599999999993</v>
      </c>
      <c r="G586" s="17">
        <f>66.9279 * CHOOSE(CONTROL!$C$9, $D$9, 100%, $F$9) + CHOOSE(CONTROL!$C$27, 0.0021, 0)</f>
        <v>66.929999999999993</v>
      </c>
      <c r="H586" s="17">
        <f>66.7931 * CHOOSE(CONTROL!$C$9, $D$9, 100%, $F$9) + CHOOSE(CONTROL!$C$27, 0.0021, 0)</f>
        <v>66.795199999999994</v>
      </c>
      <c r="I586" s="17">
        <f>66.7931 * CHOOSE(CONTROL!$C$9, $D$9, 100%, $F$9) + CHOOSE(CONTROL!$C$27, 0.0021, 0)</f>
        <v>66.795199999999994</v>
      </c>
      <c r="J586" s="17">
        <f>66.7931 * CHOOSE(CONTROL!$C$9, $D$9, 100%, $F$9) + CHOOSE(CONTROL!$C$27, 0.0021, 0)</f>
        <v>66.795199999999994</v>
      </c>
      <c r="K586" s="17">
        <f>66.7931 * CHOOSE(CONTROL!$C$9, $D$9, 100%, $F$9) + CHOOSE(CONTROL!$C$27, 0.0021, 0)</f>
        <v>66.795199999999994</v>
      </c>
      <c r="L586" s="17"/>
    </row>
    <row r="587" spans="1:12" ht="15.75" x14ac:dyDescent="0.25">
      <c r="A587" s="13">
        <v>58806</v>
      </c>
      <c r="B587" s="17">
        <f>65.9522 * CHOOSE(CONTROL!$C$9, $D$9, 100%, $F$9) + CHOOSE(CONTROL!$C$27, 0.0021, 0)</f>
        <v>65.954300000000003</v>
      </c>
      <c r="C587" s="17">
        <f>65.52 * CHOOSE(CONTROL!$C$9, $D$9, 100%, $F$9) + CHOOSE(CONTROL!$C$27, 0.0021, 0)</f>
        <v>65.522099999999995</v>
      </c>
      <c r="D587" s="17">
        <f>65.52 * CHOOSE(CONTROL!$C$9, $D$9, 100%, $F$9) + CHOOSE(CONTROL!$C$27, 0.0021, 0)</f>
        <v>65.522099999999995</v>
      </c>
      <c r="E587" s="17">
        <f>65.3833 * CHOOSE(CONTROL!$C$9, $D$9, 100%, $F$9) + CHOOSE(CONTROL!$C$27, 0.0021, 0)</f>
        <v>65.385400000000004</v>
      </c>
      <c r="F587" s="17">
        <f>65.3833 * CHOOSE(CONTROL!$C$9, $D$9, 100%, $F$9) + CHOOSE(CONTROL!$C$27, 0.0021, 0)</f>
        <v>65.385400000000004</v>
      </c>
      <c r="G587" s="17">
        <f>65.6547 * CHOOSE(CONTROL!$C$9, $D$9, 100%, $F$9) + CHOOSE(CONTROL!$C$27, 0.0021, 0)</f>
        <v>65.656800000000004</v>
      </c>
      <c r="H587" s="17">
        <f>65.52 * CHOOSE(CONTROL!$C$9, $D$9, 100%, $F$9) + CHOOSE(CONTROL!$C$27, 0.0021, 0)</f>
        <v>65.522099999999995</v>
      </c>
      <c r="I587" s="17">
        <f>65.52 * CHOOSE(CONTROL!$C$9, $D$9, 100%, $F$9) + CHOOSE(CONTROL!$C$27, 0.0021, 0)</f>
        <v>65.522099999999995</v>
      </c>
      <c r="J587" s="17">
        <f>65.52 * CHOOSE(CONTROL!$C$9, $D$9, 100%, $F$9) + CHOOSE(CONTROL!$C$27, 0.0021, 0)</f>
        <v>65.522099999999995</v>
      </c>
      <c r="K587" s="17">
        <f>65.52 * CHOOSE(CONTROL!$C$9, $D$9, 100%, $F$9) + CHOOSE(CONTROL!$C$27, 0.0021, 0)</f>
        <v>65.522099999999995</v>
      </c>
      <c r="L587" s="17"/>
    </row>
    <row r="588" spans="1:12" ht="15.75" x14ac:dyDescent="0.25">
      <c r="A588" s="13">
        <v>58837</v>
      </c>
      <c r="B588" s="17">
        <f>65.1475 * CHOOSE(CONTROL!$C$9, $D$9, 100%, $F$9) + CHOOSE(CONTROL!$C$27, 0.0021, 0)</f>
        <v>65.149599999999992</v>
      </c>
      <c r="C588" s="17">
        <f>64.7152 * CHOOSE(CONTROL!$C$9, $D$9, 100%, $F$9) + CHOOSE(CONTROL!$C$27, 0.0021, 0)</f>
        <v>64.717299999999994</v>
      </c>
      <c r="D588" s="17">
        <f>64.7152 * CHOOSE(CONTROL!$C$9, $D$9, 100%, $F$9) + CHOOSE(CONTROL!$C$27, 0.0021, 0)</f>
        <v>64.717299999999994</v>
      </c>
      <c r="E588" s="17">
        <f>64.5786 * CHOOSE(CONTROL!$C$9, $D$9, 100%, $F$9) + CHOOSE(CONTROL!$C$27, 0.0021, 0)</f>
        <v>64.580699999999993</v>
      </c>
      <c r="F588" s="17">
        <f>64.5786 * CHOOSE(CONTROL!$C$9, $D$9, 100%, $F$9) + CHOOSE(CONTROL!$C$27, 0.0021, 0)</f>
        <v>64.580699999999993</v>
      </c>
      <c r="G588" s="17">
        <f>64.85 * CHOOSE(CONTROL!$C$9, $D$9, 100%, $F$9) + CHOOSE(CONTROL!$C$27, 0.0021, 0)</f>
        <v>64.852099999999993</v>
      </c>
      <c r="H588" s="17">
        <f>64.7152 * CHOOSE(CONTROL!$C$9, $D$9, 100%, $F$9) + CHOOSE(CONTROL!$C$27, 0.0021, 0)</f>
        <v>64.717299999999994</v>
      </c>
      <c r="I588" s="17">
        <f>64.7152 * CHOOSE(CONTROL!$C$9, $D$9, 100%, $F$9) + CHOOSE(CONTROL!$C$27, 0.0021, 0)</f>
        <v>64.717299999999994</v>
      </c>
      <c r="J588" s="17">
        <f>64.7152 * CHOOSE(CONTROL!$C$9, $D$9, 100%, $F$9) + CHOOSE(CONTROL!$C$27, 0.0021, 0)</f>
        <v>64.717299999999994</v>
      </c>
      <c r="K588" s="17">
        <f>64.7152 * CHOOSE(CONTROL!$C$9, $D$9, 100%, $F$9) + CHOOSE(CONTROL!$C$27, 0.0021, 0)</f>
        <v>64.717299999999994</v>
      </c>
      <c r="L588" s="17"/>
    </row>
    <row r="589" spans="1:12" ht="15.75" x14ac:dyDescent="0.25">
      <c r="A589" s="13">
        <v>58865</v>
      </c>
      <c r="B589" s="17">
        <f>63.3696 * CHOOSE(CONTROL!$C$9, $D$9, 100%, $F$9) + CHOOSE(CONTROL!$C$27, 0.0021, 0)</f>
        <v>63.371699999999997</v>
      </c>
      <c r="C589" s="17">
        <f>62.9374 * CHOOSE(CONTROL!$C$9, $D$9, 100%, $F$9) + CHOOSE(CONTROL!$C$27, 0.0021, 0)</f>
        <v>62.939499999999995</v>
      </c>
      <c r="D589" s="17">
        <f>62.9374 * CHOOSE(CONTROL!$C$9, $D$9, 100%, $F$9) + CHOOSE(CONTROL!$C$27, 0.0021, 0)</f>
        <v>62.939499999999995</v>
      </c>
      <c r="E589" s="17">
        <f>62.8007 * CHOOSE(CONTROL!$C$9, $D$9, 100%, $F$9) + CHOOSE(CONTROL!$C$27, 0.0021, 0)</f>
        <v>62.802799999999998</v>
      </c>
      <c r="F589" s="17">
        <f>62.8007 * CHOOSE(CONTROL!$C$9, $D$9, 100%, $F$9) + CHOOSE(CONTROL!$C$27, 0.0021, 0)</f>
        <v>62.802799999999998</v>
      </c>
      <c r="G589" s="17">
        <f>63.0721 * CHOOSE(CONTROL!$C$9, $D$9, 100%, $F$9) + CHOOSE(CONTROL!$C$27, 0.0021, 0)</f>
        <v>63.074199999999998</v>
      </c>
      <c r="H589" s="17">
        <f>62.9374 * CHOOSE(CONTROL!$C$9, $D$9, 100%, $F$9) + CHOOSE(CONTROL!$C$27, 0.0021, 0)</f>
        <v>62.939499999999995</v>
      </c>
      <c r="I589" s="17">
        <f>62.9374 * CHOOSE(CONTROL!$C$9, $D$9, 100%, $F$9) + CHOOSE(CONTROL!$C$27, 0.0021, 0)</f>
        <v>62.939499999999995</v>
      </c>
      <c r="J589" s="17">
        <f>62.9374 * CHOOSE(CONTROL!$C$9, $D$9, 100%, $F$9) + CHOOSE(CONTROL!$C$27, 0.0021, 0)</f>
        <v>62.939499999999995</v>
      </c>
      <c r="K589" s="17">
        <f>62.9374 * CHOOSE(CONTROL!$C$9, $D$9, 100%, $F$9) + CHOOSE(CONTROL!$C$27, 0.0021, 0)</f>
        <v>62.939499999999995</v>
      </c>
      <c r="L589" s="17"/>
    </row>
    <row r="590" spans="1:12" ht="15.75" x14ac:dyDescent="0.25">
      <c r="A590" s="13">
        <v>58893</v>
      </c>
      <c r="B590" s="17">
        <f>62.6357 * CHOOSE(CONTROL!$C$9, $D$9, 100%, $F$9) + CHOOSE(CONTROL!$C$27, 0.0021, 0)</f>
        <v>62.637799999999999</v>
      </c>
      <c r="C590" s="17">
        <f>62.2035 * CHOOSE(CONTROL!$C$9, $D$9, 100%, $F$9) + CHOOSE(CONTROL!$C$27, 0.0021, 0)</f>
        <v>62.205599999999997</v>
      </c>
      <c r="D590" s="17">
        <f>62.2035 * CHOOSE(CONTROL!$C$9, $D$9, 100%, $F$9) + CHOOSE(CONTROL!$C$27, 0.0021, 0)</f>
        <v>62.205599999999997</v>
      </c>
      <c r="E590" s="17">
        <f>62.0668 * CHOOSE(CONTROL!$C$9, $D$9, 100%, $F$9) + CHOOSE(CONTROL!$C$27, 0.0021, 0)</f>
        <v>62.068899999999999</v>
      </c>
      <c r="F590" s="17">
        <f>62.0668 * CHOOSE(CONTROL!$C$9, $D$9, 100%, $F$9) + CHOOSE(CONTROL!$C$27, 0.0021, 0)</f>
        <v>62.068899999999999</v>
      </c>
      <c r="G590" s="17">
        <f>62.3382 * CHOOSE(CONTROL!$C$9, $D$9, 100%, $F$9) + CHOOSE(CONTROL!$C$27, 0.0021, 0)</f>
        <v>62.340299999999999</v>
      </c>
      <c r="H590" s="17">
        <f>62.2035 * CHOOSE(CONTROL!$C$9, $D$9, 100%, $F$9) + CHOOSE(CONTROL!$C$27, 0.0021, 0)</f>
        <v>62.205599999999997</v>
      </c>
      <c r="I590" s="17">
        <f>62.2035 * CHOOSE(CONTROL!$C$9, $D$9, 100%, $F$9) + CHOOSE(CONTROL!$C$27, 0.0021, 0)</f>
        <v>62.205599999999997</v>
      </c>
      <c r="J590" s="17">
        <f>62.2035 * CHOOSE(CONTROL!$C$9, $D$9, 100%, $F$9) + CHOOSE(CONTROL!$C$27, 0.0021, 0)</f>
        <v>62.205599999999997</v>
      </c>
      <c r="K590" s="17">
        <f>62.2035 * CHOOSE(CONTROL!$C$9, $D$9, 100%, $F$9) + CHOOSE(CONTROL!$C$27, 0.0021, 0)</f>
        <v>62.205599999999997</v>
      </c>
      <c r="L590" s="17"/>
    </row>
    <row r="591" spans="1:12" ht="15.75" x14ac:dyDescent="0.25">
      <c r="A591" s="13">
        <v>58926</v>
      </c>
      <c r="B591" s="17">
        <f>61.7594 * CHOOSE(CONTROL!$C$9, $D$9, 100%, $F$9) + CHOOSE(CONTROL!$C$27, 0.0021, 0)</f>
        <v>61.761499999999998</v>
      </c>
      <c r="C591" s="17">
        <f>61.3272 * CHOOSE(CONTROL!$C$9, $D$9, 100%, $F$9) + CHOOSE(CONTROL!$C$27, 0.0021, 0)</f>
        <v>61.329299999999996</v>
      </c>
      <c r="D591" s="17">
        <f>61.3272 * CHOOSE(CONTROL!$C$9, $D$9, 100%, $F$9) + CHOOSE(CONTROL!$C$27, 0.0021, 0)</f>
        <v>61.329299999999996</v>
      </c>
      <c r="E591" s="17">
        <f>61.1905 * CHOOSE(CONTROL!$C$9, $D$9, 100%, $F$9) + CHOOSE(CONTROL!$C$27, 0.0021, 0)</f>
        <v>61.192599999999999</v>
      </c>
      <c r="F591" s="17">
        <f>61.1905 * CHOOSE(CONTROL!$C$9, $D$9, 100%, $F$9) + CHOOSE(CONTROL!$C$27, 0.0021, 0)</f>
        <v>61.192599999999999</v>
      </c>
      <c r="G591" s="17">
        <f>61.4619 * CHOOSE(CONTROL!$C$9, $D$9, 100%, $F$9) + CHOOSE(CONTROL!$C$27, 0.0021, 0)</f>
        <v>61.463999999999999</v>
      </c>
      <c r="H591" s="17">
        <f>61.3272 * CHOOSE(CONTROL!$C$9, $D$9, 100%, $F$9) + CHOOSE(CONTROL!$C$27, 0.0021, 0)</f>
        <v>61.329299999999996</v>
      </c>
      <c r="I591" s="17">
        <f>61.3272 * CHOOSE(CONTROL!$C$9, $D$9, 100%, $F$9) + CHOOSE(CONTROL!$C$27, 0.0021, 0)</f>
        <v>61.329299999999996</v>
      </c>
      <c r="J591" s="17">
        <f>61.3272 * CHOOSE(CONTROL!$C$9, $D$9, 100%, $F$9) + CHOOSE(CONTROL!$C$27, 0.0021, 0)</f>
        <v>61.329299999999996</v>
      </c>
      <c r="K591" s="17">
        <f>61.3272 * CHOOSE(CONTROL!$C$9, $D$9, 100%, $F$9) + CHOOSE(CONTROL!$C$27, 0.0021, 0)</f>
        <v>61.329299999999996</v>
      </c>
      <c r="L591" s="17"/>
    </row>
    <row r="592" spans="1:12" ht="15.75" x14ac:dyDescent="0.25">
      <c r="A592" s="13">
        <v>58957</v>
      </c>
      <c r="B592" s="17">
        <f>63.0082 * CHOOSE(CONTROL!$C$9, $D$9, 100%, $F$9) + CHOOSE(CONTROL!$C$27, 0.0021, 0)</f>
        <v>63.010300000000001</v>
      </c>
      <c r="C592" s="17">
        <f>62.576 * CHOOSE(CONTROL!$C$9, $D$9, 100%, $F$9) + CHOOSE(CONTROL!$C$27, 0.0021, 0)</f>
        <v>62.578099999999999</v>
      </c>
      <c r="D592" s="17">
        <f>62.576 * CHOOSE(CONTROL!$C$9, $D$9, 100%, $F$9) + CHOOSE(CONTROL!$C$27, 0.0021, 0)</f>
        <v>62.578099999999999</v>
      </c>
      <c r="E592" s="17">
        <f>62.4393 * CHOOSE(CONTROL!$C$9, $D$9, 100%, $F$9) + CHOOSE(CONTROL!$C$27, 0.0021, 0)</f>
        <v>62.441400000000002</v>
      </c>
      <c r="F592" s="17">
        <f>62.4393 * CHOOSE(CONTROL!$C$9, $D$9, 100%, $F$9) + CHOOSE(CONTROL!$C$27, 0.0021, 0)</f>
        <v>62.441400000000002</v>
      </c>
      <c r="G592" s="17">
        <f>62.7107 * CHOOSE(CONTROL!$C$9, $D$9, 100%, $F$9) + CHOOSE(CONTROL!$C$27, 0.0021, 0)</f>
        <v>62.712800000000001</v>
      </c>
      <c r="H592" s="17">
        <f>62.576 * CHOOSE(CONTROL!$C$9, $D$9, 100%, $F$9) + CHOOSE(CONTROL!$C$27, 0.0021, 0)</f>
        <v>62.578099999999999</v>
      </c>
      <c r="I592" s="17">
        <f>62.576 * CHOOSE(CONTROL!$C$9, $D$9, 100%, $F$9) + CHOOSE(CONTROL!$C$27, 0.0021, 0)</f>
        <v>62.578099999999999</v>
      </c>
      <c r="J592" s="17">
        <f>62.576 * CHOOSE(CONTROL!$C$9, $D$9, 100%, $F$9) + CHOOSE(CONTROL!$C$27, 0.0021, 0)</f>
        <v>62.578099999999999</v>
      </c>
      <c r="K592" s="17">
        <f>62.576 * CHOOSE(CONTROL!$C$9, $D$9, 100%, $F$9) + CHOOSE(CONTROL!$C$27, 0.0021, 0)</f>
        <v>62.578099999999999</v>
      </c>
      <c r="L592" s="17"/>
    </row>
    <row r="593" spans="1:12" ht="15.75" x14ac:dyDescent="0.25">
      <c r="A593" s="13">
        <v>58987</v>
      </c>
      <c r="B593" s="17">
        <f>63.7562 * CHOOSE(CONTROL!$C$9, $D$9, 100%, $F$9) + CHOOSE(CONTROL!$C$27, 0.0021, 0)</f>
        <v>63.758299999999998</v>
      </c>
      <c r="C593" s="17">
        <f>63.324 * CHOOSE(CONTROL!$C$9, $D$9, 100%, $F$9) + CHOOSE(CONTROL!$C$27, 0.0021, 0)</f>
        <v>63.326099999999997</v>
      </c>
      <c r="D593" s="17">
        <f>63.324 * CHOOSE(CONTROL!$C$9, $D$9, 100%, $F$9) + CHOOSE(CONTROL!$C$27, 0.0021, 0)</f>
        <v>63.326099999999997</v>
      </c>
      <c r="E593" s="17">
        <f>63.1873 * CHOOSE(CONTROL!$C$9, $D$9, 100%, $F$9) + CHOOSE(CONTROL!$C$27, 0.0021, 0)</f>
        <v>63.189399999999999</v>
      </c>
      <c r="F593" s="17">
        <f>63.1873 * CHOOSE(CONTROL!$C$9, $D$9, 100%, $F$9) + CHOOSE(CONTROL!$C$27, 0.0021, 0)</f>
        <v>63.189399999999999</v>
      </c>
      <c r="G593" s="17">
        <f>63.4587 * CHOOSE(CONTROL!$C$9, $D$9, 100%, $F$9) + CHOOSE(CONTROL!$C$27, 0.0021, 0)</f>
        <v>63.460799999999999</v>
      </c>
      <c r="H593" s="17">
        <f>63.324 * CHOOSE(CONTROL!$C$9, $D$9, 100%, $F$9) + CHOOSE(CONTROL!$C$27, 0.0021, 0)</f>
        <v>63.326099999999997</v>
      </c>
      <c r="I593" s="17">
        <f>63.324 * CHOOSE(CONTROL!$C$9, $D$9, 100%, $F$9) + CHOOSE(CONTROL!$C$27, 0.0021, 0)</f>
        <v>63.326099999999997</v>
      </c>
      <c r="J593" s="17">
        <f>63.324 * CHOOSE(CONTROL!$C$9, $D$9, 100%, $F$9) + CHOOSE(CONTROL!$C$27, 0.0021, 0)</f>
        <v>63.326099999999997</v>
      </c>
      <c r="K593" s="17">
        <f>63.324 * CHOOSE(CONTROL!$C$9, $D$9, 100%, $F$9) + CHOOSE(CONTROL!$C$27, 0.0021, 0)</f>
        <v>63.326099999999997</v>
      </c>
      <c r="L593" s="17"/>
    </row>
    <row r="594" spans="1:12" ht="15.75" x14ac:dyDescent="0.25">
      <c r="A594" s="13">
        <v>59018</v>
      </c>
      <c r="B594" s="17">
        <f>64.9902 * CHOOSE(CONTROL!$C$9, $D$9, 100%, $F$9) + CHOOSE(CONTROL!$C$27, 0.0021, 0)</f>
        <v>64.9923</v>
      </c>
      <c r="C594" s="17">
        <f>64.5579 * CHOOSE(CONTROL!$C$9, $D$9, 100%, $F$9) + CHOOSE(CONTROL!$C$27, 0.0021, 0)</f>
        <v>64.56</v>
      </c>
      <c r="D594" s="17">
        <f>64.5579 * CHOOSE(CONTROL!$C$9, $D$9, 100%, $F$9) + CHOOSE(CONTROL!$C$27, 0.0021, 0)</f>
        <v>64.56</v>
      </c>
      <c r="E594" s="17">
        <f>64.4213 * CHOOSE(CONTROL!$C$9, $D$9, 100%, $F$9) + CHOOSE(CONTROL!$C$27, 0.0021, 0)</f>
        <v>64.423400000000001</v>
      </c>
      <c r="F594" s="17">
        <f>64.4213 * CHOOSE(CONTROL!$C$9, $D$9, 100%, $F$9) + CHOOSE(CONTROL!$C$27, 0.0021, 0)</f>
        <v>64.423400000000001</v>
      </c>
      <c r="G594" s="17">
        <f>64.6926 * CHOOSE(CONTROL!$C$9, $D$9, 100%, $F$9) + CHOOSE(CONTROL!$C$27, 0.0021, 0)</f>
        <v>64.694699999999997</v>
      </c>
      <c r="H594" s="17">
        <f>64.5579 * CHOOSE(CONTROL!$C$9, $D$9, 100%, $F$9) + CHOOSE(CONTROL!$C$27, 0.0021, 0)</f>
        <v>64.56</v>
      </c>
      <c r="I594" s="17">
        <f>64.5579 * CHOOSE(CONTROL!$C$9, $D$9, 100%, $F$9) + CHOOSE(CONTROL!$C$27, 0.0021, 0)</f>
        <v>64.56</v>
      </c>
      <c r="J594" s="17">
        <f>64.5579 * CHOOSE(CONTROL!$C$9, $D$9, 100%, $F$9) + CHOOSE(CONTROL!$C$27, 0.0021, 0)</f>
        <v>64.56</v>
      </c>
      <c r="K594" s="17">
        <f>64.5579 * CHOOSE(CONTROL!$C$9, $D$9, 100%, $F$9) + CHOOSE(CONTROL!$C$27, 0.0021, 0)</f>
        <v>64.56</v>
      </c>
      <c r="L594" s="17"/>
    </row>
    <row r="595" spans="1:12" ht="15.75" x14ac:dyDescent="0.25">
      <c r="A595" s="13">
        <v>59049</v>
      </c>
      <c r="B595" s="17">
        <f>65.3668 * CHOOSE(CONTROL!$C$9, $D$9, 100%, $F$9) + CHOOSE(CONTROL!$C$27, 0.0021, 0)</f>
        <v>65.368899999999996</v>
      </c>
      <c r="C595" s="17">
        <f>64.9346 * CHOOSE(CONTROL!$C$9, $D$9, 100%, $F$9) + CHOOSE(CONTROL!$C$27, 0.0021, 0)</f>
        <v>64.936700000000002</v>
      </c>
      <c r="D595" s="17">
        <f>64.9346 * CHOOSE(CONTROL!$C$9, $D$9, 100%, $F$9) + CHOOSE(CONTROL!$C$27, 0.0021, 0)</f>
        <v>64.936700000000002</v>
      </c>
      <c r="E595" s="17">
        <f>64.7979 * CHOOSE(CONTROL!$C$9, $D$9, 100%, $F$9) + CHOOSE(CONTROL!$C$27, 0.0021, 0)</f>
        <v>64.8</v>
      </c>
      <c r="F595" s="17">
        <f>64.7979 * CHOOSE(CONTROL!$C$9, $D$9, 100%, $F$9) + CHOOSE(CONTROL!$C$27, 0.0021, 0)</f>
        <v>64.8</v>
      </c>
      <c r="G595" s="17">
        <f>65.0693 * CHOOSE(CONTROL!$C$9, $D$9, 100%, $F$9) + CHOOSE(CONTROL!$C$27, 0.0021, 0)</f>
        <v>65.071399999999997</v>
      </c>
      <c r="H595" s="17">
        <f>64.9346 * CHOOSE(CONTROL!$C$9, $D$9, 100%, $F$9) + CHOOSE(CONTROL!$C$27, 0.0021, 0)</f>
        <v>64.936700000000002</v>
      </c>
      <c r="I595" s="17">
        <f>64.9346 * CHOOSE(CONTROL!$C$9, $D$9, 100%, $F$9) + CHOOSE(CONTROL!$C$27, 0.0021, 0)</f>
        <v>64.936700000000002</v>
      </c>
      <c r="J595" s="17">
        <f>64.9346 * CHOOSE(CONTROL!$C$9, $D$9, 100%, $F$9) + CHOOSE(CONTROL!$C$27, 0.0021, 0)</f>
        <v>64.936700000000002</v>
      </c>
      <c r="K595" s="17">
        <f>64.9346 * CHOOSE(CONTROL!$C$9, $D$9, 100%, $F$9) + CHOOSE(CONTROL!$C$27, 0.0021, 0)</f>
        <v>64.936700000000002</v>
      </c>
      <c r="L595" s="17"/>
    </row>
    <row r="596" spans="1:12" ht="15.75" x14ac:dyDescent="0.25">
      <c r="A596" s="13">
        <v>59079</v>
      </c>
      <c r="B596" s="17">
        <f>66.6494 * CHOOSE(CONTROL!$C$9, $D$9, 100%, $F$9) + CHOOSE(CONTROL!$C$27, 0.0021, 0)</f>
        <v>66.651499999999999</v>
      </c>
      <c r="C596" s="17">
        <f>66.2172 * CHOOSE(CONTROL!$C$9, $D$9, 100%, $F$9) + CHOOSE(CONTROL!$C$27, 0.0021, 0)</f>
        <v>66.219300000000004</v>
      </c>
      <c r="D596" s="17">
        <f>66.2172 * CHOOSE(CONTROL!$C$9, $D$9, 100%, $F$9) + CHOOSE(CONTROL!$C$27, 0.0021, 0)</f>
        <v>66.219300000000004</v>
      </c>
      <c r="E596" s="17">
        <f>66.0805 * CHOOSE(CONTROL!$C$9, $D$9, 100%, $F$9) + CHOOSE(CONTROL!$C$27, 0.0021, 0)</f>
        <v>66.082599999999999</v>
      </c>
      <c r="F596" s="17">
        <f>66.0805 * CHOOSE(CONTROL!$C$9, $D$9, 100%, $F$9) + CHOOSE(CONTROL!$C$27, 0.0021, 0)</f>
        <v>66.082599999999999</v>
      </c>
      <c r="G596" s="17">
        <f>66.3519 * CHOOSE(CONTROL!$C$9, $D$9, 100%, $F$9) + CHOOSE(CONTROL!$C$27, 0.0021, 0)</f>
        <v>66.353999999999999</v>
      </c>
      <c r="H596" s="17">
        <f>66.2172 * CHOOSE(CONTROL!$C$9, $D$9, 100%, $F$9) + CHOOSE(CONTROL!$C$27, 0.0021, 0)</f>
        <v>66.219300000000004</v>
      </c>
      <c r="I596" s="17">
        <f>66.2172 * CHOOSE(CONTROL!$C$9, $D$9, 100%, $F$9) + CHOOSE(CONTROL!$C$27, 0.0021, 0)</f>
        <v>66.219300000000004</v>
      </c>
      <c r="J596" s="17">
        <f>66.2172 * CHOOSE(CONTROL!$C$9, $D$9, 100%, $F$9) + CHOOSE(CONTROL!$C$27, 0.0021, 0)</f>
        <v>66.219300000000004</v>
      </c>
      <c r="K596" s="17">
        <f>66.2172 * CHOOSE(CONTROL!$C$9, $D$9, 100%, $F$9) + CHOOSE(CONTROL!$C$27, 0.0021, 0)</f>
        <v>66.219300000000004</v>
      </c>
      <c r="L596" s="17"/>
    </row>
    <row r="597" spans="1:12" ht="15.75" x14ac:dyDescent="0.25">
      <c r="A597" s="13">
        <v>59110</v>
      </c>
      <c r="B597" s="17">
        <f>68.273 * CHOOSE(CONTROL!$C$9, $D$9, 100%, $F$9) + CHOOSE(CONTROL!$C$27, 0.0021, 0)</f>
        <v>68.275099999999995</v>
      </c>
      <c r="C597" s="17">
        <f>67.8407 * CHOOSE(CONTROL!$C$9, $D$9, 100%, $F$9) + CHOOSE(CONTROL!$C$27, 0.0021, 0)</f>
        <v>67.842799999999997</v>
      </c>
      <c r="D597" s="17">
        <f>67.8407 * CHOOSE(CONTROL!$C$9, $D$9, 100%, $F$9) + CHOOSE(CONTROL!$C$27, 0.0021, 0)</f>
        <v>67.842799999999997</v>
      </c>
      <c r="E597" s="17">
        <f>67.7041 * CHOOSE(CONTROL!$C$9, $D$9, 100%, $F$9) + CHOOSE(CONTROL!$C$27, 0.0021, 0)</f>
        <v>67.706199999999995</v>
      </c>
      <c r="F597" s="17">
        <f>67.7041 * CHOOSE(CONTROL!$C$9, $D$9, 100%, $F$9) + CHOOSE(CONTROL!$C$27, 0.0021, 0)</f>
        <v>67.706199999999995</v>
      </c>
      <c r="G597" s="17">
        <f>67.9755 * CHOOSE(CONTROL!$C$9, $D$9, 100%, $F$9) + CHOOSE(CONTROL!$C$27, 0.0021, 0)</f>
        <v>67.977599999999995</v>
      </c>
      <c r="H597" s="17">
        <f>67.8407 * CHOOSE(CONTROL!$C$9, $D$9, 100%, $F$9) + CHOOSE(CONTROL!$C$27, 0.0021, 0)</f>
        <v>67.842799999999997</v>
      </c>
      <c r="I597" s="17">
        <f>67.8407 * CHOOSE(CONTROL!$C$9, $D$9, 100%, $F$9) + CHOOSE(CONTROL!$C$27, 0.0021, 0)</f>
        <v>67.842799999999997</v>
      </c>
      <c r="J597" s="17">
        <f>67.8407 * CHOOSE(CONTROL!$C$9, $D$9, 100%, $F$9) + CHOOSE(CONTROL!$C$27, 0.0021, 0)</f>
        <v>67.842799999999997</v>
      </c>
      <c r="K597" s="17">
        <f>67.8407 * CHOOSE(CONTROL!$C$9, $D$9, 100%, $F$9) + CHOOSE(CONTROL!$C$27, 0.0021, 0)</f>
        <v>67.842799999999997</v>
      </c>
      <c r="L597" s="17"/>
    </row>
    <row r="598" spans="1:12" ht="15.75" x14ac:dyDescent="0.25">
      <c r="A598" s="13">
        <v>59140</v>
      </c>
      <c r="B598" s="17">
        <f>68.4254 * CHOOSE(CONTROL!$C$9, $D$9, 100%, $F$9) + CHOOSE(CONTROL!$C$27, 0.0021, 0)</f>
        <v>68.427499999999995</v>
      </c>
      <c r="C598" s="17">
        <f>67.9932 * CHOOSE(CONTROL!$C$9, $D$9, 100%, $F$9) + CHOOSE(CONTROL!$C$27, 0.0021, 0)</f>
        <v>67.9953</v>
      </c>
      <c r="D598" s="17">
        <f>67.9932 * CHOOSE(CONTROL!$C$9, $D$9, 100%, $F$9) + CHOOSE(CONTROL!$C$27, 0.0021, 0)</f>
        <v>67.9953</v>
      </c>
      <c r="E598" s="17">
        <f>67.8565 * CHOOSE(CONTROL!$C$9, $D$9, 100%, $F$9) + CHOOSE(CONTROL!$C$27, 0.0021, 0)</f>
        <v>67.858599999999996</v>
      </c>
      <c r="F598" s="17">
        <f>67.8565 * CHOOSE(CONTROL!$C$9, $D$9, 100%, $F$9) + CHOOSE(CONTROL!$C$27, 0.0021, 0)</f>
        <v>67.858599999999996</v>
      </c>
      <c r="G598" s="17">
        <f>68.1279 * CHOOSE(CONTROL!$C$9, $D$9, 100%, $F$9) + CHOOSE(CONTROL!$C$27, 0.0021, 0)</f>
        <v>68.13</v>
      </c>
      <c r="H598" s="17">
        <f>67.9932 * CHOOSE(CONTROL!$C$9, $D$9, 100%, $F$9) + CHOOSE(CONTROL!$C$27, 0.0021, 0)</f>
        <v>67.9953</v>
      </c>
      <c r="I598" s="17">
        <f>67.9932 * CHOOSE(CONTROL!$C$9, $D$9, 100%, $F$9) + CHOOSE(CONTROL!$C$27, 0.0021, 0)</f>
        <v>67.9953</v>
      </c>
      <c r="J598" s="17">
        <f>67.9932 * CHOOSE(CONTROL!$C$9, $D$9, 100%, $F$9) + CHOOSE(CONTROL!$C$27, 0.0021, 0)</f>
        <v>67.9953</v>
      </c>
      <c r="K598" s="17">
        <f>67.9932 * CHOOSE(CONTROL!$C$9, $D$9, 100%, $F$9) + CHOOSE(CONTROL!$C$27, 0.0021, 0)</f>
        <v>67.9953</v>
      </c>
      <c r="L598" s="17"/>
    </row>
    <row r="599" spans="1:12" ht="15.75" x14ac:dyDescent="0.25">
      <c r="A599" s="13">
        <v>59171</v>
      </c>
      <c r="B599" s="17">
        <f>67.1287 * CHOOSE(CONTROL!$C$9, $D$9, 100%, $F$9) + CHOOSE(CONTROL!$C$27, 0.0021, 0)</f>
        <v>67.130799999999994</v>
      </c>
      <c r="C599" s="17">
        <f>66.6964 * CHOOSE(CONTROL!$C$9, $D$9, 100%, $F$9) + CHOOSE(CONTROL!$C$27, 0.0021, 0)</f>
        <v>66.698499999999996</v>
      </c>
      <c r="D599" s="17">
        <f>66.6964 * CHOOSE(CONTROL!$C$9, $D$9, 100%, $F$9) + CHOOSE(CONTROL!$C$27, 0.0021, 0)</f>
        <v>66.698499999999996</v>
      </c>
      <c r="E599" s="17">
        <f>66.5598 * CHOOSE(CONTROL!$C$9, $D$9, 100%, $F$9) + CHOOSE(CONTROL!$C$27, 0.0021, 0)</f>
        <v>66.561899999999994</v>
      </c>
      <c r="F599" s="17">
        <f>66.5598 * CHOOSE(CONTROL!$C$9, $D$9, 100%, $F$9) + CHOOSE(CONTROL!$C$27, 0.0021, 0)</f>
        <v>66.561899999999994</v>
      </c>
      <c r="G599" s="17">
        <f>66.8312 * CHOOSE(CONTROL!$C$9, $D$9, 100%, $F$9) + CHOOSE(CONTROL!$C$27, 0.0021, 0)</f>
        <v>66.833299999999994</v>
      </c>
      <c r="H599" s="17">
        <f>66.6964 * CHOOSE(CONTROL!$C$9, $D$9, 100%, $F$9) + CHOOSE(CONTROL!$C$27, 0.0021, 0)</f>
        <v>66.698499999999996</v>
      </c>
      <c r="I599" s="17">
        <f>66.6964 * CHOOSE(CONTROL!$C$9, $D$9, 100%, $F$9) + CHOOSE(CONTROL!$C$27, 0.0021, 0)</f>
        <v>66.698499999999996</v>
      </c>
      <c r="J599" s="17">
        <f>66.6964 * CHOOSE(CONTROL!$C$9, $D$9, 100%, $F$9) + CHOOSE(CONTROL!$C$27, 0.0021, 0)</f>
        <v>66.698499999999996</v>
      </c>
      <c r="K599" s="17">
        <f>66.6964 * CHOOSE(CONTROL!$C$9, $D$9, 100%, $F$9) + CHOOSE(CONTROL!$C$27, 0.0021, 0)</f>
        <v>66.698499999999996</v>
      </c>
      <c r="L599" s="17"/>
    </row>
    <row r="600" spans="1:12" ht="15" x14ac:dyDescent="0.2">
      <c r="A600" s="12"/>
      <c r="B600" s="17"/>
      <c r="C600" s="17"/>
      <c r="D600" s="17"/>
      <c r="E600" s="17"/>
      <c r="F600" s="17"/>
      <c r="G600" s="17"/>
      <c r="H600" s="17"/>
      <c r="I600" s="17"/>
      <c r="L600" s="17"/>
    </row>
    <row r="601" spans="1:12" ht="15" x14ac:dyDescent="0.2">
      <c r="A601" s="11">
        <v>2013</v>
      </c>
      <c r="B601" s="17">
        <f>AVERAGE(B12:B23)</f>
        <v>24.80989613742415</v>
      </c>
      <c r="C601" s="17">
        <f>AVERAGE(C12:C23)</f>
        <v>24.377638304376688</v>
      </c>
      <c r="D601" s="17"/>
      <c r="E601" s="17">
        <f t="shared" ref="E601:K601" si="0">AVERAGE(E12:E23)</f>
        <v>24.24099522261568</v>
      </c>
      <c r="F601" s="17">
        <f t="shared" si="0"/>
        <v>24.24099522261568</v>
      </c>
      <c r="G601" s="17">
        <f t="shared" si="0"/>
        <v>24.512382801232039</v>
      </c>
      <c r="H601" s="17">
        <f t="shared" si="0"/>
        <v>24.377638304376688</v>
      </c>
      <c r="I601" s="17">
        <f t="shared" si="0"/>
        <v>24.377638304376688</v>
      </c>
      <c r="J601" s="17">
        <f t="shared" si="0"/>
        <v>24.017437332392699</v>
      </c>
      <c r="K601" s="17">
        <f t="shared" si="0"/>
        <v>24.377638304376688</v>
      </c>
      <c r="L601" s="17"/>
    </row>
    <row r="602" spans="1:12" ht="15" x14ac:dyDescent="0.2">
      <c r="A602" s="11">
        <v>2014</v>
      </c>
      <c r="B602" s="17">
        <f>AVERAGE(B24:B35)</f>
        <v>23.887466666666665</v>
      </c>
      <c r="C602" s="17">
        <f>AVERAGE(C24:C35)</f>
        <v>23.455233333333329</v>
      </c>
      <c r="D602" s="17"/>
      <c r="E602" s="17">
        <f t="shared" ref="E602:K602" si="1">AVERAGE(E24:E35)</f>
        <v>23.318566666666666</v>
      </c>
      <c r="F602" s="17">
        <f t="shared" si="1"/>
        <v>23.318566666666666</v>
      </c>
      <c r="G602" s="17">
        <f t="shared" si="1"/>
        <v>23.589941666666661</v>
      </c>
      <c r="H602" s="17">
        <f t="shared" si="1"/>
        <v>23.455233333333329</v>
      </c>
      <c r="I602" s="17">
        <f t="shared" si="1"/>
        <v>23.455233333333329</v>
      </c>
      <c r="J602" s="17">
        <f t="shared" si="1"/>
        <v>23.095024999999996</v>
      </c>
      <c r="K602" s="17">
        <f t="shared" si="1"/>
        <v>23.455233333333329</v>
      </c>
      <c r="L602" s="17"/>
    </row>
    <row r="603" spans="1:12" ht="15" x14ac:dyDescent="0.2">
      <c r="A603" s="11">
        <v>2015</v>
      </c>
      <c r="B603" s="17">
        <f>AVERAGE(B36:B47)</f>
        <v>22.919308333333333</v>
      </c>
      <c r="C603" s="17">
        <f>AVERAGE(C36:C47)</f>
        <v>22.487049999999996</v>
      </c>
      <c r="D603" s="17"/>
      <c r="E603" s="17">
        <f t="shared" ref="E603:K603" si="2">AVERAGE(E36:E47)</f>
        <v>22.350400000000004</v>
      </c>
      <c r="F603" s="17">
        <f t="shared" si="2"/>
        <v>22.350400000000004</v>
      </c>
      <c r="G603" s="17">
        <f t="shared" si="2"/>
        <v>22.621758333333336</v>
      </c>
      <c r="H603" s="17">
        <f t="shared" si="2"/>
        <v>22.487049999999996</v>
      </c>
      <c r="I603" s="17">
        <f t="shared" si="2"/>
        <v>22.487049999999996</v>
      </c>
      <c r="J603" s="17">
        <f t="shared" si="2"/>
        <v>22.487049999999996</v>
      </c>
      <c r="K603" s="17">
        <f t="shared" si="2"/>
        <v>22.487049999999996</v>
      </c>
      <c r="L603" s="17"/>
    </row>
    <row r="604" spans="1:12" ht="15" x14ac:dyDescent="0.2">
      <c r="A604" s="11">
        <v>2016</v>
      </c>
      <c r="B604" s="17">
        <f>AVERAGE(B48:B59)</f>
        <v>23.443516666666664</v>
      </c>
      <c r="C604" s="17">
        <f>AVERAGE(C48:C59)</f>
        <v>23.011274999999998</v>
      </c>
      <c r="D604" s="17"/>
      <c r="E604" s="17">
        <f t="shared" ref="E604:K604" si="3">AVERAGE(E48:E59)</f>
        <v>22.874616666666668</v>
      </c>
      <c r="F604" s="17">
        <f t="shared" si="3"/>
        <v>22.874616666666668</v>
      </c>
      <c r="G604" s="17">
        <f t="shared" si="3"/>
        <v>23.145974999999996</v>
      </c>
      <c r="H604" s="17">
        <f t="shared" si="3"/>
        <v>23.011274999999998</v>
      </c>
      <c r="I604" s="17">
        <f t="shared" si="3"/>
        <v>23.011274999999998</v>
      </c>
      <c r="J604" s="17">
        <f t="shared" si="3"/>
        <v>23.011274999999998</v>
      </c>
      <c r="K604" s="17">
        <f t="shared" si="3"/>
        <v>23.011274999999998</v>
      </c>
      <c r="L604" s="17"/>
    </row>
    <row r="605" spans="1:12" ht="15" x14ac:dyDescent="0.2">
      <c r="A605" s="11">
        <v>2017</v>
      </c>
      <c r="B605" s="17">
        <f>AVERAGE(B60:B71)</f>
        <v>23.950025000000007</v>
      </c>
      <c r="C605" s="17">
        <f>AVERAGE(C60:C71)</f>
        <v>23.517791666666668</v>
      </c>
      <c r="D605" s="17"/>
      <c r="E605" s="17">
        <f t="shared" ref="E605:K605" si="4">AVERAGE(E60:E71)</f>
        <v>23.381116666666667</v>
      </c>
      <c r="F605" s="17">
        <f t="shared" si="4"/>
        <v>23.381116666666667</v>
      </c>
      <c r="G605" s="17">
        <f t="shared" si="4"/>
        <v>23.652508333333333</v>
      </c>
      <c r="H605" s="17">
        <f t="shared" si="4"/>
        <v>23.517791666666668</v>
      </c>
      <c r="I605" s="17">
        <f t="shared" si="4"/>
        <v>23.517791666666668</v>
      </c>
      <c r="J605" s="17">
        <f t="shared" si="4"/>
        <v>23.517791666666668</v>
      </c>
      <c r="K605" s="17">
        <f t="shared" si="4"/>
        <v>23.517791666666668</v>
      </c>
      <c r="L605" s="17"/>
    </row>
    <row r="606" spans="1:12" ht="15" x14ac:dyDescent="0.2">
      <c r="A606" s="11">
        <v>2018</v>
      </c>
      <c r="B606" s="17">
        <f>AVERAGE(B72:B83)</f>
        <v>25.35529166666667</v>
      </c>
      <c r="C606" s="17">
        <f>AVERAGE(C72:C83)</f>
        <v>24.923008333333332</v>
      </c>
      <c r="D606" s="17"/>
      <c r="E606" s="17">
        <f t="shared" ref="E606:K606" si="5">AVERAGE(E72:E83)</f>
        <v>24.786391666666663</v>
      </c>
      <c r="F606" s="17">
        <f t="shared" si="5"/>
        <v>24.786391666666663</v>
      </c>
      <c r="G606" s="17">
        <f t="shared" si="5"/>
        <v>25.057741666666661</v>
      </c>
      <c r="H606" s="17">
        <f t="shared" si="5"/>
        <v>24.923008333333332</v>
      </c>
      <c r="I606" s="17">
        <f t="shared" si="5"/>
        <v>24.923008333333332</v>
      </c>
      <c r="J606" s="17">
        <f t="shared" si="5"/>
        <v>24.923008333333332</v>
      </c>
      <c r="K606" s="17">
        <f t="shared" si="5"/>
        <v>24.923008333333332</v>
      </c>
      <c r="L606" s="17"/>
    </row>
    <row r="607" spans="1:12" ht="15" x14ac:dyDescent="0.2">
      <c r="A607" s="11">
        <v>2019</v>
      </c>
      <c r="B607" s="17">
        <f>AVERAGE(B84:B95)</f>
        <v>25.988933333333335</v>
      </c>
      <c r="C607" s="17">
        <f>AVERAGE(C84:C95)</f>
        <v>25.556691666666666</v>
      </c>
      <c r="D607" s="17"/>
      <c r="E607" s="17">
        <f t="shared" ref="E607:K607" si="6">AVERAGE(E84:E95)</f>
        <v>25.420033333333333</v>
      </c>
      <c r="F607" s="17">
        <f t="shared" si="6"/>
        <v>25.420033333333333</v>
      </c>
      <c r="G607" s="17">
        <f t="shared" si="6"/>
        <v>25.691400000000002</v>
      </c>
      <c r="H607" s="17">
        <f t="shared" si="6"/>
        <v>25.556691666666666</v>
      </c>
      <c r="I607" s="17">
        <f t="shared" si="6"/>
        <v>25.556691666666666</v>
      </c>
      <c r="J607" s="17">
        <f t="shared" si="6"/>
        <v>25.556691666666666</v>
      </c>
      <c r="K607" s="17">
        <f t="shared" si="6"/>
        <v>25.556691666666666</v>
      </c>
      <c r="L607" s="17"/>
    </row>
    <row r="608" spans="1:12" ht="15" x14ac:dyDescent="0.2">
      <c r="A608" s="11">
        <v>2020</v>
      </c>
      <c r="B608" s="17">
        <f>AVERAGE(B96:B107)</f>
        <v>26.776858333333333</v>
      </c>
      <c r="C608" s="17">
        <f>AVERAGE(C96:C107)</f>
        <v>26.344624999999994</v>
      </c>
      <c r="D608" s="17"/>
      <c r="E608" s="17">
        <f t="shared" ref="E608:K608" si="7">AVERAGE(E96:E107)</f>
        <v>26.207958333333337</v>
      </c>
      <c r="F608" s="17">
        <f t="shared" si="7"/>
        <v>26.207958333333337</v>
      </c>
      <c r="G608" s="17">
        <f t="shared" si="7"/>
        <v>26.479341666666667</v>
      </c>
      <c r="H608" s="17">
        <f t="shared" si="7"/>
        <v>26.344624999999994</v>
      </c>
      <c r="I608" s="17">
        <f t="shared" si="7"/>
        <v>26.344624999999994</v>
      </c>
      <c r="J608" s="17">
        <f t="shared" si="7"/>
        <v>26.344624999999994</v>
      </c>
      <c r="K608" s="17">
        <f t="shared" si="7"/>
        <v>26.344624999999994</v>
      </c>
      <c r="L608" s="17"/>
    </row>
    <row r="609" spans="1:12" ht="15" x14ac:dyDescent="0.2">
      <c r="A609" s="11">
        <v>2021</v>
      </c>
      <c r="B609" s="17">
        <f>AVERAGE(B108:B119)</f>
        <v>28.140741666666667</v>
      </c>
      <c r="C609" s="17">
        <f>AVERAGE(C108:C119)</f>
        <v>27.708491666666664</v>
      </c>
      <c r="D609" s="17"/>
      <c r="E609" s="17">
        <f t="shared" ref="E609:K609" si="8">AVERAGE(E108:E119)</f>
        <v>27.571841666666668</v>
      </c>
      <c r="F609" s="17">
        <f t="shared" si="8"/>
        <v>27.571841666666668</v>
      </c>
      <c r="G609" s="17">
        <f t="shared" si="8"/>
        <v>27.843225000000004</v>
      </c>
      <c r="H609" s="17">
        <f t="shared" si="8"/>
        <v>27.708491666666664</v>
      </c>
      <c r="I609" s="17">
        <f t="shared" si="8"/>
        <v>27.708491666666664</v>
      </c>
      <c r="J609" s="17">
        <f t="shared" si="8"/>
        <v>27.708491666666664</v>
      </c>
      <c r="K609" s="17">
        <f t="shared" si="8"/>
        <v>27.708491666666664</v>
      </c>
      <c r="L609" s="17"/>
    </row>
    <row r="610" spans="1:12" ht="15" x14ac:dyDescent="0.2">
      <c r="A610" s="11">
        <v>2022</v>
      </c>
      <c r="B610" s="17">
        <f>AVERAGE(B120:B131)</f>
        <v>29.612616666666664</v>
      </c>
      <c r="C610" s="17">
        <f>AVERAGE(C120:C131)</f>
        <v>29.180383333333328</v>
      </c>
      <c r="D610" s="17"/>
      <c r="E610" s="17">
        <f t="shared" ref="E610:K610" si="9">AVERAGE(E120:E131)</f>
        <v>29.043708333333338</v>
      </c>
      <c r="F610" s="17">
        <f t="shared" si="9"/>
        <v>29.043708333333338</v>
      </c>
      <c r="G610" s="17">
        <f t="shared" si="9"/>
        <v>29.315083333333334</v>
      </c>
      <c r="H610" s="17">
        <f t="shared" si="9"/>
        <v>29.180383333333328</v>
      </c>
      <c r="I610" s="17">
        <f t="shared" si="9"/>
        <v>29.180383333333328</v>
      </c>
      <c r="J610" s="17">
        <f t="shared" si="9"/>
        <v>29.180383333333328</v>
      </c>
      <c r="K610" s="17">
        <f t="shared" si="9"/>
        <v>29.180383333333328</v>
      </c>
      <c r="L610" s="17"/>
    </row>
    <row r="611" spans="1:12" ht="15" x14ac:dyDescent="0.2">
      <c r="A611" s="11">
        <v>2023</v>
      </c>
      <c r="B611" s="17">
        <f>AVERAGE(B132:B143)</f>
        <v>31.04195</v>
      </c>
      <c r="C611" s="17">
        <f>AVERAGE(C132:C143)</f>
        <v>30.6097</v>
      </c>
      <c r="D611" s="17"/>
      <c r="E611" s="17">
        <f t="shared" ref="E611:K611" si="10">AVERAGE(E132:E143)</f>
        <v>30.473041666666663</v>
      </c>
      <c r="F611" s="17">
        <f t="shared" si="10"/>
        <v>30.473041666666663</v>
      </c>
      <c r="G611" s="17">
        <f t="shared" si="10"/>
        <v>30.744400000000002</v>
      </c>
      <c r="H611" s="17">
        <f t="shared" si="10"/>
        <v>30.6097</v>
      </c>
      <c r="I611" s="17">
        <f t="shared" si="10"/>
        <v>30.6097</v>
      </c>
      <c r="J611" s="17">
        <f t="shared" si="10"/>
        <v>30.6097</v>
      </c>
      <c r="K611" s="17">
        <f t="shared" si="10"/>
        <v>30.6097</v>
      </c>
      <c r="L611" s="17"/>
    </row>
    <row r="612" spans="1:12" ht="15" x14ac:dyDescent="0.2">
      <c r="A612" s="11">
        <v>2024</v>
      </c>
      <c r="B612" s="17">
        <f>AVERAGE(B144:B155)</f>
        <v>32.451483333333336</v>
      </c>
      <c r="C612" s="17">
        <f>AVERAGE(C144:C155)</f>
        <v>32.019233333333339</v>
      </c>
      <c r="D612" s="17"/>
      <c r="E612" s="17">
        <f t="shared" ref="E612:K612" si="11">AVERAGE(E144:E155)</f>
        <v>31.882583333333329</v>
      </c>
      <c r="F612" s="17">
        <f t="shared" si="11"/>
        <v>31.882583333333329</v>
      </c>
      <c r="G612" s="17">
        <f t="shared" si="11"/>
        <v>32.153941666666661</v>
      </c>
      <c r="H612" s="17">
        <f t="shared" si="11"/>
        <v>32.019233333333339</v>
      </c>
      <c r="I612" s="17">
        <f t="shared" si="11"/>
        <v>32.019233333333339</v>
      </c>
      <c r="J612" s="17">
        <f t="shared" si="11"/>
        <v>32.019233333333339</v>
      </c>
      <c r="K612" s="17">
        <f t="shared" si="11"/>
        <v>32.019233333333339</v>
      </c>
      <c r="L612" s="17"/>
    </row>
    <row r="613" spans="1:12" ht="15" x14ac:dyDescent="0.2">
      <c r="A613" s="11">
        <v>2025</v>
      </c>
      <c r="B613" s="17">
        <f>AVERAGE(B156:B167)</f>
        <v>33.824816666666663</v>
      </c>
      <c r="C613" s="17">
        <f>AVERAGE(C156:C167)</f>
        <v>33.392558333333334</v>
      </c>
      <c r="D613" s="17"/>
      <c r="E613" s="17">
        <f t="shared" ref="E613:K613" si="12">AVERAGE(E156:E167)</f>
        <v>33.255916666666671</v>
      </c>
      <c r="F613" s="17">
        <f t="shared" si="12"/>
        <v>33.255916666666671</v>
      </c>
      <c r="G613" s="17">
        <f t="shared" si="12"/>
        <v>33.527283333333337</v>
      </c>
      <c r="H613" s="17">
        <f t="shared" si="12"/>
        <v>33.392558333333334</v>
      </c>
      <c r="I613" s="17">
        <f t="shared" si="12"/>
        <v>33.392558333333334</v>
      </c>
      <c r="J613" s="17">
        <f t="shared" si="12"/>
        <v>33.392558333333334</v>
      </c>
      <c r="K613" s="17">
        <f t="shared" si="12"/>
        <v>33.392558333333334</v>
      </c>
      <c r="L613" s="17"/>
    </row>
    <row r="614" spans="1:12" ht="15" x14ac:dyDescent="0.2">
      <c r="A614" s="11">
        <v>2026</v>
      </c>
      <c r="B614" s="17">
        <f>AVERAGE(B168:B179)</f>
        <v>34.654341666666667</v>
      </c>
      <c r="C614" s="17">
        <f>AVERAGE(C168:C179)</f>
        <v>34.22208333333333</v>
      </c>
      <c r="D614" s="17"/>
      <c r="E614" s="17">
        <f t="shared" ref="E614:K614" si="13">AVERAGE(E168:E179)</f>
        <v>34.085441666666661</v>
      </c>
      <c r="F614" s="17">
        <f t="shared" si="13"/>
        <v>34.085441666666661</v>
      </c>
      <c r="G614" s="17">
        <f t="shared" si="13"/>
        <v>34.356791666666666</v>
      </c>
      <c r="H614" s="17">
        <f t="shared" si="13"/>
        <v>34.22208333333333</v>
      </c>
      <c r="I614" s="17">
        <f t="shared" si="13"/>
        <v>34.22208333333333</v>
      </c>
      <c r="J614" s="17">
        <f t="shared" si="13"/>
        <v>34.22208333333333</v>
      </c>
      <c r="K614" s="17">
        <f t="shared" si="13"/>
        <v>34.22208333333333</v>
      </c>
      <c r="L614" s="17"/>
    </row>
    <row r="615" spans="1:12" ht="15" x14ac:dyDescent="0.2">
      <c r="A615" s="11">
        <v>2027</v>
      </c>
      <c r="B615" s="17">
        <f>AVERAGE(B180:B191)</f>
        <v>35.465600000000002</v>
      </c>
      <c r="C615" s="17">
        <f>AVERAGE(C180:C191)</f>
        <v>35.033349999999992</v>
      </c>
      <c r="D615" s="17"/>
      <c r="E615" s="17">
        <f t="shared" ref="E615:K615" si="14">AVERAGE(E180:E191)</f>
        <v>34.896691666666662</v>
      </c>
      <c r="F615" s="17">
        <f t="shared" si="14"/>
        <v>34.896691666666662</v>
      </c>
      <c r="G615" s="17">
        <f t="shared" si="14"/>
        <v>35.168058333333335</v>
      </c>
      <c r="H615" s="17">
        <f t="shared" si="14"/>
        <v>35.033349999999992</v>
      </c>
      <c r="I615" s="17">
        <f t="shared" si="14"/>
        <v>35.033349999999992</v>
      </c>
      <c r="J615" s="17">
        <f t="shared" si="14"/>
        <v>35.033349999999992</v>
      </c>
      <c r="K615" s="17">
        <f t="shared" si="14"/>
        <v>35.033349999999992</v>
      </c>
      <c r="L615" s="17"/>
    </row>
    <row r="616" spans="1:12" ht="15" x14ac:dyDescent="0.2">
      <c r="A616" s="11">
        <v>2028</v>
      </c>
      <c r="B616" s="17">
        <f>AVERAGE(B192:B203)</f>
        <v>36.231008333333328</v>
      </c>
      <c r="C616" s="17">
        <f>AVERAGE(C192:C203)</f>
        <v>35.798733333333324</v>
      </c>
      <c r="D616" s="17"/>
      <c r="E616" s="17">
        <f t="shared" ref="E616:K616" si="15">AVERAGE(E192:E203)</f>
        <v>35.662091666666669</v>
      </c>
      <c r="F616" s="17">
        <f t="shared" si="15"/>
        <v>35.662091666666669</v>
      </c>
      <c r="G616" s="17">
        <f t="shared" si="15"/>
        <v>35.933458333333334</v>
      </c>
      <c r="H616" s="17">
        <f t="shared" si="15"/>
        <v>35.798733333333324</v>
      </c>
      <c r="I616" s="17">
        <f t="shared" si="15"/>
        <v>35.798733333333324</v>
      </c>
      <c r="J616" s="17">
        <f t="shared" si="15"/>
        <v>35.798733333333324</v>
      </c>
      <c r="K616" s="17">
        <f t="shared" si="15"/>
        <v>35.798733333333324</v>
      </c>
      <c r="L616" s="17"/>
    </row>
    <row r="617" spans="1:12" ht="15" x14ac:dyDescent="0.2">
      <c r="A617" s="11">
        <v>2029</v>
      </c>
      <c r="B617" s="17">
        <f>AVERAGE(B204:B215)</f>
        <v>37.032908333333332</v>
      </c>
      <c r="C617" s="17">
        <f>AVERAGE(C204:C215)</f>
        <v>36.600666666666662</v>
      </c>
      <c r="D617" s="17"/>
      <c r="E617" s="17">
        <f t="shared" ref="E617:K617" si="16">AVERAGE(E204:E215)</f>
        <v>36.464008333333332</v>
      </c>
      <c r="F617" s="17">
        <f t="shared" si="16"/>
        <v>36.464008333333332</v>
      </c>
      <c r="G617" s="17">
        <f t="shared" si="16"/>
        <v>36.735383333333338</v>
      </c>
      <c r="H617" s="17">
        <f t="shared" si="16"/>
        <v>36.600666666666662</v>
      </c>
      <c r="I617" s="17">
        <f t="shared" si="16"/>
        <v>36.600666666666662</v>
      </c>
      <c r="J617" s="17">
        <f t="shared" si="16"/>
        <v>36.600666666666662</v>
      </c>
      <c r="K617" s="17">
        <f t="shared" si="16"/>
        <v>36.600666666666662</v>
      </c>
      <c r="L617" s="17"/>
    </row>
    <row r="618" spans="1:12" ht="15" x14ac:dyDescent="0.2">
      <c r="A618" s="11">
        <v>2030</v>
      </c>
      <c r="B618" s="17">
        <f>AVERAGE(B216:B227)</f>
        <v>37.739541666666668</v>
      </c>
      <c r="C618" s="17">
        <f>AVERAGE(C216:C227)</f>
        <v>37.307291666666664</v>
      </c>
      <c r="D618" s="17"/>
      <c r="E618" s="17">
        <f t="shared" ref="E618:K618" si="17">AVERAGE(E216:E227)</f>
        <v>37.170641666666661</v>
      </c>
      <c r="F618" s="17">
        <f t="shared" si="17"/>
        <v>37.170641666666661</v>
      </c>
      <c r="G618" s="17">
        <f t="shared" si="17"/>
        <v>37.442</v>
      </c>
      <c r="H618" s="17">
        <f t="shared" si="17"/>
        <v>37.307291666666664</v>
      </c>
      <c r="I618" s="17">
        <f t="shared" si="17"/>
        <v>37.307291666666664</v>
      </c>
      <c r="J618" s="17">
        <f t="shared" si="17"/>
        <v>37.307291666666664</v>
      </c>
      <c r="K618" s="17">
        <f t="shared" si="17"/>
        <v>37.307291666666664</v>
      </c>
      <c r="L618" s="17"/>
    </row>
    <row r="619" spans="1:12" ht="15" x14ac:dyDescent="0.2">
      <c r="A619" s="11">
        <v>2031</v>
      </c>
      <c r="B619" s="17">
        <f>AVERAGE(B228:B239)</f>
        <v>38.521275000000003</v>
      </c>
      <c r="C619" s="17">
        <f>AVERAGE(C228:C239)</f>
        <v>38.089000000000006</v>
      </c>
      <c r="D619" s="17"/>
      <c r="E619" s="17">
        <f t="shared" ref="E619:K619" si="18">AVERAGE(E228:E239)</f>
        <v>37.95236666666667</v>
      </c>
      <c r="F619" s="17">
        <f t="shared" si="18"/>
        <v>37.95236666666667</v>
      </c>
      <c r="G619" s="17">
        <f t="shared" si="18"/>
        <v>38.223699999999987</v>
      </c>
      <c r="H619" s="17">
        <f t="shared" si="18"/>
        <v>38.089000000000006</v>
      </c>
      <c r="I619" s="17">
        <f t="shared" si="18"/>
        <v>38.089000000000006</v>
      </c>
      <c r="J619" s="17">
        <f t="shared" si="18"/>
        <v>38.089000000000006</v>
      </c>
      <c r="K619" s="17">
        <f t="shared" si="18"/>
        <v>38.089000000000006</v>
      </c>
      <c r="L619" s="17"/>
    </row>
    <row r="620" spans="1:12" ht="15" x14ac:dyDescent="0.2">
      <c r="A620" s="11">
        <v>2032</v>
      </c>
      <c r="B620" s="17">
        <f>AVERAGE(B240:B251)</f>
        <v>39.190749999999987</v>
      </c>
      <c r="C620" s="17">
        <f>AVERAGE(C240:C251)</f>
        <v>38.758516666666672</v>
      </c>
      <c r="D620" s="17"/>
      <c r="E620" s="17">
        <f t="shared" ref="E620:K620" si="19">AVERAGE(E240:E251)</f>
        <v>38.621850000000002</v>
      </c>
      <c r="F620" s="17">
        <f t="shared" si="19"/>
        <v>38.621850000000002</v>
      </c>
      <c r="G620" s="17">
        <f t="shared" si="19"/>
        <v>38.893233333333335</v>
      </c>
      <c r="H620" s="17">
        <f t="shared" si="19"/>
        <v>38.758516666666672</v>
      </c>
      <c r="I620" s="17">
        <f t="shared" si="19"/>
        <v>38.758516666666672</v>
      </c>
      <c r="J620" s="17">
        <f t="shared" si="19"/>
        <v>38.758516666666672</v>
      </c>
      <c r="K620" s="17">
        <f t="shared" si="19"/>
        <v>38.758516666666672</v>
      </c>
      <c r="L620" s="17"/>
    </row>
    <row r="621" spans="1:12" ht="15" x14ac:dyDescent="0.2">
      <c r="A621" s="11">
        <v>2033</v>
      </c>
      <c r="B621" s="17">
        <f>AVERAGE(B252:B263)</f>
        <v>39.872616666666666</v>
      </c>
      <c r="C621" s="17">
        <f>AVERAGE(C252:C263)</f>
        <v>39.440391666666663</v>
      </c>
      <c r="D621" s="17"/>
      <c r="E621" s="17">
        <f t="shared" ref="E621:K621" si="20">AVERAGE(E252:E263)</f>
        <v>39.303716666666666</v>
      </c>
      <c r="F621" s="17">
        <f t="shared" si="20"/>
        <v>39.303716666666666</v>
      </c>
      <c r="G621" s="17">
        <f t="shared" si="20"/>
        <v>39.575116666666666</v>
      </c>
      <c r="H621" s="17">
        <f t="shared" si="20"/>
        <v>39.440391666666663</v>
      </c>
      <c r="I621" s="17">
        <f t="shared" si="20"/>
        <v>39.440391666666663</v>
      </c>
      <c r="J621" s="17">
        <f t="shared" si="20"/>
        <v>39.440391666666663</v>
      </c>
      <c r="K621" s="17">
        <f t="shared" si="20"/>
        <v>39.440391666666663</v>
      </c>
      <c r="L621" s="17"/>
    </row>
    <row r="622" spans="1:12" ht="15" x14ac:dyDescent="0.2">
      <c r="A622" s="11">
        <v>2034</v>
      </c>
      <c r="B622" s="17">
        <f>AVERAGE(B264:B275)</f>
        <v>40.56710833333333</v>
      </c>
      <c r="C622" s="17">
        <f>AVERAGE(C264:C275)</f>
        <v>40.13485</v>
      </c>
      <c r="D622" s="17"/>
      <c r="E622" s="17">
        <f t="shared" ref="E622:K622" si="21">AVERAGE(E264:E275)</f>
        <v>39.99819999999999</v>
      </c>
      <c r="F622" s="17">
        <f t="shared" si="21"/>
        <v>39.99819999999999</v>
      </c>
      <c r="G622" s="17">
        <f t="shared" si="21"/>
        <v>40.269566666666663</v>
      </c>
      <c r="H622" s="17">
        <f t="shared" si="21"/>
        <v>40.13485</v>
      </c>
      <c r="I622" s="17">
        <f t="shared" si="21"/>
        <v>40.13485</v>
      </c>
      <c r="J622" s="17">
        <f t="shared" si="21"/>
        <v>40.13485</v>
      </c>
      <c r="K622" s="17">
        <f t="shared" si="21"/>
        <v>40.13485</v>
      </c>
      <c r="L622" s="17"/>
    </row>
    <row r="623" spans="1:12" ht="15" x14ac:dyDescent="0.2">
      <c r="A623" s="11">
        <v>2035</v>
      </c>
      <c r="B623" s="17">
        <f>AVERAGE(B276:B287)</f>
        <v>41.274408333333334</v>
      </c>
      <c r="C623" s="17">
        <f>AVERAGE(C276:C287)</f>
        <v>40.842166666666664</v>
      </c>
      <c r="D623" s="17"/>
      <c r="E623" s="17">
        <f t="shared" ref="E623:K623" si="22">AVERAGE(E276:E287)</f>
        <v>40.705499999999994</v>
      </c>
      <c r="F623" s="17">
        <f t="shared" si="22"/>
        <v>40.705499999999994</v>
      </c>
      <c r="G623" s="17">
        <f t="shared" si="22"/>
        <v>40.976883333333333</v>
      </c>
      <c r="H623" s="17">
        <f t="shared" si="22"/>
        <v>40.842166666666664</v>
      </c>
      <c r="I623" s="17">
        <f t="shared" si="22"/>
        <v>40.842166666666664</v>
      </c>
      <c r="J623" s="17">
        <f t="shared" si="22"/>
        <v>40.842166666666664</v>
      </c>
      <c r="K623" s="17">
        <f t="shared" si="22"/>
        <v>40.842166666666664</v>
      </c>
      <c r="L623" s="17"/>
    </row>
    <row r="624" spans="1:12" ht="15" x14ac:dyDescent="0.2">
      <c r="A624" s="11">
        <v>2036</v>
      </c>
      <c r="B624" s="17">
        <f>AVERAGE(B288:B299)</f>
        <v>41.994808333333332</v>
      </c>
      <c r="C624" s="17">
        <f>AVERAGE(C288:C299)</f>
        <v>41.562541666666668</v>
      </c>
      <c r="D624" s="17"/>
      <c r="E624" s="17">
        <f t="shared" ref="E624:K624" si="23">AVERAGE(E288:E299)</f>
        <v>41.425891666666665</v>
      </c>
      <c r="F624" s="17">
        <f t="shared" si="23"/>
        <v>41.425891666666665</v>
      </c>
      <c r="G624" s="17">
        <f t="shared" si="23"/>
        <v>41.697249999999997</v>
      </c>
      <c r="H624" s="17">
        <f t="shared" si="23"/>
        <v>41.562541666666668</v>
      </c>
      <c r="I624" s="17">
        <f t="shared" si="23"/>
        <v>41.562541666666668</v>
      </c>
      <c r="J624" s="17">
        <f t="shared" si="23"/>
        <v>41.562541666666668</v>
      </c>
      <c r="K624" s="17">
        <f t="shared" si="23"/>
        <v>41.562541666666668</v>
      </c>
      <c r="L624" s="17"/>
    </row>
    <row r="625" spans="1:12" ht="15" x14ac:dyDescent="0.2">
      <c r="A625" s="11">
        <v>2037</v>
      </c>
      <c r="B625" s="17">
        <f>AVERAGE(B300:B311)</f>
        <v>42.728483333333322</v>
      </c>
      <c r="C625" s="17">
        <f>AVERAGE(C300:C311)</f>
        <v>42.29624166666666</v>
      </c>
      <c r="D625" s="17"/>
      <c r="E625" s="17">
        <f t="shared" ref="E625:K625" si="24">AVERAGE(E300:E311)</f>
        <v>42.159566666666663</v>
      </c>
      <c r="F625" s="17">
        <f t="shared" si="24"/>
        <v>42.159566666666663</v>
      </c>
      <c r="G625" s="17">
        <f t="shared" si="24"/>
        <v>42.430950000000003</v>
      </c>
      <c r="H625" s="17">
        <f t="shared" si="24"/>
        <v>42.29624166666666</v>
      </c>
      <c r="I625" s="17">
        <f t="shared" si="24"/>
        <v>42.29624166666666</v>
      </c>
      <c r="J625" s="17">
        <f t="shared" si="24"/>
        <v>42.29624166666666</v>
      </c>
      <c r="K625" s="17">
        <f t="shared" si="24"/>
        <v>42.29624166666666</v>
      </c>
      <c r="L625" s="17"/>
    </row>
    <row r="626" spans="1:12" ht="15" x14ac:dyDescent="0.2">
      <c r="A626" s="11">
        <f t="shared" ref="A626:A649" si="25">A625+1</f>
        <v>2038</v>
      </c>
      <c r="B626" s="17">
        <f>AVERAGE(B312:B323)</f>
        <v>43.475733333333331</v>
      </c>
      <c r="C626" s="17">
        <f>AVERAGE(C312:C323)</f>
        <v>43.043491666666661</v>
      </c>
      <c r="D626" s="17"/>
      <c r="E626" s="17">
        <f t="shared" ref="E626:K626" si="26">AVERAGE(E312:E323)</f>
        <v>42.906816666666664</v>
      </c>
      <c r="F626" s="17">
        <f t="shared" si="26"/>
        <v>42.906816666666664</v>
      </c>
      <c r="G626" s="17">
        <f t="shared" si="26"/>
        <v>43.178208333333338</v>
      </c>
      <c r="H626" s="17">
        <f t="shared" si="26"/>
        <v>43.043491666666661</v>
      </c>
      <c r="I626" s="17">
        <f t="shared" si="26"/>
        <v>43.043491666666661</v>
      </c>
      <c r="J626" s="17">
        <f t="shared" si="26"/>
        <v>43.043491666666661</v>
      </c>
      <c r="K626" s="17">
        <f t="shared" si="26"/>
        <v>43.043491666666661</v>
      </c>
      <c r="L626" s="17"/>
    </row>
    <row r="627" spans="1:12" ht="15" x14ac:dyDescent="0.2">
      <c r="A627" s="11">
        <f t="shared" si="25"/>
        <v>2039</v>
      </c>
      <c r="B627" s="17">
        <f>AVERAGE(B324:B335)</f>
        <v>44.236799999999995</v>
      </c>
      <c r="C627" s="17">
        <f>AVERAGE(C324:C335)</f>
        <v>43.804549999999999</v>
      </c>
      <c r="D627" s="17"/>
      <c r="E627" s="17">
        <f t="shared" ref="E627:K627" si="27">AVERAGE(E324:E335)</f>
        <v>43.667875000000002</v>
      </c>
      <c r="F627" s="17">
        <f t="shared" si="27"/>
        <v>43.667875000000002</v>
      </c>
      <c r="G627" s="17">
        <f t="shared" si="27"/>
        <v>43.939249999999994</v>
      </c>
      <c r="H627" s="17">
        <f t="shared" si="27"/>
        <v>43.804549999999999</v>
      </c>
      <c r="I627" s="17">
        <f t="shared" si="27"/>
        <v>43.804549999999999</v>
      </c>
      <c r="J627" s="17">
        <f t="shared" si="27"/>
        <v>43.804549999999999</v>
      </c>
      <c r="K627" s="17">
        <f t="shared" si="27"/>
        <v>43.804549999999999</v>
      </c>
      <c r="L627" s="17"/>
    </row>
    <row r="628" spans="1:12" ht="15" x14ac:dyDescent="0.2">
      <c r="A628" s="11">
        <f t="shared" si="25"/>
        <v>2040</v>
      </c>
      <c r="B628" s="17">
        <f>AVERAGE(B336:B347)</f>
        <v>45.011924999999998</v>
      </c>
      <c r="C628" s="17">
        <f>AVERAGE(C336:C347)</f>
        <v>44.579650000000008</v>
      </c>
      <c r="D628" s="17"/>
      <c r="E628" s="17">
        <f t="shared" ref="E628:K628" si="28">AVERAGE(E336:E347)</f>
        <v>44.443024999999999</v>
      </c>
      <c r="F628" s="17">
        <f t="shared" si="28"/>
        <v>44.443024999999999</v>
      </c>
      <c r="G628" s="17">
        <f t="shared" si="28"/>
        <v>44.714399999999991</v>
      </c>
      <c r="H628" s="17">
        <f t="shared" si="28"/>
        <v>44.579650000000008</v>
      </c>
      <c r="I628" s="17">
        <f t="shared" si="28"/>
        <v>44.579650000000008</v>
      </c>
      <c r="J628" s="17">
        <f t="shared" si="28"/>
        <v>44.579650000000008</v>
      </c>
      <c r="K628" s="17">
        <f t="shared" si="28"/>
        <v>44.579650000000008</v>
      </c>
      <c r="L628" s="17"/>
    </row>
    <row r="629" spans="1:12" ht="15" x14ac:dyDescent="0.2">
      <c r="A629" s="11">
        <f t="shared" si="25"/>
        <v>2041</v>
      </c>
      <c r="B629" s="17">
        <f>AVERAGE(B348:B359)</f>
        <v>45.801383333333341</v>
      </c>
      <c r="C629" s="17">
        <f>AVERAGE(C348:C359)</f>
        <v>45.369108333333337</v>
      </c>
      <c r="D629" s="17"/>
      <c r="E629" s="17">
        <f t="shared" ref="E629:K629" si="29">AVERAGE(E348:E359)</f>
        <v>45.23246666666666</v>
      </c>
      <c r="F629" s="17">
        <f t="shared" si="29"/>
        <v>45.23246666666666</v>
      </c>
      <c r="G629" s="17">
        <f t="shared" si="29"/>
        <v>45.50383333333334</v>
      </c>
      <c r="H629" s="17">
        <f t="shared" si="29"/>
        <v>45.369108333333337</v>
      </c>
      <c r="I629" s="17">
        <f t="shared" si="29"/>
        <v>45.369108333333337</v>
      </c>
      <c r="J629" s="17">
        <f t="shared" si="29"/>
        <v>45.369108333333337</v>
      </c>
      <c r="K629" s="17">
        <f t="shared" si="29"/>
        <v>45.369108333333337</v>
      </c>
      <c r="L629" s="17"/>
    </row>
    <row r="630" spans="1:12" ht="15" x14ac:dyDescent="0.2">
      <c r="A630" s="11">
        <f t="shared" si="25"/>
        <v>2042</v>
      </c>
      <c r="B630" s="17">
        <f>AVERAGE(B360:B371)</f>
        <v>46.605391666666662</v>
      </c>
      <c r="C630" s="17">
        <f>AVERAGE(C360:C371)</f>
        <v>46.173174999999993</v>
      </c>
      <c r="D630" s="17"/>
      <c r="E630" s="17">
        <f t="shared" ref="E630:K630" si="30">AVERAGE(E360:E371)</f>
        <v>46.03649166666667</v>
      </c>
      <c r="F630" s="17">
        <f t="shared" si="30"/>
        <v>46.03649166666667</v>
      </c>
      <c r="G630" s="17">
        <f t="shared" si="30"/>
        <v>46.307883333333336</v>
      </c>
      <c r="H630" s="17">
        <f t="shared" si="30"/>
        <v>46.173174999999993</v>
      </c>
      <c r="I630" s="17">
        <f t="shared" si="30"/>
        <v>46.173174999999993</v>
      </c>
      <c r="J630" s="17">
        <f t="shared" si="30"/>
        <v>46.173174999999993</v>
      </c>
      <c r="K630" s="17">
        <f t="shared" si="30"/>
        <v>46.173174999999993</v>
      </c>
      <c r="L630" s="17"/>
    </row>
    <row r="631" spans="1:12" ht="15" x14ac:dyDescent="0.2">
      <c r="A631" s="11">
        <f t="shared" si="25"/>
        <v>2043</v>
      </c>
      <c r="B631" s="17">
        <f>AVERAGE(B372:B383)</f>
        <v>47.42431666666667</v>
      </c>
      <c r="C631" s="17">
        <f>AVERAGE(C372:C383)</f>
        <v>46.992058333333325</v>
      </c>
      <c r="D631" s="17"/>
      <c r="E631" s="17">
        <f t="shared" ref="E631:K631" si="31">AVERAGE(E372:E383)</f>
        <v>46.855416666666677</v>
      </c>
      <c r="F631" s="17">
        <f t="shared" si="31"/>
        <v>46.855416666666677</v>
      </c>
      <c r="G631" s="17">
        <f t="shared" si="31"/>
        <v>47.126783333333343</v>
      </c>
      <c r="H631" s="17">
        <f t="shared" si="31"/>
        <v>46.992058333333325</v>
      </c>
      <c r="I631" s="17">
        <f t="shared" si="31"/>
        <v>46.992058333333325</v>
      </c>
      <c r="J631" s="17">
        <f t="shared" si="31"/>
        <v>46.992058333333325</v>
      </c>
      <c r="K631" s="17">
        <f t="shared" si="31"/>
        <v>46.992058333333325</v>
      </c>
      <c r="L631" s="17"/>
    </row>
    <row r="632" spans="1:12" ht="15" x14ac:dyDescent="0.2">
      <c r="A632" s="11">
        <f t="shared" si="25"/>
        <v>2044</v>
      </c>
      <c r="B632" s="17">
        <f>AVERAGE(B384:B395)</f>
        <v>48.258358333333327</v>
      </c>
      <c r="C632" s="17">
        <f>AVERAGE(C384:C395)</f>
        <v>47.826091666666663</v>
      </c>
      <c r="D632" s="17"/>
      <c r="E632" s="17">
        <f t="shared" ref="E632:K632" si="32">AVERAGE(E384:E395)</f>
        <v>47.689450000000001</v>
      </c>
      <c r="F632" s="17">
        <f t="shared" si="32"/>
        <v>47.689450000000001</v>
      </c>
      <c r="G632" s="17">
        <f t="shared" si="32"/>
        <v>47.960816666666666</v>
      </c>
      <c r="H632" s="17">
        <f t="shared" si="32"/>
        <v>47.826091666666663</v>
      </c>
      <c r="I632" s="17">
        <f t="shared" si="32"/>
        <v>47.826091666666663</v>
      </c>
      <c r="J632" s="17">
        <f t="shared" si="32"/>
        <v>47.826091666666663</v>
      </c>
      <c r="K632" s="17">
        <f t="shared" si="32"/>
        <v>47.826091666666663</v>
      </c>
      <c r="L632" s="17"/>
    </row>
    <row r="633" spans="1:12" ht="15" x14ac:dyDescent="0.2">
      <c r="A633" s="11">
        <f t="shared" si="25"/>
        <v>2045</v>
      </c>
      <c r="B633" s="17">
        <f>AVERAGE(B396:B407)</f>
        <v>49.107783333333323</v>
      </c>
      <c r="C633" s="17">
        <f>AVERAGE(C396:C407)</f>
        <v>48.675550000000008</v>
      </c>
      <c r="D633" s="17"/>
      <c r="E633" s="17">
        <f t="shared" ref="E633:K633" si="33">AVERAGE(E396:E407)</f>
        <v>48.538883333333331</v>
      </c>
      <c r="F633" s="17">
        <f t="shared" si="33"/>
        <v>48.538883333333331</v>
      </c>
      <c r="G633" s="17">
        <f t="shared" si="33"/>
        <v>48.810266666666656</v>
      </c>
      <c r="H633" s="17">
        <f t="shared" si="33"/>
        <v>48.675550000000008</v>
      </c>
      <c r="I633" s="17">
        <f t="shared" si="33"/>
        <v>48.675550000000008</v>
      </c>
      <c r="J633" s="17">
        <f t="shared" si="33"/>
        <v>48.675550000000008</v>
      </c>
      <c r="K633" s="17">
        <f t="shared" si="33"/>
        <v>48.675550000000008</v>
      </c>
      <c r="L633" s="17"/>
    </row>
    <row r="634" spans="1:12" ht="15" x14ac:dyDescent="0.2">
      <c r="A634" s="11">
        <f t="shared" si="25"/>
        <v>2046</v>
      </c>
      <c r="B634" s="17">
        <f>AVERAGE(B408:B419)</f>
        <v>49.972933333333337</v>
      </c>
      <c r="C634" s="17">
        <f>AVERAGE(C408:C419)</f>
        <v>49.540699999999994</v>
      </c>
      <c r="D634" s="17"/>
      <c r="E634" s="17">
        <f t="shared" ref="E634:K634" si="34">AVERAGE(E408:E419)</f>
        <v>49.404033333333331</v>
      </c>
      <c r="F634" s="17">
        <f t="shared" si="34"/>
        <v>49.404033333333331</v>
      </c>
      <c r="G634" s="17">
        <f t="shared" si="34"/>
        <v>49.675416666666671</v>
      </c>
      <c r="H634" s="17">
        <f t="shared" si="34"/>
        <v>49.540699999999994</v>
      </c>
      <c r="I634" s="17">
        <f t="shared" si="34"/>
        <v>49.540699999999994</v>
      </c>
      <c r="J634" s="17">
        <f t="shared" si="34"/>
        <v>49.540699999999994</v>
      </c>
      <c r="K634" s="17">
        <f t="shared" si="34"/>
        <v>49.540699999999994</v>
      </c>
      <c r="L634" s="17"/>
    </row>
    <row r="635" spans="1:12" ht="15" x14ac:dyDescent="0.2">
      <c r="A635" s="11">
        <f t="shared" si="25"/>
        <v>2047</v>
      </c>
      <c r="B635" s="17">
        <f>AVERAGE(B420:B431)</f>
        <v>50.854066666666661</v>
      </c>
      <c r="C635" s="17">
        <f>AVERAGE(C420:C431)</f>
        <v>50.421825000000005</v>
      </c>
      <c r="D635" s="17"/>
      <c r="E635" s="17">
        <f t="shared" ref="E635:K635" si="35">AVERAGE(E420:E431)</f>
        <v>50.285166666666662</v>
      </c>
      <c r="F635" s="17">
        <f t="shared" si="35"/>
        <v>50.285166666666662</v>
      </c>
      <c r="G635" s="17">
        <f t="shared" si="35"/>
        <v>50.556549999999994</v>
      </c>
      <c r="H635" s="17">
        <f t="shared" si="35"/>
        <v>50.421825000000005</v>
      </c>
      <c r="I635" s="17">
        <f t="shared" si="35"/>
        <v>50.421825000000005</v>
      </c>
      <c r="J635" s="17">
        <f t="shared" si="35"/>
        <v>50.421825000000005</v>
      </c>
      <c r="K635" s="17">
        <f t="shared" si="35"/>
        <v>50.421825000000005</v>
      </c>
      <c r="L635" s="17"/>
    </row>
    <row r="636" spans="1:12" ht="15" x14ac:dyDescent="0.2">
      <c r="A636" s="11">
        <f t="shared" si="25"/>
        <v>2048</v>
      </c>
      <c r="B636" s="17">
        <f>AVERAGE(B432:B443)</f>
        <v>51.751483333333333</v>
      </c>
      <c r="C636" s="17">
        <f>AVERAGE(C432:C443)</f>
        <v>51.31924166666667</v>
      </c>
      <c r="D636" s="17"/>
      <c r="E636" s="17">
        <f t="shared" ref="E636:K636" si="36">AVERAGE(E432:E443)</f>
        <v>51.182583333333334</v>
      </c>
      <c r="F636" s="17">
        <f t="shared" si="36"/>
        <v>51.182583333333334</v>
      </c>
      <c r="G636" s="17">
        <f t="shared" si="36"/>
        <v>51.453949999999999</v>
      </c>
      <c r="H636" s="17">
        <f t="shared" si="36"/>
        <v>51.31924166666667</v>
      </c>
      <c r="I636" s="17">
        <f t="shared" si="36"/>
        <v>51.31924166666667</v>
      </c>
      <c r="J636" s="17">
        <f t="shared" si="36"/>
        <v>51.31924166666667</v>
      </c>
      <c r="K636" s="17">
        <f t="shared" si="36"/>
        <v>51.31924166666667</v>
      </c>
      <c r="L636" s="17"/>
    </row>
    <row r="637" spans="1:12" ht="15" x14ac:dyDescent="0.2">
      <c r="A637" s="11">
        <f t="shared" si="25"/>
        <v>2049</v>
      </c>
      <c r="B637" s="17">
        <f>AVERAGE(B444:B455)</f>
        <v>52.665500000000002</v>
      </c>
      <c r="C637" s="17">
        <f>AVERAGE(C444:C455)</f>
        <v>52.233241666666665</v>
      </c>
      <c r="D637" s="17"/>
      <c r="E637" s="17">
        <f t="shared" ref="E637:K637" si="37">AVERAGE(E444:E455)</f>
        <v>52.096600000000002</v>
      </c>
      <c r="F637" s="17">
        <f t="shared" si="37"/>
        <v>52.096600000000002</v>
      </c>
      <c r="G637" s="17">
        <f t="shared" si="37"/>
        <v>52.367958333333327</v>
      </c>
      <c r="H637" s="17">
        <f t="shared" si="37"/>
        <v>52.233241666666665</v>
      </c>
      <c r="I637" s="17">
        <f t="shared" si="37"/>
        <v>52.233241666666665</v>
      </c>
      <c r="J637" s="17">
        <f t="shared" si="37"/>
        <v>52.233241666666665</v>
      </c>
      <c r="K637" s="17">
        <f t="shared" si="37"/>
        <v>52.233241666666665</v>
      </c>
      <c r="L637" s="17"/>
    </row>
    <row r="638" spans="1:12" ht="15" x14ac:dyDescent="0.2">
      <c r="A638" s="11">
        <f t="shared" si="25"/>
        <v>2050</v>
      </c>
      <c r="B638" s="17">
        <f>AVERAGE(B456:B467)</f>
        <v>53.596391666666676</v>
      </c>
      <c r="C638" s="17">
        <f>AVERAGE(C456:C467)</f>
        <v>53.164133333333325</v>
      </c>
      <c r="D638" s="17"/>
      <c r="E638" s="17">
        <f t="shared" ref="E638:K638" si="38">AVERAGE(E456:E467)</f>
        <v>53.027483333333329</v>
      </c>
      <c r="F638" s="17">
        <f t="shared" si="38"/>
        <v>53.027483333333329</v>
      </c>
      <c r="G638" s="17">
        <f t="shared" si="38"/>
        <v>53.298875000000002</v>
      </c>
      <c r="H638" s="17">
        <f t="shared" si="38"/>
        <v>53.164133333333325</v>
      </c>
      <c r="I638" s="17">
        <f t="shared" si="38"/>
        <v>53.164133333333325</v>
      </c>
      <c r="J638" s="17">
        <f t="shared" si="38"/>
        <v>53.164133333333325</v>
      </c>
      <c r="K638" s="17">
        <f t="shared" si="38"/>
        <v>53.164133333333325</v>
      </c>
      <c r="L638" s="17"/>
    </row>
    <row r="639" spans="1:12" ht="15" x14ac:dyDescent="0.2">
      <c r="A639" s="11">
        <f t="shared" si="25"/>
        <v>2051</v>
      </c>
      <c r="B639" s="17">
        <f>AVERAGE(B468:B479)</f>
        <v>54.544475000000006</v>
      </c>
      <c r="C639" s="17">
        <f>AVERAGE(C468:C479)</f>
        <v>54.112266666666649</v>
      </c>
      <c r="D639" s="17"/>
      <c r="E639" s="17">
        <f t="shared" ref="E639:K639" si="39">AVERAGE(E468:E479)</f>
        <v>53.975575000000013</v>
      </c>
      <c r="F639" s="17">
        <f t="shared" si="39"/>
        <v>53.975575000000013</v>
      </c>
      <c r="G639" s="17">
        <f t="shared" si="39"/>
        <v>54.246966666666673</v>
      </c>
      <c r="H639" s="17">
        <f t="shared" si="39"/>
        <v>54.112266666666649</v>
      </c>
      <c r="I639" s="17">
        <f t="shared" si="39"/>
        <v>54.112266666666649</v>
      </c>
      <c r="J639" s="17">
        <f t="shared" si="39"/>
        <v>54.112266666666649</v>
      </c>
      <c r="K639" s="17">
        <f t="shared" si="39"/>
        <v>54.112266666666649</v>
      </c>
      <c r="L639" s="17"/>
    </row>
    <row r="640" spans="1:12" ht="15" x14ac:dyDescent="0.2">
      <c r="A640" s="11">
        <f t="shared" si="25"/>
        <v>2052</v>
      </c>
      <c r="B640" s="17">
        <f>AVERAGE(B480:B491)</f>
        <v>55.510100000000001</v>
      </c>
      <c r="C640" s="17">
        <f>AVERAGE(C480:C491)</f>
        <v>55.077858333333324</v>
      </c>
      <c r="D640" s="17"/>
      <c r="E640" s="17">
        <f t="shared" ref="E640:K640" si="40">AVERAGE(E480:E491)</f>
        <v>54.941191666666668</v>
      </c>
      <c r="F640" s="17">
        <f t="shared" si="40"/>
        <v>54.941191666666668</v>
      </c>
      <c r="G640" s="17">
        <f t="shared" si="40"/>
        <v>55.212583333333328</v>
      </c>
      <c r="H640" s="17">
        <f t="shared" si="40"/>
        <v>55.077858333333324</v>
      </c>
      <c r="I640" s="17">
        <f t="shared" si="40"/>
        <v>55.077858333333324</v>
      </c>
      <c r="J640" s="17">
        <f t="shared" si="40"/>
        <v>55.077858333333324</v>
      </c>
      <c r="K640" s="17">
        <f t="shared" si="40"/>
        <v>55.077858333333324</v>
      </c>
      <c r="L640" s="17"/>
    </row>
    <row r="641" spans="1:12" ht="15" x14ac:dyDescent="0.2">
      <c r="A641" s="11">
        <f t="shared" si="25"/>
        <v>2053</v>
      </c>
      <c r="B641" s="17">
        <f>AVERAGE(B492:B503)</f>
        <v>56.493574999999993</v>
      </c>
      <c r="C641" s="17">
        <f>AVERAGE(C492:C503)</f>
        <v>56.061325000000004</v>
      </c>
      <c r="D641" s="17"/>
      <c r="E641" s="17">
        <f t="shared" ref="E641:K641" si="41">AVERAGE(E492:E503)</f>
        <v>55.92466666666666</v>
      </c>
      <c r="F641" s="17">
        <f t="shared" si="41"/>
        <v>55.92466666666666</v>
      </c>
      <c r="G641" s="17">
        <f t="shared" si="41"/>
        <v>56.196024999999992</v>
      </c>
      <c r="H641" s="17">
        <f t="shared" si="41"/>
        <v>56.061325000000004</v>
      </c>
      <c r="I641" s="17">
        <f t="shared" si="41"/>
        <v>56.061325000000004</v>
      </c>
      <c r="J641" s="17">
        <f t="shared" si="41"/>
        <v>56.061325000000004</v>
      </c>
      <c r="K641" s="17">
        <f t="shared" si="41"/>
        <v>56.061325000000004</v>
      </c>
      <c r="L641" s="17"/>
    </row>
    <row r="642" spans="1:12" ht="15" x14ac:dyDescent="0.2">
      <c r="A642" s="11">
        <f t="shared" si="25"/>
        <v>2054</v>
      </c>
      <c r="B642" s="17">
        <f>AVERAGE(B504:B515)</f>
        <v>57.495225000000005</v>
      </c>
      <c r="C642" s="17">
        <f>AVERAGE(C504:C515)</f>
        <v>57.062950000000001</v>
      </c>
      <c r="D642" s="17"/>
      <c r="E642" s="17">
        <f t="shared" ref="E642:K642" si="42">AVERAGE(E504:E515)</f>
        <v>56.926324999999991</v>
      </c>
      <c r="F642" s="17">
        <f t="shared" si="42"/>
        <v>56.926324999999991</v>
      </c>
      <c r="G642" s="17">
        <f t="shared" si="42"/>
        <v>57.197683333333323</v>
      </c>
      <c r="H642" s="17">
        <f t="shared" si="42"/>
        <v>57.062950000000001</v>
      </c>
      <c r="I642" s="17">
        <f t="shared" si="42"/>
        <v>57.062950000000001</v>
      </c>
      <c r="J642" s="17">
        <f t="shared" si="42"/>
        <v>57.062950000000001</v>
      </c>
      <c r="K642" s="17">
        <f t="shared" si="42"/>
        <v>57.062950000000001</v>
      </c>
      <c r="L642" s="17"/>
    </row>
    <row r="643" spans="1:12" ht="15" x14ac:dyDescent="0.2">
      <c r="A643" s="11">
        <f t="shared" si="25"/>
        <v>2055</v>
      </c>
      <c r="B643" s="17">
        <f>AVERAGE(B516:B527)</f>
        <v>58.515375000000006</v>
      </c>
      <c r="C643" s="17">
        <f>AVERAGE(C516:C527)</f>
        <v>58.083116666666655</v>
      </c>
      <c r="D643" s="17"/>
      <c r="E643" s="17">
        <f t="shared" ref="E643:K643" si="43">AVERAGE(E516:E527)</f>
        <v>57.946475000000014</v>
      </c>
      <c r="F643" s="17">
        <f t="shared" si="43"/>
        <v>57.946475000000014</v>
      </c>
      <c r="G643" s="17">
        <f t="shared" si="43"/>
        <v>58.217825000000005</v>
      </c>
      <c r="H643" s="17">
        <f t="shared" si="43"/>
        <v>58.083116666666655</v>
      </c>
      <c r="I643" s="17">
        <f t="shared" si="43"/>
        <v>58.083116666666655</v>
      </c>
      <c r="J643" s="17">
        <f t="shared" si="43"/>
        <v>58.083116666666655</v>
      </c>
      <c r="K643" s="17">
        <f t="shared" si="43"/>
        <v>58.083116666666655</v>
      </c>
      <c r="L643" s="17"/>
    </row>
    <row r="644" spans="1:12" ht="15" x14ac:dyDescent="0.2">
      <c r="A644" s="11">
        <f t="shared" si="25"/>
        <v>2056</v>
      </c>
      <c r="B644" s="17">
        <f>AVERAGE(B528:B539)</f>
        <v>59.554366666666674</v>
      </c>
      <c r="C644" s="17">
        <f>AVERAGE(C528:C539)</f>
        <v>59.122125000000004</v>
      </c>
      <c r="D644" s="17"/>
      <c r="E644" s="17">
        <f t="shared" ref="E644:K644" si="44">AVERAGE(E528:E539)</f>
        <v>58.985466666666674</v>
      </c>
      <c r="F644" s="17">
        <f t="shared" si="44"/>
        <v>58.985466666666674</v>
      </c>
      <c r="G644" s="17">
        <f t="shared" si="44"/>
        <v>59.256833333333333</v>
      </c>
      <c r="H644" s="17">
        <f t="shared" si="44"/>
        <v>59.122125000000004</v>
      </c>
      <c r="I644" s="17">
        <f t="shared" si="44"/>
        <v>59.122125000000004</v>
      </c>
      <c r="J644" s="17">
        <f t="shared" si="44"/>
        <v>59.122125000000004</v>
      </c>
      <c r="K644" s="17">
        <f t="shared" si="44"/>
        <v>59.122125000000004</v>
      </c>
      <c r="L644" s="17"/>
    </row>
    <row r="645" spans="1:12" ht="15" x14ac:dyDescent="0.2">
      <c r="A645" s="11">
        <f t="shared" si="25"/>
        <v>2057</v>
      </c>
      <c r="B645" s="17">
        <f>AVERAGE(B540:B551)</f>
        <v>60.612566666666659</v>
      </c>
      <c r="C645" s="17">
        <f>AVERAGE(C540:C551)</f>
        <v>60.180324999999989</v>
      </c>
      <c r="D645" s="17"/>
      <c r="E645" s="17">
        <f t="shared" ref="E645:K645" si="45">AVERAGE(E540:E551)</f>
        <v>60.043666666666667</v>
      </c>
      <c r="F645" s="17">
        <f t="shared" si="45"/>
        <v>60.043666666666667</v>
      </c>
      <c r="G645" s="17">
        <f t="shared" si="45"/>
        <v>60.315041666666666</v>
      </c>
      <c r="H645" s="17">
        <f t="shared" si="45"/>
        <v>60.180324999999989</v>
      </c>
      <c r="I645" s="17">
        <f t="shared" si="45"/>
        <v>60.180324999999989</v>
      </c>
      <c r="J645" s="17">
        <f t="shared" si="45"/>
        <v>60.180324999999989</v>
      </c>
      <c r="K645" s="17">
        <f t="shared" si="45"/>
        <v>60.180324999999989</v>
      </c>
      <c r="L645" s="17"/>
    </row>
    <row r="646" spans="1:12" ht="15" x14ac:dyDescent="0.2">
      <c r="A646" s="11">
        <f t="shared" si="25"/>
        <v>2058</v>
      </c>
      <c r="B646" s="17">
        <f>AVERAGE(B552:B563)</f>
        <v>61.690333333333335</v>
      </c>
      <c r="C646" s="17">
        <f>AVERAGE(C552:C563)</f>
        <v>61.258099999999992</v>
      </c>
      <c r="D646" s="17"/>
      <c r="E646" s="17">
        <f t="shared" ref="E646:K646" si="46">AVERAGE(E552:E563)</f>
        <v>61.121433333333329</v>
      </c>
      <c r="F646" s="17">
        <f t="shared" si="46"/>
        <v>61.121433333333329</v>
      </c>
      <c r="G646" s="17">
        <f t="shared" si="46"/>
        <v>61.392824999999988</v>
      </c>
      <c r="H646" s="17">
        <f t="shared" si="46"/>
        <v>61.258099999999992</v>
      </c>
      <c r="I646" s="17">
        <f t="shared" si="46"/>
        <v>61.258099999999992</v>
      </c>
      <c r="J646" s="17">
        <f t="shared" si="46"/>
        <v>61.258099999999992</v>
      </c>
      <c r="K646" s="17">
        <f t="shared" si="46"/>
        <v>61.258099999999992</v>
      </c>
      <c r="L646" s="17"/>
    </row>
    <row r="647" spans="1:12" ht="15" x14ac:dyDescent="0.2">
      <c r="A647" s="11">
        <f t="shared" si="25"/>
        <v>2059</v>
      </c>
      <c r="B647" s="17">
        <f>AVERAGE(B564:B575)</f>
        <v>62.788024999999998</v>
      </c>
      <c r="C647" s="17">
        <f>AVERAGE(C564:C575)</f>
        <v>62.355766666666661</v>
      </c>
      <c r="D647" s="17"/>
      <c r="E647" s="17">
        <f t="shared" ref="E647:K647" si="47">AVERAGE(E564:E575)</f>
        <v>62.219116666666672</v>
      </c>
      <c r="F647" s="17">
        <f t="shared" si="47"/>
        <v>62.219116666666672</v>
      </c>
      <c r="G647" s="17">
        <f t="shared" si="47"/>
        <v>62.490474999999982</v>
      </c>
      <c r="H647" s="17">
        <f t="shared" si="47"/>
        <v>62.355766666666661</v>
      </c>
      <c r="I647" s="17">
        <f t="shared" si="47"/>
        <v>62.355766666666661</v>
      </c>
      <c r="J647" s="17">
        <f t="shared" si="47"/>
        <v>62.355766666666661</v>
      </c>
      <c r="K647" s="17">
        <f t="shared" si="47"/>
        <v>62.355766666666661</v>
      </c>
      <c r="L647" s="17"/>
    </row>
    <row r="648" spans="1:12" ht="15" x14ac:dyDescent="0.2">
      <c r="A648" s="11">
        <f t="shared" si="25"/>
        <v>2060</v>
      </c>
      <c r="B648" s="17">
        <f>AVERAGE(B576:B587)</f>
        <v>63.905966666666671</v>
      </c>
      <c r="C648" s="17">
        <f>AVERAGE(C576:C587)</f>
        <v>63.473733333333342</v>
      </c>
      <c r="D648" s="17"/>
      <c r="E648" s="17">
        <f t="shared" ref="E648:K648" si="48">AVERAGE(E576:E587)</f>
        <v>63.337066666666665</v>
      </c>
      <c r="F648" s="17">
        <f t="shared" si="48"/>
        <v>63.337066666666665</v>
      </c>
      <c r="G648" s="17">
        <f t="shared" si="48"/>
        <v>63.608458333333338</v>
      </c>
      <c r="H648" s="17">
        <f t="shared" si="48"/>
        <v>63.473733333333342</v>
      </c>
      <c r="I648" s="17">
        <f t="shared" si="48"/>
        <v>63.473733333333342</v>
      </c>
      <c r="J648" s="17">
        <f t="shared" si="48"/>
        <v>63.473733333333342</v>
      </c>
      <c r="K648" s="17">
        <f t="shared" si="48"/>
        <v>63.473733333333342</v>
      </c>
      <c r="L648" s="17"/>
    </row>
    <row r="649" spans="1:12" ht="15" x14ac:dyDescent="0.2">
      <c r="A649" s="11">
        <f t="shared" si="25"/>
        <v>2061</v>
      </c>
      <c r="B649" s="17">
        <f>AVERAGE(B588:B599)</f>
        <v>65.044608333333329</v>
      </c>
      <c r="C649" s="17">
        <f>AVERAGE(C588:C599)</f>
        <v>64.612375</v>
      </c>
      <c r="D649" s="17"/>
      <c r="E649" s="17">
        <f t="shared" ref="E649:K649" si="49">AVERAGE(E588:E599)</f>
        <v>64.475708333333344</v>
      </c>
      <c r="F649" s="17">
        <f t="shared" si="49"/>
        <v>64.475708333333344</v>
      </c>
      <c r="G649" s="17">
        <f t="shared" si="49"/>
        <v>64.747100000000003</v>
      </c>
      <c r="H649" s="17">
        <f t="shared" si="49"/>
        <v>64.612375</v>
      </c>
      <c r="I649" s="17">
        <f t="shared" si="49"/>
        <v>64.612375</v>
      </c>
      <c r="J649" s="17">
        <f t="shared" si="49"/>
        <v>64.612375</v>
      </c>
      <c r="K649" s="17">
        <f t="shared" si="49"/>
        <v>64.612375</v>
      </c>
      <c r="L649" s="17"/>
    </row>
    <row r="650" spans="1:12" x14ac:dyDescent="0.2">
      <c r="A650" s="8"/>
    </row>
    <row r="651" spans="1:12" x14ac:dyDescent="0.2">
      <c r="A651" s="8"/>
    </row>
    <row r="652" spans="1:12" x14ac:dyDescent="0.2">
      <c r="A652" s="8"/>
    </row>
    <row r="653" spans="1:12" x14ac:dyDescent="0.2">
      <c r="A653" s="8"/>
    </row>
    <row r="654" spans="1:12" x14ac:dyDescent="0.2">
      <c r="A654" s="8"/>
    </row>
    <row r="655" spans="1:12" x14ac:dyDescent="0.2">
      <c r="A655" s="8"/>
    </row>
    <row r="656" spans="1:12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</sheetData>
  <pageMargins left="0.25" right="0.25" top="0.5" bottom="0.5" header="0.25" footer="0.25"/>
  <pageSetup paperSize="5" scale="7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6</xdr:col>
                    <xdr:colOff>104775</xdr:colOff>
                    <xdr:row>7</xdr:row>
                    <xdr:rowOff>85725</xdr:rowOff>
                  </from>
                  <to>
                    <xdr:col>7</xdr:col>
                    <xdr:colOff>104775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7</xdr:col>
                    <xdr:colOff>295275</xdr:colOff>
                    <xdr:row>7</xdr:row>
                    <xdr:rowOff>114300</xdr:rowOff>
                  </from>
                  <to>
                    <xdr:col>8</xdr:col>
                    <xdr:colOff>295275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K708"/>
  <sheetViews>
    <sheetView zoomScale="75" zoomScaleNormal="75" workbookViewId="0">
      <pane xSplit="1" ySplit="11" topLeftCell="B12" activePane="bottomRight" state="frozen"/>
      <selection activeCell="A7" sqref="A7"/>
      <selection pane="topRight" activeCell="A7" sqref="A7"/>
      <selection pane="bottomLeft" activeCell="A7" sqref="A7"/>
      <selection pane="bottomRight" activeCell="B12" sqref="B12"/>
    </sheetView>
  </sheetViews>
  <sheetFormatPr defaultColWidth="7.109375" defaultRowHeight="12.75" x14ac:dyDescent="0.2"/>
  <cols>
    <col min="1" max="1" width="18.44140625" style="33" customWidth="1"/>
    <col min="2" max="3" width="14.5546875" style="33" customWidth="1"/>
    <col min="4" max="4" width="16.88671875" style="33" customWidth="1"/>
    <col min="5" max="5" width="14.5546875" style="33" customWidth="1"/>
    <col min="6" max="6" width="16.77734375" style="33" customWidth="1"/>
    <col min="7" max="9" width="14.5546875" style="33" customWidth="1"/>
    <col min="10" max="10" width="12.21875" style="8" customWidth="1"/>
    <col min="11" max="11" width="9.6640625" style="8" customWidth="1"/>
    <col min="12" max="16384" width="7.109375" style="8"/>
  </cols>
  <sheetData>
    <row r="1" spans="1:10" ht="15.75" x14ac:dyDescent="0.25">
      <c r="A1" s="102" t="s">
        <v>91</v>
      </c>
    </row>
    <row r="2" spans="1:10" ht="15.75" x14ac:dyDescent="0.25">
      <c r="A2" s="102" t="s">
        <v>92</v>
      </c>
    </row>
    <row r="3" spans="1:10" ht="15.75" x14ac:dyDescent="0.25">
      <c r="A3" s="102" t="s">
        <v>93</v>
      </c>
    </row>
    <row r="4" spans="1:10" ht="15.75" x14ac:dyDescent="0.25">
      <c r="A4" s="102" t="s">
        <v>94</v>
      </c>
    </row>
    <row r="5" spans="1:10" ht="15.75" x14ac:dyDescent="0.25">
      <c r="A5" s="102" t="s">
        <v>96</v>
      </c>
    </row>
    <row r="6" spans="1:10" ht="15.75" x14ac:dyDescent="0.25">
      <c r="A6" s="102" t="s">
        <v>99</v>
      </c>
    </row>
    <row r="7" spans="1:10" ht="15.75" x14ac:dyDescent="0.25">
      <c r="A7" s="102"/>
    </row>
    <row r="8" spans="1:10" ht="15.75" x14ac:dyDescent="0.25">
      <c r="A8" s="46" t="s">
        <v>27</v>
      </c>
      <c r="B8" s="47"/>
      <c r="C8" s="41"/>
    </row>
    <row r="9" spans="1:10" ht="15.75" x14ac:dyDescent="0.25">
      <c r="A9" s="46"/>
      <c r="B9" s="41"/>
      <c r="C9" s="41"/>
      <c r="D9" s="40" t="s">
        <v>25</v>
      </c>
      <c r="E9" s="39">
        <f>1-0.278</f>
        <v>0.72199999999999998</v>
      </c>
      <c r="F9" s="40" t="s">
        <v>24</v>
      </c>
      <c r="G9" s="39">
        <v>1.278</v>
      </c>
    </row>
    <row r="10" spans="1:10" s="35" customFormat="1" ht="34.9" customHeight="1" x14ac:dyDescent="0.25">
      <c r="B10" s="38" t="s">
        <v>48</v>
      </c>
      <c r="C10" s="36" t="s">
        <v>47</v>
      </c>
      <c r="D10" s="38" t="s">
        <v>46</v>
      </c>
      <c r="E10" s="36" t="s">
        <v>45</v>
      </c>
      <c r="F10" s="38" t="s">
        <v>44</v>
      </c>
      <c r="G10" s="36" t="s">
        <v>43</v>
      </c>
      <c r="H10" s="36" t="s">
        <v>42</v>
      </c>
      <c r="I10" s="38" t="s">
        <v>41</v>
      </c>
      <c r="J10" s="36" t="s">
        <v>40</v>
      </c>
    </row>
    <row r="11" spans="1:10" s="35" customFormat="1" ht="13.15" customHeight="1" x14ac:dyDescent="0.25">
      <c r="A11" s="37" t="s">
        <v>15</v>
      </c>
      <c r="B11" s="37" t="s">
        <v>14</v>
      </c>
      <c r="C11" s="37" t="s">
        <v>14</v>
      </c>
      <c r="D11" s="37" t="s">
        <v>14</v>
      </c>
      <c r="E11" s="37" t="s">
        <v>14</v>
      </c>
      <c r="F11" s="37" t="s">
        <v>14</v>
      </c>
      <c r="G11" s="37" t="s">
        <v>14</v>
      </c>
      <c r="H11" s="37" t="s">
        <v>14</v>
      </c>
      <c r="I11" s="37" t="s">
        <v>14</v>
      </c>
      <c r="J11" s="37" t="s">
        <v>39</v>
      </c>
    </row>
    <row r="12" spans="1:10" ht="15" x14ac:dyDescent="0.2">
      <c r="A12" s="16">
        <v>41275</v>
      </c>
      <c r="B12" s="17">
        <v>17.5608163872467</v>
      </c>
      <c r="C12" s="17">
        <v>16.672788775099502</v>
      </c>
      <c r="D12" s="17">
        <v>16.664976275099502</v>
      </c>
      <c r="E12" s="17">
        <v>16.664976275099502</v>
      </c>
      <c r="F12" s="17">
        <v>16.6118512750995</v>
      </c>
      <c r="G12" s="17">
        <v>16.6712262750995</v>
      </c>
      <c r="H12" s="17">
        <v>16.6712262750995</v>
      </c>
      <c r="I12" s="17">
        <v>16.672788775099502</v>
      </c>
      <c r="J12" s="44">
        <f>89.51</f>
        <v>89.51</v>
      </c>
    </row>
    <row r="13" spans="1:10" ht="15" x14ac:dyDescent="0.2">
      <c r="A13" s="16">
        <v>41306</v>
      </c>
      <c r="B13" s="17">
        <v>18.601390984020899</v>
      </c>
      <c r="C13" s="17">
        <v>17.285843210583401</v>
      </c>
      <c r="D13" s="17">
        <v>17.278030710583401</v>
      </c>
      <c r="E13" s="17">
        <v>17.278030710583401</v>
      </c>
      <c r="F13" s="17">
        <v>17.2249057105834</v>
      </c>
      <c r="G13" s="17">
        <v>17.284280710583399</v>
      </c>
      <c r="H13" s="17">
        <v>17.284280710583399</v>
      </c>
      <c r="I13" s="17">
        <v>17.285843210583401</v>
      </c>
      <c r="J13" s="44">
        <f>96.24</f>
        <v>96.24</v>
      </c>
    </row>
    <row r="14" spans="1:10" ht="15" x14ac:dyDescent="0.2">
      <c r="A14" s="16">
        <v>41334</v>
      </c>
      <c r="B14" s="17">
        <f>17.9141 * CHOOSE(CONTROL!$C$15, $E$9, 100%, $G$9) + CHOOSE(CONTROL!$C$38, 0.034, 0)</f>
        <v>17.9481</v>
      </c>
      <c r="C14" s="17">
        <f>16.8984 * CHOOSE(CONTROL!$C$15, $E$9, 100%, $G$9) + CHOOSE(CONTROL!$C$38, 0.0342, 0)</f>
        <v>16.932599999999997</v>
      </c>
      <c r="D14" s="17">
        <f>16.8906 * CHOOSE(CONTROL!$C$15, $E$9, 100%, $G$9) + CHOOSE(CONTROL!$C$38, 0.0342, 0)</f>
        <v>16.924799999999998</v>
      </c>
      <c r="E14" s="17">
        <f>16.8906 * CHOOSE(CONTROL!$C$15, $E$9, 100%, $G$9) + CHOOSE(CONTROL!$C$38, 0.0342, 0)</f>
        <v>16.924799999999998</v>
      </c>
      <c r="F14" s="17">
        <f>16.8375 * CHOOSE(CONTROL!$C$15, $E$9, 100%, $G$9) + CHOOSE(CONTROL!$C$38, 0.0342, 0)</f>
        <v>16.871699999999997</v>
      </c>
      <c r="G14" s="17">
        <f>16.8969 * CHOOSE(CONTROL!$C$15, $E$9, 100%, $G$9) + CHOOSE(CONTROL!$C$38, 0.0342, 0)</f>
        <v>16.931099999999997</v>
      </c>
      <c r="H14" s="17">
        <f>16.8969 * CHOOSE(CONTROL!$C$15, $E$9, 100%, $G$9) + CHOOSE(CONTROL!$C$38, 0.0342, 0)</f>
        <v>16.931099999999997</v>
      </c>
      <c r="I14" s="17">
        <f>16.8984 * CHOOSE(CONTROL!$C$15, $E$9, 100%, $G$9) + CHOOSE(CONTROL!$C$38, 0.0342, 0)</f>
        <v>16.932599999999997</v>
      </c>
      <c r="J14" s="44">
        <f>96.17</f>
        <v>96.17</v>
      </c>
    </row>
    <row r="15" spans="1:10" ht="15" x14ac:dyDescent="0.2">
      <c r="A15" s="16">
        <v>41365</v>
      </c>
      <c r="B15" s="17">
        <f>17.7687 * CHOOSE(CONTROL!$C$15, $E$9, 100%, $G$9) + CHOOSE(CONTROL!$C$38, 0.034, 0)</f>
        <v>17.802699999999998</v>
      </c>
      <c r="C15" s="17">
        <f>16.8312 * CHOOSE(CONTROL!$C$15, $E$9, 100%, $G$9) + CHOOSE(CONTROL!$C$38, 0.0342, 0)</f>
        <v>16.865399999999998</v>
      </c>
      <c r="D15" s="17">
        <f>16.8234 * CHOOSE(CONTROL!$C$15, $E$9, 100%, $G$9) + CHOOSE(CONTROL!$C$38, 0.0342, 0)</f>
        <v>16.857599999999998</v>
      </c>
      <c r="E15" s="17">
        <f>16.8234 * CHOOSE(CONTROL!$C$15, $E$9, 100%, $G$9) + CHOOSE(CONTROL!$C$38, 0.0342, 0)</f>
        <v>16.857599999999998</v>
      </c>
      <c r="F15" s="45">
        <f>17.7687 * CHOOSE(CONTROL!$C$15, $E$9, 100%, $G$9) + CHOOSE(CONTROL!$C$38, 0.034, 0)</f>
        <v>17.802699999999998</v>
      </c>
      <c r="G15" s="17">
        <f>16.8297 * CHOOSE(CONTROL!$C$15, $E$9, 100%, $G$9) + CHOOSE(CONTROL!$C$38, 0.0342, 0)</f>
        <v>16.863899999999997</v>
      </c>
      <c r="H15" s="17">
        <f>16.8297 * CHOOSE(CONTROL!$C$15, $E$9, 100%, $G$9) + CHOOSE(CONTROL!$C$38, 0.0342, 0)</f>
        <v>16.863899999999997</v>
      </c>
      <c r="I15" s="17">
        <f>16.8312 * CHOOSE(CONTROL!$C$15, $E$9, 100%, $G$9) + CHOOSE(CONTROL!$C$38, 0.0342, 0)</f>
        <v>16.865399999999998</v>
      </c>
      <c r="J15" s="44">
        <f>96.66</f>
        <v>96.66</v>
      </c>
    </row>
    <row r="16" spans="1:10" ht="15" x14ac:dyDescent="0.2">
      <c r="A16" s="16">
        <v>41395</v>
      </c>
      <c r="B16" s="17">
        <f>17.6281 * CHOOSE(CONTROL!$C$15, $E$9, 100%, $G$9) + CHOOSE(CONTROL!$C$38, 0.0353, 0)</f>
        <v>17.663399999999999</v>
      </c>
      <c r="C16" s="17">
        <f>16.7297 * CHOOSE(CONTROL!$C$15, $E$9, 100%, $G$9) + CHOOSE(CONTROL!$C$38, 0.0354, 0)</f>
        <v>16.7651</v>
      </c>
      <c r="D16" s="17">
        <f>16.7219 * CHOOSE(CONTROL!$C$15, $E$9, 100%, $G$9) + CHOOSE(CONTROL!$C$38, 0.0354, 0)</f>
        <v>16.757300000000001</v>
      </c>
      <c r="E16" s="17">
        <f>16.7219 * CHOOSE(CONTROL!$C$15, $E$9, 100%, $G$9) + CHOOSE(CONTROL!$C$38, 0.0354, 0)</f>
        <v>16.757300000000001</v>
      </c>
      <c r="F16" s="45">
        <f>17.6281 * CHOOSE(CONTROL!$C$15, $E$9, 100%, $G$9) + CHOOSE(CONTROL!$C$38, 0.0353, 0)</f>
        <v>17.663399999999999</v>
      </c>
      <c r="G16" s="17">
        <f>16.7281 * CHOOSE(CONTROL!$C$15, $E$9, 100%, $G$9) + CHOOSE(CONTROL!$C$38, 0.0354, 0)</f>
        <v>16.763500000000001</v>
      </c>
      <c r="H16" s="17">
        <f>16.7281 * CHOOSE(CONTROL!$C$15, $E$9, 100%, $G$9) + CHOOSE(CONTROL!$C$38, 0.0354, 0)</f>
        <v>16.763500000000001</v>
      </c>
      <c r="I16" s="17">
        <f>16.7297 * CHOOSE(CONTROL!$C$15, $E$9, 100%, $G$9) + CHOOSE(CONTROL!$C$38, 0.0354, 0)</f>
        <v>16.7651</v>
      </c>
      <c r="J16" s="44">
        <f>97.1</f>
        <v>97.1</v>
      </c>
    </row>
    <row r="17" spans="1:10" ht="15" x14ac:dyDescent="0.2">
      <c r="A17" s="16">
        <v>41426</v>
      </c>
      <c r="B17" s="17">
        <f>17.4969 * CHOOSE(CONTROL!$C$15, $E$9, 100%, $G$9) + CHOOSE(CONTROL!$C$38, 0.0353, 0)</f>
        <v>17.5322</v>
      </c>
      <c r="C17" s="17">
        <f>16.6375 * CHOOSE(CONTROL!$C$15, $E$9, 100%, $G$9) + CHOOSE(CONTROL!$C$38, 0.0354, 0)</f>
        <v>16.672899999999998</v>
      </c>
      <c r="D17" s="17">
        <f>16.6297 * CHOOSE(CONTROL!$C$15, $E$9, 100%, $G$9) + CHOOSE(CONTROL!$C$38, 0.0354, 0)</f>
        <v>16.665099999999999</v>
      </c>
      <c r="E17" s="17">
        <f>16.6297 * CHOOSE(CONTROL!$C$15, $E$9, 100%, $G$9) + CHOOSE(CONTROL!$C$38, 0.0354, 0)</f>
        <v>16.665099999999999</v>
      </c>
      <c r="F17" s="45">
        <f>17.4969 * CHOOSE(CONTROL!$C$15, $E$9, 100%, $G$9) + CHOOSE(CONTROL!$C$38, 0.0353, 0)</f>
        <v>17.5322</v>
      </c>
      <c r="G17" s="17">
        <f>16.6359 * CHOOSE(CONTROL!$C$15, $E$9, 100%, $G$9) + CHOOSE(CONTROL!$C$38, 0.0354, 0)</f>
        <v>16.671299999999999</v>
      </c>
      <c r="H17" s="17">
        <f>16.6359 * CHOOSE(CONTROL!$C$15, $E$9, 100%, $G$9) + CHOOSE(CONTROL!$C$38, 0.0354, 0)</f>
        <v>16.671299999999999</v>
      </c>
      <c r="I17" s="17">
        <f>16.6375 * CHOOSE(CONTROL!$C$15, $E$9, 100%, $G$9) + CHOOSE(CONTROL!$C$38, 0.0354, 0)</f>
        <v>16.672899999999998</v>
      </c>
      <c r="J17" s="44">
        <f>97.49</f>
        <v>97.49</v>
      </c>
    </row>
    <row r="18" spans="1:10" ht="15" x14ac:dyDescent="0.2">
      <c r="A18" s="16">
        <v>41456</v>
      </c>
      <c r="B18" s="17">
        <f>17.3234 * CHOOSE(CONTROL!$C$15, $E$9, 100%, $G$9) + CHOOSE(CONTROL!$C$38, 0.0353, 0)</f>
        <v>17.358699999999999</v>
      </c>
      <c r="C18" s="17">
        <f>16.4641 * CHOOSE(CONTROL!$C$15, $E$9, 100%, $G$9) + CHOOSE(CONTROL!$C$38, 0.0354, 0)</f>
        <v>16.499499999999998</v>
      </c>
      <c r="D18" s="17">
        <f>16.4563 * CHOOSE(CONTROL!$C$15, $E$9, 100%, $G$9) + CHOOSE(CONTROL!$C$38, 0.0354, 0)</f>
        <v>16.491699999999998</v>
      </c>
      <c r="E18" s="17">
        <f>16.4563 * CHOOSE(CONTROL!$C$15, $E$9, 100%, $G$9) + CHOOSE(CONTROL!$C$38, 0.0354, 0)</f>
        <v>16.491699999999998</v>
      </c>
      <c r="F18" s="45">
        <f>17.3234 * CHOOSE(CONTROL!$C$15, $E$9, 100%, $G$9) + CHOOSE(CONTROL!$C$38, 0.0353, 0)</f>
        <v>17.358699999999999</v>
      </c>
      <c r="G18" s="17">
        <f>16.4625 * CHOOSE(CONTROL!$C$15, $E$9, 100%, $G$9) + CHOOSE(CONTROL!$C$38, 0.0354, 0)</f>
        <v>16.497899999999998</v>
      </c>
      <c r="H18" s="17">
        <f>16.4625 * CHOOSE(CONTROL!$C$15, $E$9, 100%, $G$9) + CHOOSE(CONTROL!$C$38, 0.0354, 0)</f>
        <v>16.497899999999998</v>
      </c>
      <c r="I18" s="17">
        <f>16.4641 * CHOOSE(CONTROL!$C$15, $E$9, 100%, $G$9) + CHOOSE(CONTROL!$C$38, 0.0354, 0)</f>
        <v>16.499499999999998</v>
      </c>
      <c r="J18" s="44">
        <f>97.76</f>
        <v>97.76</v>
      </c>
    </row>
    <row r="19" spans="1:10" ht="15" x14ac:dyDescent="0.2">
      <c r="A19" s="16">
        <v>41487</v>
      </c>
      <c r="B19" s="17">
        <f>17.3234 * CHOOSE(CONTROL!$C$15, $E$9, 100%, $G$9) + CHOOSE(CONTROL!$C$38, 0.0353, 0)</f>
        <v>17.358699999999999</v>
      </c>
      <c r="C19" s="17">
        <f>16.4641 * CHOOSE(CONTROL!$C$15, $E$9, 100%, $G$9) + CHOOSE(CONTROL!$C$38, 0.0354, 0)</f>
        <v>16.499499999999998</v>
      </c>
      <c r="D19" s="17">
        <f>16.4563 * CHOOSE(CONTROL!$C$15, $E$9, 100%, $G$9) + CHOOSE(CONTROL!$C$38, 0.0354, 0)</f>
        <v>16.491699999999998</v>
      </c>
      <c r="E19" s="17">
        <f>16.4563 * CHOOSE(CONTROL!$C$15, $E$9, 100%, $G$9) + CHOOSE(CONTROL!$C$38, 0.0354, 0)</f>
        <v>16.491699999999998</v>
      </c>
      <c r="F19" s="45">
        <f>17.3234 * CHOOSE(CONTROL!$C$15, $E$9, 100%, $G$9) + CHOOSE(CONTROL!$C$38, 0.0353, 0)</f>
        <v>17.358699999999999</v>
      </c>
      <c r="G19" s="17">
        <f>16.4625 * CHOOSE(CONTROL!$C$15, $E$9, 100%, $G$9) + CHOOSE(CONTROL!$C$38, 0.0354, 0)</f>
        <v>16.497899999999998</v>
      </c>
      <c r="H19" s="17">
        <f>16.4625 * CHOOSE(CONTROL!$C$15, $E$9, 100%, $G$9) + CHOOSE(CONTROL!$C$38, 0.0354, 0)</f>
        <v>16.497899999999998</v>
      </c>
      <c r="I19" s="17">
        <f>16.4641 * CHOOSE(CONTROL!$C$15, $E$9, 100%, $G$9) + CHOOSE(CONTROL!$C$38, 0.0354, 0)</f>
        <v>16.499499999999998</v>
      </c>
      <c r="J19" s="44">
        <f>97.83</f>
        <v>97.83</v>
      </c>
    </row>
    <row r="20" spans="1:10" ht="15" x14ac:dyDescent="0.2">
      <c r="A20" s="16">
        <v>41518</v>
      </c>
      <c r="B20" s="17">
        <f>17.3234 * CHOOSE(CONTROL!$C$15, $E$9, 100%, $G$9) + CHOOSE(CONTROL!$C$38, 0.0353, 0)</f>
        <v>17.358699999999999</v>
      </c>
      <c r="C20" s="17">
        <f>16.4641 * CHOOSE(CONTROL!$C$15, $E$9, 100%, $G$9) + CHOOSE(CONTROL!$C$38, 0.0354, 0)</f>
        <v>16.499499999999998</v>
      </c>
      <c r="D20" s="17">
        <f>16.4563 * CHOOSE(CONTROL!$C$15, $E$9, 100%, $G$9) + CHOOSE(CONTROL!$C$38, 0.0354, 0)</f>
        <v>16.491699999999998</v>
      </c>
      <c r="E20" s="17">
        <f>16.4563 * CHOOSE(CONTROL!$C$15, $E$9, 100%, $G$9) + CHOOSE(CONTROL!$C$38, 0.0354, 0)</f>
        <v>16.491699999999998</v>
      </c>
      <c r="F20" s="45">
        <f>17.3234 * CHOOSE(CONTROL!$C$15, $E$9, 100%, $G$9) + CHOOSE(CONTROL!$C$38, 0.0353, 0)</f>
        <v>17.358699999999999</v>
      </c>
      <c r="G20" s="17">
        <f>16.4625 * CHOOSE(CONTROL!$C$15, $E$9, 100%, $G$9) + CHOOSE(CONTROL!$C$38, 0.0354, 0)</f>
        <v>16.497899999999998</v>
      </c>
      <c r="H20" s="17">
        <f>16.4625 * CHOOSE(CONTROL!$C$15, $E$9, 100%, $G$9) + CHOOSE(CONTROL!$C$38, 0.0354, 0)</f>
        <v>16.497899999999998</v>
      </c>
      <c r="I20" s="17">
        <f>16.4641 * CHOOSE(CONTROL!$C$15, $E$9, 100%, $G$9) + CHOOSE(CONTROL!$C$38, 0.0354, 0)</f>
        <v>16.499499999999998</v>
      </c>
      <c r="J20" s="44">
        <f>97.73</f>
        <v>97.73</v>
      </c>
    </row>
    <row r="21" spans="1:10" ht="15" x14ac:dyDescent="0.2">
      <c r="A21" s="16">
        <v>41548</v>
      </c>
      <c r="B21" s="17">
        <f>17.05 * CHOOSE(CONTROL!$C$15, $E$9, 100%, $G$9) + CHOOSE(CONTROL!$C$38, 0.034, 0)</f>
        <v>17.084</v>
      </c>
      <c r="C21" s="17">
        <f>16.1906 * CHOOSE(CONTROL!$C$15, $E$9, 100%, $G$9) + CHOOSE(CONTROL!$C$38, 0.0342, 0)</f>
        <v>16.224799999999998</v>
      </c>
      <c r="D21" s="17">
        <f>16.1828 * CHOOSE(CONTROL!$C$15, $E$9, 100%, $G$9) + CHOOSE(CONTROL!$C$38, 0.0342, 0)</f>
        <v>16.216999999999999</v>
      </c>
      <c r="E21" s="17">
        <f>16.1828 * CHOOSE(CONTROL!$C$15, $E$9, 100%, $G$9) + CHOOSE(CONTROL!$C$38, 0.0342, 0)</f>
        <v>16.216999999999999</v>
      </c>
      <c r="F21" s="45">
        <f>17.05 * CHOOSE(CONTROL!$C$15, $E$9, 100%, $G$9) + CHOOSE(CONTROL!$C$38, 0.034, 0)</f>
        <v>17.084</v>
      </c>
      <c r="G21" s="17">
        <f>16.1891 * CHOOSE(CONTROL!$C$15, $E$9, 100%, $G$9) + CHOOSE(CONTROL!$C$38, 0.0342, 0)</f>
        <v>16.223299999999998</v>
      </c>
      <c r="H21" s="17">
        <f>16.1891 * CHOOSE(CONTROL!$C$15, $E$9, 100%, $G$9) + CHOOSE(CONTROL!$C$38, 0.0342, 0)</f>
        <v>16.223299999999998</v>
      </c>
      <c r="I21" s="17">
        <f>16.1906 * CHOOSE(CONTROL!$C$15, $E$9, 100%, $G$9) + CHOOSE(CONTROL!$C$38, 0.0342, 0)</f>
        <v>16.224799999999998</v>
      </c>
      <c r="J21" s="44">
        <f>97.49</f>
        <v>97.49</v>
      </c>
    </row>
    <row r="22" spans="1:10" ht="15" x14ac:dyDescent="0.2">
      <c r="A22" s="16">
        <v>41579</v>
      </c>
      <c r="B22" s="17">
        <f>17.05 * CHOOSE(CONTROL!$C$15, $E$9, 100%, $G$9) + CHOOSE(CONTROL!$C$38, 0.034, 0)</f>
        <v>17.084</v>
      </c>
      <c r="C22" s="17">
        <f>16.1906 * CHOOSE(CONTROL!$C$15, $E$9, 100%, $G$9) + CHOOSE(CONTROL!$C$38, 0.0342, 0)</f>
        <v>16.224799999999998</v>
      </c>
      <c r="D22" s="17">
        <f>16.1828 * CHOOSE(CONTROL!$C$15, $E$9, 100%, $G$9) + CHOOSE(CONTROL!$C$38, 0.0342, 0)</f>
        <v>16.216999999999999</v>
      </c>
      <c r="E22" s="17">
        <f>16.1828 * CHOOSE(CONTROL!$C$15, $E$9, 100%, $G$9) + CHOOSE(CONTROL!$C$38, 0.0342, 0)</f>
        <v>16.216999999999999</v>
      </c>
      <c r="F22" s="45">
        <f>17.05 * CHOOSE(CONTROL!$C$15, $E$9, 100%, $G$9) + CHOOSE(CONTROL!$C$38, 0.034, 0)</f>
        <v>17.084</v>
      </c>
      <c r="G22" s="17">
        <f>16.1891 * CHOOSE(CONTROL!$C$15, $E$9, 100%, $G$9) + CHOOSE(CONTROL!$C$38, 0.0342, 0)</f>
        <v>16.223299999999998</v>
      </c>
      <c r="H22" s="17">
        <f>16.1891 * CHOOSE(CONTROL!$C$15, $E$9, 100%, $G$9) + CHOOSE(CONTROL!$C$38, 0.0342, 0)</f>
        <v>16.223299999999998</v>
      </c>
      <c r="I22" s="17">
        <f>16.1906 * CHOOSE(CONTROL!$C$15, $E$9, 100%, $G$9) + CHOOSE(CONTROL!$C$38, 0.0342, 0)</f>
        <v>16.224799999999998</v>
      </c>
      <c r="J22" s="44">
        <f>97.19</f>
        <v>97.19</v>
      </c>
    </row>
    <row r="23" spans="1:10" ht="15" x14ac:dyDescent="0.2">
      <c r="A23" s="16">
        <v>41609</v>
      </c>
      <c r="B23" s="17">
        <f>17.05 * CHOOSE(CONTROL!$C$15, $E$9, 100%, $G$9) + CHOOSE(CONTROL!$C$38, 0.034, 0)</f>
        <v>17.084</v>
      </c>
      <c r="C23" s="17">
        <f>16.1906 * CHOOSE(CONTROL!$C$15, $E$9, 100%, $G$9) + CHOOSE(CONTROL!$C$38, 0.0342, 0)</f>
        <v>16.224799999999998</v>
      </c>
      <c r="D23" s="17">
        <f>16.1828 * CHOOSE(CONTROL!$C$15, $E$9, 100%, $G$9) + CHOOSE(CONTROL!$C$38, 0.0342, 0)</f>
        <v>16.216999999999999</v>
      </c>
      <c r="E23" s="17">
        <f>16.1828 * CHOOSE(CONTROL!$C$15, $E$9, 100%, $G$9) + CHOOSE(CONTROL!$C$38, 0.0342, 0)</f>
        <v>16.216999999999999</v>
      </c>
      <c r="F23" s="45">
        <f>17.05 * CHOOSE(CONTROL!$C$15, $E$9, 100%, $G$9) + CHOOSE(CONTROL!$C$38, 0.034, 0)</f>
        <v>17.084</v>
      </c>
      <c r="G23" s="17">
        <f>16.1891 * CHOOSE(CONTROL!$C$15, $E$9, 100%, $G$9) + CHOOSE(CONTROL!$C$38, 0.0342, 0)</f>
        <v>16.223299999999998</v>
      </c>
      <c r="H23" s="17">
        <f>16.1891 * CHOOSE(CONTROL!$C$15, $E$9, 100%, $G$9) + CHOOSE(CONTROL!$C$38, 0.0342, 0)</f>
        <v>16.223299999999998</v>
      </c>
      <c r="I23" s="17">
        <f>16.1906 * CHOOSE(CONTROL!$C$15, $E$9, 100%, $G$9) + CHOOSE(CONTROL!$C$38, 0.0342, 0)</f>
        <v>16.224799999999998</v>
      </c>
      <c r="J23" s="44">
        <f>96.86</f>
        <v>96.86</v>
      </c>
    </row>
    <row r="24" spans="1:10" ht="15" x14ac:dyDescent="0.2">
      <c r="A24" s="16">
        <v>41640</v>
      </c>
      <c r="B24" s="17">
        <f>16.83 * CHOOSE(CONTROL!$C$15, $E$9, 100%, $G$9) + CHOOSE(CONTROL!$C$38, 0.034, 0)</f>
        <v>16.863999999999997</v>
      </c>
      <c r="C24" s="17">
        <f>15.7687 * CHOOSE(CONTROL!$C$15, $E$9, 100%, $G$9) + CHOOSE(CONTROL!$C$38, 0.0342, 0)</f>
        <v>15.802900000000001</v>
      </c>
      <c r="D24" s="17">
        <f>15.7609 * CHOOSE(CONTROL!$C$15, $E$9, 100%, $G$9) + CHOOSE(CONTROL!$C$38, 0.0342, 0)</f>
        <v>15.7951</v>
      </c>
      <c r="E24" s="17">
        <f>15.7609 * CHOOSE(CONTROL!$C$15, $E$9, 100%, $G$9) + CHOOSE(CONTROL!$C$38, 0.0342, 0)</f>
        <v>15.7951</v>
      </c>
      <c r="F24" s="45">
        <f>16.83 * CHOOSE(CONTROL!$C$15, $E$9, 100%, $G$9) + CHOOSE(CONTROL!$C$38, 0.034, 0)</f>
        <v>16.863999999999997</v>
      </c>
      <c r="G24" s="17">
        <f>15.7672 * CHOOSE(CONTROL!$C$15, $E$9, 100%, $G$9) + CHOOSE(CONTROL!$C$38, 0.0342, 0)</f>
        <v>15.801400000000001</v>
      </c>
      <c r="H24" s="17">
        <f>15.7672 * CHOOSE(CONTROL!$C$15, $E$9, 100%, $G$9) + CHOOSE(CONTROL!$C$38, 0.0342, 0)</f>
        <v>15.801400000000001</v>
      </c>
      <c r="I24" s="17">
        <f>15.7687 * CHOOSE(CONTROL!$C$15, $E$9, 100%, $G$9) + CHOOSE(CONTROL!$C$38, 0.0342, 0)</f>
        <v>15.802900000000001</v>
      </c>
      <c r="J24" s="44">
        <f>96.44</f>
        <v>96.44</v>
      </c>
    </row>
    <row r="25" spans="1:10" ht="15" x14ac:dyDescent="0.2">
      <c r="A25" s="16">
        <v>41671</v>
      </c>
      <c r="B25" s="17">
        <f>16.83 * CHOOSE(CONTROL!$C$15, $E$9, 100%, $G$9) + CHOOSE(CONTROL!$C$38, 0.034, 0)</f>
        <v>16.863999999999997</v>
      </c>
      <c r="C25" s="17">
        <f>15.7687 * CHOOSE(CONTROL!$C$15, $E$9, 100%, $G$9) + CHOOSE(CONTROL!$C$38, 0.0342, 0)</f>
        <v>15.802900000000001</v>
      </c>
      <c r="D25" s="17">
        <f>15.7609 * CHOOSE(CONTROL!$C$15, $E$9, 100%, $G$9) + CHOOSE(CONTROL!$C$38, 0.0342, 0)</f>
        <v>15.7951</v>
      </c>
      <c r="E25" s="17">
        <f>15.7609 * CHOOSE(CONTROL!$C$15, $E$9, 100%, $G$9) + CHOOSE(CONTROL!$C$38, 0.0342, 0)</f>
        <v>15.7951</v>
      </c>
      <c r="F25" s="45">
        <f>16.83 * CHOOSE(CONTROL!$C$15, $E$9, 100%, $G$9) + CHOOSE(CONTROL!$C$38, 0.034, 0)</f>
        <v>16.863999999999997</v>
      </c>
      <c r="G25" s="17">
        <f>15.7672 * CHOOSE(CONTROL!$C$15, $E$9, 100%, $G$9) + CHOOSE(CONTROL!$C$38, 0.0342, 0)</f>
        <v>15.801400000000001</v>
      </c>
      <c r="H25" s="17">
        <f>15.7672 * CHOOSE(CONTROL!$C$15, $E$9, 100%, $G$9) + CHOOSE(CONTROL!$C$38, 0.0342, 0)</f>
        <v>15.801400000000001</v>
      </c>
      <c r="I25" s="17">
        <f>15.7687 * CHOOSE(CONTROL!$C$15, $E$9, 100%, $G$9) + CHOOSE(CONTROL!$C$38, 0.0342, 0)</f>
        <v>15.802900000000001</v>
      </c>
      <c r="J25" s="44">
        <f>95.98</f>
        <v>95.98</v>
      </c>
    </row>
    <row r="26" spans="1:10" ht="15" x14ac:dyDescent="0.2">
      <c r="A26" s="16">
        <v>41699</v>
      </c>
      <c r="B26" s="17">
        <f>16.83 * CHOOSE(CONTROL!$C$15, $E$9, 100%, $G$9) + CHOOSE(CONTROL!$C$38, 0.034, 0)</f>
        <v>16.863999999999997</v>
      </c>
      <c r="C26" s="17">
        <f>15.7687 * CHOOSE(CONTROL!$C$15, $E$9, 100%, $G$9) + CHOOSE(CONTROL!$C$38, 0.0342, 0)</f>
        <v>15.802900000000001</v>
      </c>
      <c r="D26" s="17">
        <f>15.7609 * CHOOSE(CONTROL!$C$15, $E$9, 100%, $G$9) + CHOOSE(CONTROL!$C$38, 0.0342, 0)</f>
        <v>15.7951</v>
      </c>
      <c r="E26" s="17">
        <f>15.7609 * CHOOSE(CONTROL!$C$15, $E$9, 100%, $G$9) + CHOOSE(CONTROL!$C$38, 0.0342, 0)</f>
        <v>15.7951</v>
      </c>
      <c r="F26" s="45">
        <f>16.83 * CHOOSE(CONTROL!$C$15, $E$9, 100%, $G$9) + CHOOSE(CONTROL!$C$38, 0.034, 0)</f>
        <v>16.863999999999997</v>
      </c>
      <c r="G26" s="17">
        <f>15.7672 * CHOOSE(CONTROL!$C$15, $E$9, 100%, $G$9) + CHOOSE(CONTROL!$C$38, 0.0342, 0)</f>
        <v>15.801400000000001</v>
      </c>
      <c r="H26" s="17">
        <f>15.7672 * CHOOSE(CONTROL!$C$15, $E$9, 100%, $G$9) + CHOOSE(CONTROL!$C$38, 0.0342, 0)</f>
        <v>15.801400000000001</v>
      </c>
      <c r="I26" s="17">
        <f>15.7687 * CHOOSE(CONTROL!$C$15, $E$9, 100%, $G$9) + CHOOSE(CONTROL!$C$38, 0.0342, 0)</f>
        <v>15.802900000000001</v>
      </c>
      <c r="J26" s="44">
        <f>95.54</f>
        <v>95.54</v>
      </c>
    </row>
    <row r="27" spans="1:10" ht="15" x14ac:dyDescent="0.2">
      <c r="A27" s="16">
        <v>41730</v>
      </c>
      <c r="B27" s="17">
        <f>16.83 * CHOOSE(CONTROL!$C$15, $E$9, 100%, $G$9) + CHOOSE(CONTROL!$C$38, 0.034, 0)</f>
        <v>16.863999999999997</v>
      </c>
      <c r="C27" s="17">
        <f>15.7687 * CHOOSE(CONTROL!$C$15, $E$9, 100%, $G$9) + CHOOSE(CONTROL!$C$38, 0.0342, 0)</f>
        <v>15.802900000000001</v>
      </c>
      <c r="D27" s="17">
        <f>15.7609 * CHOOSE(CONTROL!$C$15, $E$9, 100%, $G$9) + CHOOSE(CONTROL!$C$38, 0.0342, 0)</f>
        <v>15.7951</v>
      </c>
      <c r="E27" s="17">
        <f>15.7609 * CHOOSE(CONTROL!$C$15, $E$9, 100%, $G$9) + CHOOSE(CONTROL!$C$38, 0.0342, 0)</f>
        <v>15.7951</v>
      </c>
      <c r="F27" s="45">
        <f>16.83 * CHOOSE(CONTROL!$C$15, $E$9, 100%, $G$9) + CHOOSE(CONTROL!$C$38, 0.034, 0)</f>
        <v>16.863999999999997</v>
      </c>
      <c r="G27" s="17">
        <f>15.7672 * CHOOSE(CONTROL!$C$15, $E$9, 100%, $G$9) + CHOOSE(CONTROL!$C$38, 0.0342, 0)</f>
        <v>15.801400000000001</v>
      </c>
      <c r="H27" s="17">
        <f>15.7672 * CHOOSE(CONTROL!$C$15, $E$9, 100%, $G$9) + CHOOSE(CONTROL!$C$38, 0.0342, 0)</f>
        <v>15.801400000000001</v>
      </c>
      <c r="I27" s="17">
        <f>15.7687 * CHOOSE(CONTROL!$C$15, $E$9, 100%, $G$9) + CHOOSE(CONTROL!$C$38, 0.0342, 0)</f>
        <v>15.802900000000001</v>
      </c>
      <c r="J27" s="44">
        <f>95.12</f>
        <v>95.12</v>
      </c>
    </row>
    <row r="28" spans="1:10" ht="15" x14ac:dyDescent="0.2">
      <c r="A28" s="16">
        <v>41760</v>
      </c>
      <c r="B28" s="17">
        <f>16.83 * CHOOSE(CONTROL!$C$15, $E$9, 100%, $G$9) + CHOOSE(CONTROL!$C$38, 0.0353, 0)</f>
        <v>16.865299999999998</v>
      </c>
      <c r="C28" s="17">
        <f>15.7687 * CHOOSE(CONTROL!$C$15, $E$9, 100%, $G$9) + CHOOSE(CONTROL!$C$38, 0.0354, 0)</f>
        <v>15.8041</v>
      </c>
      <c r="D28" s="17">
        <f>15.7609 * CHOOSE(CONTROL!$C$15, $E$9, 100%, $G$9) + CHOOSE(CONTROL!$C$38, 0.0354, 0)</f>
        <v>15.796299999999999</v>
      </c>
      <c r="E28" s="17">
        <f>15.7609 * CHOOSE(CONTROL!$C$15, $E$9, 100%, $G$9) + CHOOSE(CONTROL!$C$38, 0.0354, 0)</f>
        <v>15.796299999999999</v>
      </c>
      <c r="F28" s="45">
        <f>16.83 * CHOOSE(CONTROL!$C$15, $E$9, 100%, $G$9) + CHOOSE(CONTROL!$C$38, 0.0353, 0)</f>
        <v>16.865299999999998</v>
      </c>
      <c r="G28" s="17">
        <f>15.7672 * CHOOSE(CONTROL!$C$15, $E$9, 100%, $G$9) + CHOOSE(CONTROL!$C$38, 0.0354, 0)</f>
        <v>15.8026</v>
      </c>
      <c r="H28" s="17">
        <f>15.7672 * CHOOSE(CONTROL!$C$15, $E$9, 100%, $G$9) + CHOOSE(CONTROL!$C$38, 0.0354, 0)</f>
        <v>15.8026</v>
      </c>
      <c r="I28" s="17">
        <f>15.7687 * CHOOSE(CONTROL!$C$15, $E$9, 100%, $G$9) + CHOOSE(CONTROL!$C$38, 0.0354, 0)</f>
        <v>15.8041</v>
      </c>
      <c r="J28" s="44">
        <f>94.72</f>
        <v>94.72</v>
      </c>
    </row>
    <row r="29" spans="1:10" ht="15" x14ac:dyDescent="0.2">
      <c r="A29" s="16">
        <v>41791</v>
      </c>
      <c r="B29" s="17">
        <f>16.83 * CHOOSE(CONTROL!$C$15, $E$9, 100%, $G$9) + CHOOSE(CONTROL!$C$38, 0.0353, 0)</f>
        <v>16.865299999999998</v>
      </c>
      <c r="C29" s="17">
        <f>15.7687 * CHOOSE(CONTROL!$C$15, $E$9, 100%, $G$9) + CHOOSE(CONTROL!$C$38, 0.0354, 0)</f>
        <v>15.8041</v>
      </c>
      <c r="D29" s="17">
        <f>15.7609 * CHOOSE(CONTROL!$C$15, $E$9, 100%, $G$9) + CHOOSE(CONTROL!$C$38, 0.0354, 0)</f>
        <v>15.796299999999999</v>
      </c>
      <c r="E29" s="17">
        <f>15.7609 * CHOOSE(CONTROL!$C$15, $E$9, 100%, $G$9) + CHOOSE(CONTROL!$C$38, 0.0354, 0)</f>
        <v>15.796299999999999</v>
      </c>
      <c r="F29" s="45">
        <f>16.83 * CHOOSE(CONTROL!$C$15, $E$9, 100%, $G$9) + CHOOSE(CONTROL!$C$38, 0.0353, 0)</f>
        <v>16.865299999999998</v>
      </c>
      <c r="G29" s="17">
        <f>15.7672 * CHOOSE(CONTROL!$C$15, $E$9, 100%, $G$9) + CHOOSE(CONTROL!$C$38, 0.0354, 0)</f>
        <v>15.8026</v>
      </c>
      <c r="H29" s="17">
        <f>15.7672 * CHOOSE(CONTROL!$C$15, $E$9, 100%, $G$9) + CHOOSE(CONTROL!$C$38, 0.0354, 0)</f>
        <v>15.8026</v>
      </c>
      <c r="I29" s="17">
        <f>15.7687 * CHOOSE(CONTROL!$C$15, $E$9, 100%, $G$9) + CHOOSE(CONTROL!$C$38, 0.0354, 0)</f>
        <v>15.8041</v>
      </c>
      <c r="J29" s="44">
        <f>94.34</f>
        <v>94.34</v>
      </c>
    </row>
    <row r="30" spans="1:10" ht="15" x14ac:dyDescent="0.2">
      <c r="A30" s="16">
        <v>41821</v>
      </c>
      <c r="B30" s="17">
        <f>16.83 * CHOOSE(CONTROL!$C$15, $E$9, 100%, $G$9) + CHOOSE(CONTROL!$C$38, 0.0353, 0)</f>
        <v>16.865299999999998</v>
      </c>
      <c r="C30" s="17">
        <f>15.7687 * CHOOSE(CONTROL!$C$15, $E$9, 100%, $G$9) + CHOOSE(CONTROL!$C$38, 0.0354, 0)</f>
        <v>15.8041</v>
      </c>
      <c r="D30" s="17">
        <f>15.7609 * CHOOSE(CONTROL!$C$15, $E$9, 100%, $G$9) + CHOOSE(CONTROL!$C$38, 0.0354, 0)</f>
        <v>15.796299999999999</v>
      </c>
      <c r="E30" s="17">
        <f>15.7609 * CHOOSE(CONTROL!$C$15, $E$9, 100%, $G$9) + CHOOSE(CONTROL!$C$38, 0.0354, 0)</f>
        <v>15.796299999999999</v>
      </c>
      <c r="F30" s="45">
        <f>16.83 * CHOOSE(CONTROL!$C$15, $E$9, 100%, $G$9) + CHOOSE(CONTROL!$C$38, 0.0353, 0)</f>
        <v>16.865299999999998</v>
      </c>
      <c r="G30" s="17">
        <f>15.7672 * CHOOSE(CONTROL!$C$15, $E$9, 100%, $G$9) + CHOOSE(CONTROL!$C$38, 0.0354, 0)</f>
        <v>15.8026</v>
      </c>
      <c r="H30" s="17">
        <f>15.7672 * CHOOSE(CONTROL!$C$15, $E$9, 100%, $G$9) + CHOOSE(CONTROL!$C$38, 0.0354, 0)</f>
        <v>15.8026</v>
      </c>
      <c r="I30" s="17">
        <f>15.7687 * CHOOSE(CONTROL!$C$15, $E$9, 100%, $G$9) + CHOOSE(CONTROL!$C$38, 0.0354, 0)</f>
        <v>15.8041</v>
      </c>
      <c r="J30" s="44">
        <f>93.9</f>
        <v>93.9</v>
      </c>
    </row>
    <row r="31" spans="1:10" ht="15" x14ac:dyDescent="0.2">
      <c r="A31" s="16">
        <v>41852</v>
      </c>
      <c r="B31" s="17">
        <f>16.83 * CHOOSE(CONTROL!$C$15, $E$9, 100%, $G$9) + CHOOSE(CONTROL!$C$38, 0.0353, 0)</f>
        <v>16.865299999999998</v>
      </c>
      <c r="C31" s="17">
        <f>15.7687 * CHOOSE(CONTROL!$C$15, $E$9, 100%, $G$9) + CHOOSE(CONTROL!$C$38, 0.0354, 0)</f>
        <v>15.8041</v>
      </c>
      <c r="D31" s="17">
        <f>15.7609 * CHOOSE(CONTROL!$C$15, $E$9, 100%, $G$9) + CHOOSE(CONTROL!$C$38, 0.0354, 0)</f>
        <v>15.796299999999999</v>
      </c>
      <c r="E31" s="17">
        <f>15.7609 * CHOOSE(CONTROL!$C$15, $E$9, 100%, $G$9) + CHOOSE(CONTROL!$C$38, 0.0354, 0)</f>
        <v>15.796299999999999</v>
      </c>
      <c r="F31" s="45">
        <f>16.83 * CHOOSE(CONTROL!$C$15, $E$9, 100%, $G$9) + CHOOSE(CONTROL!$C$38, 0.0353, 0)</f>
        <v>16.865299999999998</v>
      </c>
      <c r="G31" s="17">
        <f>15.7672 * CHOOSE(CONTROL!$C$15, $E$9, 100%, $G$9) + CHOOSE(CONTROL!$C$38, 0.0354, 0)</f>
        <v>15.8026</v>
      </c>
      <c r="H31" s="17">
        <f>15.7672 * CHOOSE(CONTROL!$C$15, $E$9, 100%, $G$9) + CHOOSE(CONTROL!$C$38, 0.0354, 0)</f>
        <v>15.8026</v>
      </c>
      <c r="I31" s="17">
        <f>15.7687 * CHOOSE(CONTROL!$C$15, $E$9, 100%, $G$9) + CHOOSE(CONTROL!$C$38, 0.0354, 0)</f>
        <v>15.8041</v>
      </c>
      <c r="J31" s="44">
        <f>93.49</f>
        <v>93.49</v>
      </c>
    </row>
    <row r="32" spans="1:10" ht="15" x14ac:dyDescent="0.2">
      <c r="A32" s="16">
        <v>41883</v>
      </c>
      <c r="B32" s="17">
        <f>16.83 * CHOOSE(CONTROL!$C$15, $E$9, 100%, $G$9) + CHOOSE(CONTROL!$C$38, 0.0353, 0)</f>
        <v>16.865299999999998</v>
      </c>
      <c r="C32" s="17">
        <f>15.7687 * CHOOSE(CONTROL!$C$15, $E$9, 100%, $G$9) + CHOOSE(CONTROL!$C$38, 0.0354, 0)</f>
        <v>15.8041</v>
      </c>
      <c r="D32" s="17">
        <f>15.7609 * CHOOSE(CONTROL!$C$15, $E$9, 100%, $G$9) + CHOOSE(CONTROL!$C$38, 0.0354, 0)</f>
        <v>15.796299999999999</v>
      </c>
      <c r="E32" s="17">
        <f>15.7609 * CHOOSE(CONTROL!$C$15, $E$9, 100%, $G$9) + CHOOSE(CONTROL!$C$38, 0.0354, 0)</f>
        <v>15.796299999999999</v>
      </c>
      <c r="F32" s="45">
        <f>16.83 * CHOOSE(CONTROL!$C$15, $E$9, 100%, $G$9) + CHOOSE(CONTROL!$C$38, 0.0353, 0)</f>
        <v>16.865299999999998</v>
      </c>
      <c r="G32" s="17">
        <f>15.7672 * CHOOSE(CONTROL!$C$15, $E$9, 100%, $G$9) + CHOOSE(CONTROL!$C$38, 0.0354, 0)</f>
        <v>15.8026</v>
      </c>
      <c r="H32" s="17">
        <f>15.7672 * CHOOSE(CONTROL!$C$15, $E$9, 100%, $G$9) + CHOOSE(CONTROL!$C$38, 0.0354, 0)</f>
        <v>15.8026</v>
      </c>
      <c r="I32" s="17">
        <f>15.7687 * CHOOSE(CONTROL!$C$15, $E$9, 100%, $G$9) + CHOOSE(CONTROL!$C$38, 0.0354, 0)</f>
        <v>15.8041</v>
      </c>
      <c r="J32" s="44">
        <f>93.14</f>
        <v>93.14</v>
      </c>
    </row>
    <row r="33" spans="1:10" ht="15" x14ac:dyDescent="0.2">
      <c r="A33" s="16">
        <v>41913</v>
      </c>
      <c r="B33" s="17">
        <f>16.83 * CHOOSE(CONTROL!$C$15, $E$9, 100%, $G$9) + CHOOSE(CONTROL!$C$38, 0.034, 0)</f>
        <v>16.863999999999997</v>
      </c>
      <c r="C33" s="17">
        <f>15.7687 * CHOOSE(CONTROL!$C$15, $E$9, 100%, $G$9) + CHOOSE(CONTROL!$C$38, 0.0342, 0)</f>
        <v>15.802900000000001</v>
      </c>
      <c r="D33" s="17">
        <f>15.7609 * CHOOSE(CONTROL!$C$15, $E$9, 100%, $G$9) + CHOOSE(CONTROL!$C$38, 0.0342, 0)</f>
        <v>15.7951</v>
      </c>
      <c r="E33" s="17">
        <f>15.7609 * CHOOSE(CONTROL!$C$15, $E$9, 100%, $G$9) + CHOOSE(CONTROL!$C$38, 0.0342, 0)</f>
        <v>15.7951</v>
      </c>
      <c r="F33" s="45">
        <f>16.83 * CHOOSE(CONTROL!$C$15, $E$9, 100%, $G$9) + CHOOSE(CONTROL!$C$38, 0.034, 0)</f>
        <v>16.863999999999997</v>
      </c>
      <c r="G33" s="17">
        <f>15.7672 * CHOOSE(CONTROL!$C$15, $E$9, 100%, $G$9) + CHOOSE(CONTROL!$C$38, 0.0342, 0)</f>
        <v>15.801400000000001</v>
      </c>
      <c r="H33" s="17">
        <f>15.7672 * CHOOSE(CONTROL!$C$15, $E$9, 100%, $G$9) + CHOOSE(CONTROL!$C$38, 0.0342, 0)</f>
        <v>15.801400000000001</v>
      </c>
      <c r="I33" s="17">
        <f>15.7687 * CHOOSE(CONTROL!$C$15, $E$9, 100%, $G$9) + CHOOSE(CONTROL!$C$38, 0.0342, 0)</f>
        <v>15.802900000000001</v>
      </c>
      <c r="J33" s="44">
        <f>92.82</f>
        <v>92.82</v>
      </c>
    </row>
    <row r="34" spans="1:10" ht="15" x14ac:dyDescent="0.2">
      <c r="A34" s="16">
        <v>41944</v>
      </c>
      <c r="B34" s="17">
        <f>16.83 * CHOOSE(CONTROL!$C$15, $E$9, 100%, $G$9) + CHOOSE(CONTROL!$C$38, 0.034, 0)</f>
        <v>16.863999999999997</v>
      </c>
      <c r="C34" s="17">
        <f>15.7687 * CHOOSE(CONTROL!$C$15, $E$9, 100%, $G$9) + CHOOSE(CONTROL!$C$38, 0.0342, 0)</f>
        <v>15.802900000000001</v>
      </c>
      <c r="D34" s="17">
        <f>15.7609 * CHOOSE(CONTROL!$C$15, $E$9, 100%, $G$9) + CHOOSE(CONTROL!$C$38, 0.0342, 0)</f>
        <v>15.7951</v>
      </c>
      <c r="E34" s="17">
        <f>15.7609 * CHOOSE(CONTROL!$C$15, $E$9, 100%, $G$9) + CHOOSE(CONTROL!$C$38, 0.0342, 0)</f>
        <v>15.7951</v>
      </c>
      <c r="F34" s="45">
        <f>16.83 * CHOOSE(CONTROL!$C$15, $E$9, 100%, $G$9) + CHOOSE(CONTROL!$C$38, 0.034, 0)</f>
        <v>16.863999999999997</v>
      </c>
      <c r="G34" s="17">
        <f>15.7672 * CHOOSE(CONTROL!$C$15, $E$9, 100%, $G$9) + CHOOSE(CONTROL!$C$38, 0.0342, 0)</f>
        <v>15.801400000000001</v>
      </c>
      <c r="H34" s="17">
        <f>15.7672 * CHOOSE(CONTROL!$C$15, $E$9, 100%, $G$9) + CHOOSE(CONTROL!$C$38, 0.0342, 0)</f>
        <v>15.801400000000001</v>
      </c>
      <c r="I34" s="17">
        <f>15.7687 * CHOOSE(CONTROL!$C$15, $E$9, 100%, $G$9) + CHOOSE(CONTROL!$C$38, 0.0342, 0)</f>
        <v>15.802900000000001</v>
      </c>
      <c r="J34" s="44">
        <f>92.53</f>
        <v>92.53</v>
      </c>
    </row>
    <row r="35" spans="1:10" ht="15" x14ac:dyDescent="0.2">
      <c r="A35" s="16">
        <v>41974</v>
      </c>
      <c r="B35" s="17">
        <f>16.83 * CHOOSE(CONTROL!$C$15, $E$9, 100%, $G$9) + CHOOSE(CONTROL!$C$38, 0.034, 0)</f>
        <v>16.863999999999997</v>
      </c>
      <c r="C35" s="17">
        <f>15.7687 * CHOOSE(CONTROL!$C$15, $E$9, 100%, $G$9) + CHOOSE(CONTROL!$C$38, 0.0342, 0)</f>
        <v>15.802900000000001</v>
      </c>
      <c r="D35" s="17">
        <f>15.7609 * CHOOSE(CONTROL!$C$15, $E$9, 100%, $G$9) + CHOOSE(CONTROL!$C$38, 0.0342, 0)</f>
        <v>15.7951</v>
      </c>
      <c r="E35" s="17">
        <f>15.7609 * CHOOSE(CONTROL!$C$15, $E$9, 100%, $G$9) + CHOOSE(CONTROL!$C$38, 0.0342, 0)</f>
        <v>15.7951</v>
      </c>
      <c r="F35" s="45">
        <f>16.83 * CHOOSE(CONTROL!$C$15, $E$9, 100%, $G$9) + CHOOSE(CONTROL!$C$38, 0.034, 0)</f>
        <v>16.863999999999997</v>
      </c>
      <c r="G35" s="17">
        <f>15.7672 * CHOOSE(CONTROL!$C$15, $E$9, 100%, $G$9) + CHOOSE(CONTROL!$C$38, 0.0342, 0)</f>
        <v>15.801400000000001</v>
      </c>
      <c r="H35" s="17">
        <f>15.7672 * CHOOSE(CONTROL!$C$15, $E$9, 100%, $G$9) + CHOOSE(CONTROL!$C$38, 0.0342, 0)</f>
        <v>15.801400000000001</v>
      </c>
      <c r="I35" s="17">
        <f>15.7687 * CHOOSE(CONTROL!$C$15, $E$9, 100%, $G$9) + CHOOSE(CONTROL!$C$38, 0.0342, 0)</f>
        <v>15.802900000000001</v>
      </c>
      <c r="J35" s="44">
        <f>92.28</f>
        <v>92.28</v>
      </c>
    </row>
    <row r="36" spans="1:10" ht="15" x14ac:dyDescent="0.2">
      <c r="A36" s="16">
        <v>42005</v>
      </c>
      <c r="B36" s="17">
        <f>16.3574 * CHOOSE(CONTROL!$C$15, $E$9, 100%, $G$9) + CHOOSE(CONTROL!$C$38, 0.034, 0)</f>
        <v>16.391399999999997</v>
      </c>
      <c r="C36" s="17">
        <f>15.4141 * CHOOSE(CONTROL!$C$15, $E$9, 100%, $G$9) + CHOOSE(CONTROL!$C$38, 0.0342, 0)</f>
        <v>15.4483</v>
      </c>
      <c r="D36" s="17">
        <f>15.4062 * CHOOSE(CONTROL!$C$15, $E$9, 100%, $G$9) + CHOOSE(CONTROL!$C$38, 0.0342, 0)</f>
        <v>15.4404</v>
      </c>
      <c r="E36" s="17">
        <f>15.4062 * CHOOSE(CONTROL!$C$15, $E$9, 100%, $G$9) + CHOOSE(CONTROL!$C$38, 0.0342, 0)</f>
        <v>15.4404</v>
      </c>
      <c r="F36" s="45">
        <f>16.3574 * CHOOSE(CONTROL!$C$15, $E$9, 100%, $G$9) + CHOOSE(CONTROL!$C$38, 0.034, 0)</f>
        <v>16.391399999999997</v>
      </c>
      <c r="G36" s="17">
        <f>15.4125 * CHOOSE(CONTROL!$C$15, $E$9, 100%, $G$9) + CHOOSE(CONTROL!$C$38, 0.0342, 0)</f>
        <v>15.4467</v>
      </c>
      <c r="H36" s="17">
        <f>15.4125 * CHOOSE(CONTROL!$C$15, $E$9, 100%, $G$9) + CHOOSE(CONTROL!$C$38, 0.0342, 0)</f>
        <v>15.4467</v>
      </c>
      <c r="I36" s="17">
        <f>15.4141 * CHOOSE(CONTROL!$C$15, $E$9, 100%, $G$9) + CHOOSE(CONTROL!$C$38, 0.0342, 0)</f>
        <v>15.4483</v>
      </c>
      <c r="J36" s="44">
        <f>91.87</f>
        <v>91.87</v>
      </c>
    </row>
    <row r="37" spans="1:10" ht="15" x14ac:dyDescent="0.2">
      <c r="A37" s="16">
        <v>42036</v>
      </c>
      <c r="B37" s="17">
        <f>16.3574 * CHOOSE(CONTROL!$C$15, $E$9, 100%, $G$9) + CHOOSE(CONTROL!$C$38, 0.034, 0)</f>
        <v>16.391399999999997</v>
      </c>
      <c r="C37" s="17">
        <f>15.425 * CHOOSE(CONTROL!$C$15, $E$9, 100%, $G$9) + CHOOSE(CONTROL!$C$38, 0.0342, 0)</f>
        <v>15.459200000000001</v>
      </c>
      <c r="D37" s="17">
        <f>15.4172 * CHOOSE(CONTROL!$C$15, $E$9, 100%, $G$9) + CHOOSE(CONTROL!$C$38, 0.0342, 0)</f>
        <v>15.4514</v>
      </c>
      <c r="E37" s="17">
        <f>15.4172 * CHOOSE(CONTROL!$C$15, $E$9, 100%, $G$9) + CHOOSE(CONTROL!$C$38, 0.0342, 0)</f>
        <v>15.4514</v>
      </c>
      <c r="F37" s="45">
        <f>16.3574 * CHOOSE(CONTROL!$C$15, $E$9, 100%, $G$9) + CHOOSE(CONTROL!$C$38, 0.034, 0)</f>
        <v>16.391399999999997</v>
      </c>
      <c r="G37" s="17">
        <f>15.4234 * CHOOSE(CONTROL!$C$15, $E$9, 100%, $G$9) + CHOOSE(CONTROL!$C$38, 0.0342, 0)</f>
        <v>15.457600000000001</v>
      </c>
      <c r="H37" s="17">
        <f>15.4234 * CHOOSE(CONTROL!$C$15, $E$9, 100%, $G$9) + CHOOSE(CONTROL!$C$38, 0.0342, 0)</f>
        <v>15.457600000000001</v>
      </c>
      <c r="I37" s="17">
        <f>15.425 * CHOOSE(CONTROL!$C$15, $E$9, 100%, $G$9) + CHOOSE(CONTROL!$C$38, 0.0342, 0)</f>
        <v>15.459200000000001</v>
      </c>
      <c r="J37" s="44">
        <f>91.48</f>
        <v>91.48</v>
      </c>
    </row>
    <row r="38" spans="1:10" ht="15" x14ac:dyDescent="0.2">
      <c r="A38" s="16">
        <v>42064</v>
      </c>
      <c r="B38" s="17">
        <f>16.3574 * CHOOSE(CONTROL!$C$15, $E$9, 100%, $G$9) + CHOOSE(CONTROL!$C$38, 0.034, 0)</f>
        <v>16.391399999999997</v>
      </c>
      <c r="C38" s="17">
        <f>15.4375 * CHOOSE(CONTROL!$C$15, $E$9, 100%, $G$9) + CHOOSE(CONTROL!$C$38, 0.0342, 0)</f>
        <v>15.4717</v>
      </c>
      <c r="D38" s="17">
        <f>15.4297 * CHOOSE(CONTROL!$C$15, $E$9, 100%, $G$9) + CHOOSE(CONTROL!$C$38, 0.0342, 0)</f>
        <v>15.463900000000001</v>
      </c>
      <c r="E38" s="17">
        <f>15.4297 * CHOOSE(CONTROL!$C$15, $E$9, 100%, $G$9) + CHOOSE(CONTROL!$C$38, 0.0342, 0)</f>
        <v>15.463900000000001</v>
      </c>
      <c r="F38" s="45">
        <f>16.3574 * CHOOSE(CONTROL!$C$15, $E$9, 100%, $G$9) + CHOOSE(CONTROL!$C$38, 0.034, 0)</f>
        <v>16.391399999999997</v>
      </c>
      <c r="G38" s="17">
        <f>15.4359 * CHOOSE(CONTROL!$C$15, $E$9, 100%, $G$9) + CHOOSE(CONTROL!$C$38, 0.0342, 0)</f>
        <v>15.4701</v>
      </c>
      <c r="H38" s="17">
        <f>15.4359 * CHOOSE(CONTROL!$C$15, $E$9, 100%, $G$9) + CHOOSE(CONTROL!$C$38, 0.0342, 0)</f>
        <v>15.4701</v>
      </c>
      <c r="I38" s="17">
        <f>15.4375 * CHOOSE(CONTROL!$C$15, $E$9, 100%, $G$9) + CHOOSE(CONTROL!$C$38, 0.0342, 0)</f>
        <v>15.4717</v>
      </c>
      <c r="J38" s="44">
        <f>91.12</f>
        <v>91.12</v>
      </c>
    </row>
    <row r="39" spans="1:10" ht="15" x14ac:dyDescent="0.2">
      <c r="A39" s="16">
        <v>42095</v>
      </c>
      <c r="B39" s="17">
        <f>16.3574 * CHOOSE(CONTROL!$C$15, $E$9, 100%, $G$9) + CHOOSE(CONTROL!$C$38, 0.034, 0)</f>
        <v>16.391399999999997</v>
      </c>
      <c r="C39" s="17">
        <f>15.5039 * CHOOSE(CONTROL!$C$15, $E$9, 100%, $G$9) + CHOOSE(CONTROL!$C$38, 0.0342, 0)</f>
        <v>15.5381</v>
      </c>
      <c r="D39" s="17">
        <f>15.4961 * CHOOSE(CONTROL!$C$15, $E$9, 100%, $G$9) + CHOOSE(CONTROL!$C$38, 0.0342, 0)</f>
        <v>15.5303</v>
      </c>
      <c r="E39" s="17">
        <f>15.4961 * CHOOSE(CONTROL!$C$15, $E$9, 100%, $G$9) + CHOOSE(CONTROL!$C$38, 0.0342, 0)</f>
        <v>15.5303</v>
      </c>
      <c r="F39" s="45">
        <f>16.3574 * CHOOSE(CONTROL!$C$15, $E$9, 100%, $G$9) + CHOOSE(CONTROL!$C$38, 0.034, 0)</f>
        <v>16.391399999999997</v>
      </c>
      <c r="G39" s="17">
        <f>15.5023 * CHOOSE(CONTROL!$C$15, $E$9, 100%, $G$9) + CHOOSE(CONTROL!$C$38, 0.0342, 0)</f>
        <v>15.5365</v>
      </c>
      <c r="H39" s="17">
        <f>15.5023 * CHOOSE(CONTROL!$C$15, $E$9, 100%, $G$9) + CHOOSE(CONTROL!$C$38, 0.0342, 0)</f>
        <v>15.5365</v>
      </c>
      <c r="I39" s="17">
        <f>15.5039 * CHOOSE(CONTROL!$C$15, $E$9, 100%, $G$9) + CHOOSE(CONTROL!$C$38, 0.0342, 0)</f>
        <v>15.5381</v>
      </c>
      <c r="J39" s="44">
        <f>90.78</f>
        <v>90.78</v>
      </c>
    </row>
    <row r="40" spans="1:10" ht="15" x14ac:dyDescent="0.2">
      <c r="A40" s="16">
        <v>42125</v>
      </c>
      <c r="B40" s="17">
        <f>16.3574 * CHOOSE(CONTROL!$C$15, $E$9, 100%, $G$9) + CHOOSE(CONTROL!$C$38, 0.0353, 0)</f>
        <v>16.392699999999998</v>
      </c>
      <c r="C40" s="17">
        <f>15.4198 * CHOOSE(CONTROL!$C$15, $E$9, 100%, $G$9) + CHOOSE(CONTROL!$C$38, 0.0354, 0)</f>
        <v>15.4552</v>
      </c>
      <c r="D40" s="17">
        <f>15.412 * CHOOSE(CONTROL!$C$15, $E$9, 100%, $G$9) + CHOOSE(CONTROL!$C$38, 0.0354, 0)</f>
        <v>15.4474</v>
      </c>
      <c r="E40" s="17">
        <f>15.412 * CHOOSE(CONTROL!$C$15, $E$9, 100%, $G$9) + CHOOSE(CONTROL!$C$38, 0.0354, 0)</f>
        <v>15.4474</v>
      </c>
      <c r="F40" s="45">
        <f>16.3574 * CHOOSE(CONTROL!$C$15, $E$9, 100%, $G$9) + CHOOSE(CONTROL!$C$38, 0.0353, 0)</f>
        <v>16.392699999999998</v>
      </c>
      <c r="G40" s="17">
        <f>15.4183 * CHOOSE(CONTROL!$C$15, $E$9, 100%, $G$9) + CHOOSE(CONTROL!$C$38, 0.0354, 0)</f>
        <v>15.4537</v>
      </c>
      <c r="H40" s="17">
        <f>15.4183 * CHOOSE(CONTROL!$C$15, $E$9, 100%, $G$9) + CHOOSE(CONTROL!$C$38, 0.0354, 0)</f>
        <v>15.4537</v>
      </c>
      <c r="I40" s="17">
        <f>15.4198 * CHOOSE(CONTROL!$C$15, $E$9, 100%, $G$9) + CHOOSE(CONTROL!$C$38, 0.0354, 0)</f>
        <v>15.4552</v>
      </c>
      <c r="J40" s="44">
        <f>90.46</f>
        <v>90.46</v>
      </c>
    </row>
    <row r="41" spans="1:10" ht="15" x14ac:dyDescent="0.2">
      <c r="A41" s="16">
        <v>42156</v>
      </c>
      <c r="B41" s="17">
        <f>16.3574 * CHOOSE(CONTROL!$C$15, $E$9, 100%, $G$9) + CHOOSE(CONTROL!$C$38, 0.0353, 0)</f>
        <v>16.392699999999998</v>
      </c>
      <c r="C41" s="17">
        <f>15.3416 * CHOOSE(CONTROL!$C$15, $E$9, 100%, $G$9) + CHOOSE(CONTROL!$C$38, 0.0354, 0)</f>
        <v>15.376999999999999</v>
      </c>
      <c r="D41" s="17">
        <f>15.3338 * CHOOSE(CONTROL!$C$15, $E$9, 100%, $G$9) + CHOOSE(CONTROL!$C$38, 0.0354, 0)</f>
        <v>15.369199999999999</v>
      </c>
      <c r="E41" s="17">
        <f>15.3338 * CHOOSE(CONTROL!$C$15, $E$9, 100%, $G$9) + CHOOSE(CONTROL!$C$38, 0.0354, 0)</f>
        <v>15.369199999999999</v>
      </c>
      <c r="F41" s="45">
        <f>16.3574 * CHOOSE(CONTROL!$C$15, $E$9, 100%, $G$9) + CHOOSE(CONTROL!$C$38, 0.0353, 0)</f>
        <v>16.392699999999998</v>
      </c>
      <c r="G41" s="17">
        <f>15.3401 * CHOOSE(CONTROL!$C$15, $E$9, 100%, $G$9) + CHOOSE(CONTROL!$C$38, 0.0354, 0)</f>
        <v>15.375499999999999</v>
      </c>
      <c r="H41" s="17">
        <f>15.3401 * CHOOSE(CONTROL!$C$15, $E$9, 100%, $G$9) + CHOOSE(CONTROL!$C$38, 0.0354, 0)</f>
        <v>15.375499999999999</v>
      </c>
      <c r="I41" s="17">
        <f>15.3416 * CHOOSE(CONTROL!$C$15, $E$9, 100%, $G$9) + CHOOSE(CONTROL!$C$38, 0.0354, 0)</f>
        <v>15.376999999999999</v>
      </c>
      <c r="J41" s="44">
        <f>90.15</f>
        <v>90.15</v>
      </c>
    </row>
    <row r="42" spans="1:10" ht="15" x14ac:dyDescent="0.2">
      <c r="A42" s="16">
        <v>42186</v>
      </c>
      <c r="B42" s="17">
        <f>16.3574 * CHOOSE(CONTROL!$C$15, $E$9, 100%, $G$9) + CHOOSE(CONTROL!$C$38, 0.0353, 0)</f>
        <v>16.392699999999998</v>
      </c>
      <c r="C42" s="17">
        <f>15.197 * CHOOSE(CONTROL!$C$15, $E$9, 100%, $G$9) + CHOOSE(CONTROL!$C$38, 0.0354, 0)</f>
        <v>15.232399999999998</v>
      </c>
      <c r="D42" s="17">
        <f>15.1891 * CHOOSE(CONTROL!$C$15, $E$9, 100%, $G$9) + CHOOSE(CONTROL!$C$38, 0.0354, 0)</f>
        <v>15.224499999999999</v>
      </c>
      <c r="E42" s="17">
        <f>15.1891 * CHOOSE(CONTROL!$C$15, $E$9, 100%, $G$9) + CHOOSE(CONTROL!$C$38, 0.0354, 0)</f>
        <v>15.224499999999999</v>
      </c>
      <c r="F42" s="45">
        <f>16.3574 * CHOOSE(CONTROL!$C$15, $E$9, 100%, $G$9) + CHOOSE(CONTROL!$C$38, 0.0353, 0)</f>
        <v>16.392699999999998</v>
      </c>
      <c r="G42" s="17">
        <f>15.1954 * CHOOSE(CONTROL!$C$15, $E$9, 100%, $G$9) + CHOOSE(CONTROL!$C$38, 0.0354, 0)</f>
        <v>15.230799999999999</v>
      </c>
      <c r="H42" s="17">
        <f>15.1954 * CHOOSE(CONTROL!$C$15, $E$9, 100%, $G$9) + CHOOSE(CONTROL!$C$38, 0.0354, 0)</f>
        <v>15.230799999999999</v>
      </c>
      <c r="I42" s="17">
        <f>15.197 * CHOOSE(CONTROL!$C$15, $E$9, 100%, $G$9) + CHOOSE(CONTROL!$C$38, 0.0354, 0)</f>
        <v>15.232399999999998</v>
      </c>
      <c r="J42" s="44">
        <f>89.83</f>
        <v>89.83</v>
      </c>
    </row>
    <row r="43" spans="1:10" ht="15" x14ac:dyDescent="0.2">
      <c r="A43" s="16">
        <v>42217</v>
      </c>
      <c r="B43" s="17">
        <f>16.3574 * CHOOSE(CONTROL!$C$15, $E$9, 100%, $G$9) + CHOOSE(CONTROL!$C$38, 0.0353, 0)</f>
        <v>16.392699999999998</v>
      </c>
      <c r="C43" s="17">
        <f>15.2157 * CHOOSE(CONTROL!$C$15, $E$9, 100%, $G$9) + CHOOSE(CONTROL!$C$38, 0.0354, 0)</f>
        <v>15.251099999999999</v>
      </c>
      <c r="D43" s="17">
        <f>15.2079 * CHOOSE(CONTROL!$C$15, $E$9, 100%, $G$9) + CHOOSE(CONTROL!$C$38, 0.0354, 0)</f>
        <v>15.2433</v>
      </c>
      <c r="E43" s="17">
        <f>15.2079 * CHOOSE(CONTROL!$C$15, $E$9, 100%, $G$9) + CHOOSE(CONTROL!$C$38, 0.0354, 0)</f>
        <v>15.2433</v>
      </c>
      <c r="F43" s="45">
        <f>16.3574 * CHOOSE(CONTROL!$C$15, $E$9, 100%, $G$9) + CHOOSE(CONTROL!$C$38, 0.0353, 0)</f>
        <v>16.392699999999998</v>
      </c>
      <c r="G43" s="17">
        <f>15.2141 * CHOOSE(CONTROL!$C$15, $E$9, 100%, $G$9) + CHOOSE(CONTROL!$C$38, 0.0354, 0)</f>
        <v>15.249499999999999</v>
      </c>
      <c r="H43" s="17">
        <f>15.2141 * CHOOSE(CONTROL!$C$15, $E$9, 100%, $G$9) + CHOOSE(CONTROL!$C$38, 0.0354, 0)</f>
        <v>15.249499999999999</v>
      </c>
      <c r="I43" s="17">
        <f>15.2157 * CHOOSE(CONTROL!$C$15, $E$9, 100%, $G$9) + CHOOSE(CONTROL!$C$38, 0.0354, 0)</f>
        <v>15.251099999999999</v>
      </c>
      <c r="J43" s="44">
        <f>89.54</f>
        <v>89.54</v>
      </c>
    </row>
    <row r="44" spans="1:10" ht="15" x14ac:dyDescent="0.2">
      <c r="A44" s="16">
        <v>42248</v>
      </c>
      <c r="B44" s="17">
        <f>16.3574 * CHOOSE(CONTROL!$C$15, $E$9, 100%, $G$9) + CHOOSE(CONTROL!$C$38, 0.0353, 0)</f>
        <v>16.392699999999998</v>
      </c>
      <c r="C44" s="17">
        <f>15.2298 * CHOOSE(CONTROL!$C$15, $E$9, 100%, $G$9) + CHOOSE(CONTROL!$C$38, 0.0354, 0)</f>
        <v>15.265199999999998</v>
      </c>
      <c r="D44" s="17">
        <f>15.222 * CHOOSE(CONTROL!$C$15, $E$9, 100%, $G$9) + CHOOSE(CONTROL!$C$38, 0.0354, 0)</f>
        <v>15.257399999999999</v>
      </c>
      <c r="E44" s="17">
        <f>15.222 * CHOOSE(CONTROL!$C$15, $E$9, 100%, $G$9) + CHOOSE(CONTROL!$C$38, 0.0354, 0)</f>
        <v>15.257399999999999</v>
      </c>
      <c r="F44" s="45">
        <f>16.3574 * CHOOSE(CONTROL!$C$15, $E$9, 100%, $G$9) + CHOOSE(CONTROL!$C$38, 0.0353, 0)</f>
        <v>16.392699999999998</v>
      </c>
      <c r="G44" s="17">
        <f>15.2282 * CHOOSE(CONTROL!$C$15, $E$9, 100%, $G$9) + CHOOSE(CONTROL!$C$38, 0.0354, 0)</f>
        <v>15.263599999999999</v>
      </c>
      <c r="H44" s="17">
        <f>15.2282 * CHOOSE(CONTROL!$C$15, $E$9, 100%, $G$9) + CHOOSE(CONTROL!$C$38, 0.0354, 0)</f>
        <v>15.263599999999999</v>
      </c>
      <c r="I44" s="17">
        <f>15.2298 * CHOOSE(CONTROL!$C$15, $E$9, 100%, $G$9) + CHOOSE(CONTROL!$C$38, 0.0354, 0)</f>
        <v>15.265199999999998</v>
      </c>
      <c r="J44" s="44">
        <f>89.28</f>
        <v>89.28</v>
      </c>
    </row>
    <row r="45" spans="1:10" ht="15" x14ac:dyDescent="0.2">
      <c r="A45" s="16">
        <v>42278</v>
      </c>
      <c r="B45" s="17">
        <f>16.3574 * CHOOSE(CONTROL!$C$15, $E$9, 100%, $G$9) + CHOOSE(CONTROL!$C$38, 0.034, 0)</f>
        <v>16.391399999999997</v>
      </c>
      <c r="C45" s="17">
        <f>14.9807 * CHOOSE(CONTROL!$C$15, $E$9, 100%, $G$9) + CHOOSE(CONTROL!$C$38, 0.0342, 0)</f>
        <v>15.014900000000001</v>
      </c>
      <c r="D45" s="17">
        <f>14.9729 * CHOOSE(CONTROL!$C$15, $E$9, 100%, $G$9) + CHOOSE(CONTROL!$C$38, 0.0342, 0)</f>
        <v>15.007099999999999</v>
      </c>
      <c r="E45" s="17">
        <f>14.9729 * CHOOSE(CONTROL!$C$15, $E$9, 100%, $G$9) + CHOOSE(CONTROL!$C$38, 0.0342, 0)</f>
        <v>15.007099999999999</v>
      </c>
      <c r="F45" s="45">
        <f>16.3574 * CHOOSE(CONTROL!$C$15, $E$9, 100%, $G$9) + CHOOSE(CONTROL!$C$38, 0.034, 0)</f>
        <v>16.391399999999997</v>
      </c>
      <c r="G45" s="17">
        <f>14.9792 * CHOOSE(CONTROL!$C$15, $E$9, 100%, $G$9) + CHOOSE(CONTROL!$C$38, 0.0342, 0)</f>
        <v>15.013400000000001</v>
      </c>
      <c r="H45" s="17">
        <f>14.9792 * CHOOSE(CONTROL!$C$15, $E$9, 100%, $G$9) + CHOOSE(CONTROL!$C$38, 0.0342, 0)</f>
        <v>15.013400000000001</v>
      </c>
      <c r="I45" s="17">
        <f>14.9807 * CHOOSE(CONTROL!$C$15, $E$9, 100%, $G$9) + CHOOSE(CONTROL!$C$38, 0.0342, 0)</f>
        <v>15.014900000000001</v>
      </c>
      <c r="J45" s="44">
        <f>89.03</f>
        <v>89.03</v>
      </c>
    </row>
    <row r="46" spans="1:10" ht="15" x14ac:dyDescent="0.2">
      <c r="A46" s="16">
        <v>42309</v>
      </c>
      <c r="B46" s="17">
        <f>16.3574 * CHOOSE(CONTROL!$C$15, $E$9, 100%, $G$9) + CHOOSE(CONTROL!$C$38, 0.034, 0)</f>
        <v>16.391399999999997</v>
      </c>
      <c r="C46" s="17">
        <f>14.912 * CHOOSE(CONTROL!$C$15, $E$9, 100%, $G$9) + CHOOSE(CONTROL!$C$38, 0.0342, 0)</f>
        <v>14.946200000000001</v>
      </c>
      <c r="D46" s="17">
        <f>14.9042 * CHOOSE(CONTROL!$C$15, $E$9, 100%, $G$9) + CHOOSE(CONTROL!$C$38, 0.0342, 0)</f>
        <v>14.9384</v>
      </c>
      <c r="E46" s="17">
        <f>14.9042 * CHOOSE(CONTROL!$C$15, $E$9, 100%, $G$9) + CHOOSE(CONTROL!$C$38, 0.0342, 0)</f>
        <v>14.9384</v>
      </c>
      <c r="F46" s="45">
        <f>16.3574 * CHOOSE(CONTROL!$C$15, $E$9, 100%, $G$9) + CHOOSE(CONTROL!$C$38, 0.034, 0)</f>
        <v>16.391399999999997</v>
      </c>
      <c r="G46" s="17">
        <f>14.9104 * CHOOSE(CONTROL!$C$15, $E$9, 100%, $G$9) + CHOOSE(CONTROL!$C$38, 0.0342, 0)</f>
        <v>14.944599999999999</v>
      </c>
      <c r="H46" s="17">
        <f>14.9104 * CHOOSE(CONTROL!$C$15, $E$9, 100%, $G$9) + CHOOSE(CONTROL!$C$38, 0.0342, 0)</f>
        <v>14.944599999999999</v>
      </c>
      <c r="I46" s="17">
        <f>14.912 * CHOOSE(CONTROL!$C$15, $E$9, 100%, $G$9) + CHOOSE(CONTROL!$C$38, 0.0342, 0)</f>
        <v>14.946200000000001</v>
      </c>
      <c r="J46" s="44">
        <f>88.8</f>
        <v>88.8</v>
      </c>
    </row>
    <row r="47" spans="1:10" ht="15" x14ac:dyDescent="0.2">
      <c r="A47" s="16">
        <v>42339</v>
      </c>
      <c r="B47" s="17">
        <f>16.3574 * CHOOSE(CONTROL!$C$15, $E$9, 100%, $G$9) + CHOOSE(CONTROL!$C$38, 0.034, 0)</f>
        <v>16.391399999999997</v>
      </c>
      <c r="C47" s="17">
        <f>14.9182 * CHOOSE(CONTROL!$C$15, $E$9, 100%, $G$9) + CHOOSE(CONTROL!$C$38, 0.0342, 0)</f>
        <v>14.952400000000001</v>
      </c>
      <c r="D47" s="17">
        <f>14.9104 * CHOOSE(CONTROL!$C$15, $E$9, 100%, $G$9) + CHOOSE(CONTROL!$C$38, 0.0342, 0)</f>
        <v>14.944599999999999</v>
      </c>
      <c r="E47" s="17">
        <f>14.9104 * CHOOSE(CONTROL!$C$15, $E$9, 100%, $G$9) + CHOOSE(CONTROL!$C$38, 0.0342, 0)</f>
        <v>14.944599999999999</v>
      </c>
      <c r="F47" s="45">
        <f>16.3574 * CHOOSE(CONTROL!$C$15, $E$9, 100%, $G$9) + CHOOSE(CONTROL!$C$38, 0.034, 0)</f>
        <v>16.391399999999997</v>
      </c>
      <c r="G47" s="17">
        <f>14.9167 * CHOOSE(CONTROL!$C$15, $E$9, 100%, $G$9) + CHOOSE(CONTROL!$C$38, 0.0342, 0)</f>
        <v>14.950900000000001</v>
      </c>
      <c r="H47" s="17">
        <f>14.9167 * CHOOSE(CONTROL!$C$15, $E$9, 100%, $G$9) + CHOOSE(CONTROL!$C$38, 0.0342, 0)</f>
        <v>14.950900000000001</v>
      </c>
      <c r="I47" s="17">
        <f>14.9182 * CHOOSE(CONTROL!$C$15, $E$9, 100%, $G$9) + CHOOSE(CONTROL!$C$38, 0.0342, 0)</f>
        <v>14.952400000000001</v>
      </c>
      <c r="J47" s="44">
        <f>88.59</f>
        <v>88.59</v>
      </c>
    </row>
    <row r="48" spans="1:10" ht="15" x14ac:dyDescent="0.2">
      <c r="A48" s="16">
        <v>42370</v>
      </c>
      <c r="B48" s="17">
        <f>17.2985 * CHOOSE(CONTROL!$C$15, $E$9, 100%, $G$9) + CHOOSE(CONTROL!$C$38, 0.034, 0)</f>
        <v>17.3325</v>
      </c>
      <c r="C48" s="17">
        <f>16.4645 * CHOOSE(CONTROL!$C$15, $E$9, 100%, $G$9) + CHOOSE(CONTROL!$C$38, 0.0342, 0)</f>
        <v>16.498699999999999</v>
      </c>
      <c r="D48" s="17">
        <f>16.4566 * CHOOSE(CONTROL!$C$15, $E$9, 100%, $G$9) + CHOOSE(CONTROL!$C$38, 0.0342, 0)</f>
        <v>16.4908</v>
      </c>
      <c r="E48" s="17">
        <f>16.4566 * CHOOSE(CONTROL!$C$15, $E$9, 100%, $G$9) + CHOOSE(CONTROL!$C$38, 0.0342, 0)</f>
        <v>16.4908</v>
      </c>
      <c r="F48" s="45">
        <f>17.2985 * CHOOSE(CONTROL!$C$15, $E$9, 100%, $G$9) + CHOOSE(CONTROL!$C$38, 0.034, 0)</f>
        <v>17.3325</v>
      </c>
      <c r="G48" s="17">
        <f>16.4629 * CHOOSE(CONTROL!$C$15, $E$9, 100%, $G$9) + CHOOSE(CONTROL!$C$38, 0.0342, 0)</f>
        <v>16.4971</v>
      </c>
      <c r="H48" s="17">
        <f>16.4629 * CHOOSE(CONTROL!$C$15, $E$9, 100%, $G$9) + CHOOSE(CONTROL!$C$38, 0.0342, 0)</f>
        <v>16.4971</v>
      </c>
      <c r="I48" s="17">
        <f>16.4645 * CHOOSE(CONTROL!$C$15, $E$9, 100%, $G$9) + CHOOSE(CONTROL!$C$38, 0.0342, 0)</f>
        <v>16.498699999999999</v>
      </c>
      <c r="J48" s="44">
        <f>87.7827</f>
        <v>87.782700000000006</v>
      </c>
    </row>
    <row r="49" spans="1:10" ht="15" x14ac:dyDescent="0.2">
      <c r="A49" s="16">
        <v>42401</v>
      </c>
      <c r="B49" s="17">
        <f>17.5741 * CHOOSE(CONTROL!$C$15, $E$9, 100%, $G$9) + CHOOSE(CONTROL!$C$38, 0.034, 0)</f>
        <v>17.6081</v>
      </c>
      <c r="C49" s="17">
        <f>16.7386 * CHOOSE(CONTROL!$C$15, $E$9, 100%, $G$9) + CHOOSE(CONTROL!$C$38, 0.0342, 0)</f>
        <v>16.7728</v>
      </c>
      <c r="D49" s="17">
        <f>16.7308 * CHOOSE(CONTROL!$C$15, $E$9, 100%, $G$9) + CHOOSE(CONTROL!$C$38, 0.0342, 0)</f>
        <v>16.764999999999997</v>
      </c>
      <c r="E49" s="17">
        <f>16.7308 * CHOOSE(CONTROL!$C$15, $E$9, 100%, $G$9) + CHOOSE(CONTROL!$C$38, 0.0342, 0)</f>
        <v>16.764999999999997</v>
      </c>
      <c r="F49" s="45">
        <f>17.5741 * CHOOSE(CONTROL!$C$15, $E$9, 100%, $G$9) + CHOOSE(CONTROL!$C$38, 0.034, 0)</f>
        <v>17.6081</v>
      </c>
      <c r="G49" s="17">
        <f>16.737 * CHOOSE(CONTROL!$C$15, $E$9, 100%, $G$9) + CHOOSE(CONTROL!$C$38, 0.0342, 0)</f>
        <v>16.771199999999997</v>
      </c>
      <c r="H49" s="17">
        <f>16.737 * CHOOSE(CONTROL!$C$15, $E$9, 100%, $G$9) + CHOOSE(CONTROL!$C$38, 0.0342, 0)</f>
        <v>16.771199999999997</v>
      </c>
      <c r="I49" s="17">
        <f>16.7386 * CHOOSE(CONTROL!$C$15, $E$9, 100%, $G$9) + CHOOSE(CONTROL!$C$38, 0.0342, 0)</f>
        <v>16.7728</v>
      </c>
      <c r="J49" s="44">
        <f>87.719</f>
        <v>87.718999999999994</v>
      </c>
    </row>
    <row r="50" spans="1:10" ht="15" x14ac:dyDescent="0.2">
      <c r="A50" s="16">
        <v>42430</v>
      </c>
      <c r="B50" s="17">
        <f>17.0495 * CHOOSE(CONTROL!$C$15, $E$9, 100%, $G$9) + CHOOSE(CONTROL!$C$38, 0.034, 0)</f>
        <v>17.083499999999997</v>
      </c>
      <c r="C50" s="17">
        <f>16.2127 * CHOOSE(CONTROL!$C$15, $E$9, 100%, $G$9) + CHOOSE(CONTROL!$C$38, 0.0342, 0)</f>
        <v>16.2469</v>
      </c>
      <c r="D50" s="17">
        <f>16.2049 * CHOOSE(CONTROL!$C$15, $E$9, 100%, $G$9) + CHOOSE(CONTROL!$C$38, 0.0342, 0)</f>
        <v>16.239099999999997</v>
      </c>
      <c r="E50" s="17">
        <f>16.2049 * CHOOSE(CONTROL!$C$15, $E$9, 100%, $G$9) + CHOOSE(CONTROL!$C$38, 0.0342, 0)</f>
        <v>16.239099999999997</v>
      </c>
      <c r="F50" s="45">
        <f>17.0495 * CHOOSE(CONTROL!$C$15, $E$9, 100%, $G$9) + CHOOSE(CONTROL!$C$38, 0.034, 0)</f>
        <v>17.083499999999997</v>
      </c>
      <c r="G50" s="17">
        <f>16.2111 * CHOOSE(CONTROL!$C$15, $E$9, 100%, $G$9) + CHOOSE(CONTROL!$C$38, 0.0342, 0)</f>
        <v>16.245299999999997</v>
      </c>
      <c r="H50" s="17">
        <f>16.2111 * CHOOSE(CONTROL!$C$15, $E$9, 100%, $G$9) + CHOOSE(CONTROL!$C$38, 0.0342, 0)</f>
        <v>16.245299999999997</v>
      </c>
      <c r="I50" s="17">
        <f>16.2127 * CHOOSE(CONTROL!$C$15, $E$9, 100%, $G$9) + CHOOSE(CONTROL!$C$38, 0.0342, 0)</f>
        <v>16.2469</v>
      </c>
      <c r="J50" s="44">
        <f>92.5325</f>
        <v>92.532499999999999</v>
      </c>
    </row>
    <row r="51" spans="1:10" ht="15" x14ac:dyDescent="0.2">
      <c r="A51" s="16">
        <v>42461</v>
      </c>
      <c r="B51" s="17">
        <f>16.5401 * CHOOSE(CONTROL!$C$15, $E$9, 100%, $G$9) + CHOOSE(CONTROL!$C$38, 0.034, 0)</f>
        <v>16.574099999999998</v>
      </c>
      <c r="C51" s="17">
        <f>15.7019 * CHOOSE(CONTROL!$C$15, $E$9, 100%, $G$9) + CHOOSE(CONTROL!$C$38, 0.0342, 0)</f>
        <v>15.7361</v>
      </c>
      <c r="D51" s="17">
        <f>15.6941 * CHOOSE(CONTROL!$C$15, $E$9, 100%, $G$9) + CHOOSE(CONTROL!$C$38, 0.0342, 0)</f>
        <v>15.728300000000001</v>
      </c>
      <c r="E51" s="17">
        <f>15.6941 * CHOOSE(CONTROL!$C$15, $E$9, 100%, $G$9) + CHOOSE(CONTROL!$C$38, 0.0342, 0)</f>
        <v>15.728300000000001</v>
      </c>
      <c r="F51" s="45">
        <f>16.5401 * CHOOSE(CONTROL!$C$15, $E$9, 100%, $G$9) + CHOOSE(CONTROL!$C$38, 0.034, 0)</f>
        <v>16.574099999999998</v>
      </c>
      <c r="G51" s="17">
        <f>15.7003 * CHOOSE(CONTROL!$C$15, $E$9, 100%, $G$9) + CHOOSE(CONTROL!$C$38, 0.0342, 0)</f>
        <v>15.734500000000001</v>
      </c>
      <c r="H51" s="17">
        <f>15.7003 * CHOOSE(CONTROL!$C$15, $E$9, 100%, $G$9) + CHOOSE(CONTROL!$C$38, 0.0342, 0)</f>
        <v>15.734500000000001</v>
      </c>
      <c r="I51" s="17">
        <f>15.7019 * CHOOSE(CONTROL!$C$15, $E$9, 100%, $G$9) + CHOOSE(CONTROL!$C$38, 0.0342, 0)</f>
        <v>15.7361</v>
      </c>
      <c r="J51" s="44">
        <f>98.7432</f>
        <v>98.743200000000002</v>
      </c>
    </row>
    <row r="52" spans="1:10" ht="15" x14ac:dyDescent="0.2">
      <c r="A52" s="16">
        <v>42491</v>
      </c>
      <c r="B52" s="17">
        <f>16.0056 * CHOOSE(CONTROL!$C$15, $E$9, 100%, $G$9) + CHOOSE(CONTROL!$C$38, 0.0353, 0)</f>
        <v>16.040900000000001</v>
      </c>
      <c r="C52" s="17">
        <f>15.1659 * CHOOSE(CONTROL!$C$15, $E$9, 100%, $G$9) + CHOOSE(CONTROL!$C$38, 0.0354, 0)</f>
        <v>15.2013</v>
      </c>
      <c r="D52" s="17">
        <f>15.1581 * CHOOSE(CONTROL!$C$15, $E$9, 100%, $G$9) + CHOOSE(CONTROL!$C$38, 0.0354, 0)</f>
        <v>15.193499999999998</v>
      </c>
      <c r="E52" s="17">
        <f>15.1581 * CHOOSE(CONTROL!$C$15, $E$9, 100%, $G$9) + CHOOSE(CONTROL!$C$38, 0.0354, 0)</f>
        <v>15.193499999999998</v>
      </c>
      <c r="F52" s="45">
        <f>16.0056 * CHOOSE(CONTROL!$C$15, $E$9, 100%, $G$9) + CHOOSE(CONTROL!$C$38, 0.0353, 0)</f>
        <v>16.040900000000001</v>
      </c>
      <c r="G52" s="17">
        <f>15.1644 * CHOOSE(CONTROL!$C$15, $E$9, 100%, $G$9) + CHOOSE(CONTROL!$C$38, 0.0354, 0)</f>
        <v>15.1998</v>
      </c>
      <c r="H52" s="17">
        <f>15.1644 * CHOOSE(CONTROL!$C$15, $E$9, 100%, $G$9) + CHOOSE(CONTROL!$C$38, 0.0354, 0)</f>
        <v>15.1998</v>
      </c>
      <c r="I52" s="17">
        <f>15.1659 * CHOOSE(CONTROL!$C$15, $E$9, 100%, $G$9) + CHOOSE(CONTROL!$C$38, 0.0354, 0)</f>
        <v>15.2013</v>
      </c>
      <c r="J52" s="44">
        <f>102.267</f>
        <v>102.267</v>
      </c>
    </row>
    <row r="53" spans="1:10" ht="15" x14ac:dyDescent="0.2">
      <c r="A53" s="16">
        <v>42522</v>
      </c>
      <c r="B53" s="17">
        <f>15.6387 * CHOOSE(CONTROL!$C$15, $E$9, 100%, $G$9) + CHOOSE(CONTROL!$C$38, 0.0353, 0)</f>
        <v>15.673999999999999</v>
      </c>
      <c r="C53" s="17">
        <f>14.7977 * CHOOSE(CONTROL!$C$15, $E$9, 100%, $G$9) + CHOOSE(CONTROL!$C$38, 0.0354, 0)</f>
        <v>14.8331</v>
      </c>
      <c r="D53" s="17">
        <f>14.7898 * CHOOSE(CONTROL!$C$15, $E$9, 100%, $G$9) + CHOOSE(CONTROL!$C$38, 0.0354, 0)</f>
        <v>14.825199999999999</v>
      </c>
      <c r="E53" s="17">
        <f>14.7898 * CHOOSE(CONTROL!$C$15, $E$9, 100%, $G$9) + CHOOSE(CONTROL!$C$38, 0.0354, 0)</f>
        <v>14.825199999999999</v>
      </c>
      <c r="F53" s="45">
        <f>15.6387 * CHOOSE(CONTROL!$C$15, $E$9, 100%, $G$9) + CHOOSE(CONTROL!$C$38, 0.0353, 0)</f>
        <v>15.673999999999999</v>
      </c>
      <c r="G53" s="17">
        <f>14.7961 * CHOOSE(CONTROL!$C$15, $E$9, 100%, $G$9) + CHOOSE(CONTROL!$C$38, 0.0354, 0)</f>
        <v>14.831499999999998</v>
      </c>
      <c r="H53" s="17">
        <f>14.7961 * CHOOSE(CONTROL!$C$15, $E$9, 100%, $G$9) + CHOOSE(CONTROL!$C$38, 0.0354, 0)</f>
        <v>14.831499999999998</v>
      </c>
      <c r="I53" s="17">
        <f>14.7977 * CHOOSE(CONTROL!$C$15, $E$9, 100%, $G$9) + CHOOSE(CONTROL!$C$38, 0.0354, 0)</f>
        <v>14.8331</v>
      </c>
      <c r="J53" s="44">
        <f>103.9542</f>
        <v>103.9542</v>
      </c>
    </row>
    <row r="54" spans="1:10" ht="15" x14ac:dyDescent="0.2">
      <c r="A54" s="16">
        <v>42552</v>
      </c>
      <c r="B54" s="17">
        <f>15.4417 * CHOOSE(CONTROL!$C$15, $E$9, 100%, $G$9) + CHOOSE(CONTROL!$C$38, 0.0353, 0)</f>
        <v>15.477</v>
      </c>
      <c r="C54" s="17">
        <f>14.5993 * CHOOSE(CONTROL!$C$15, $E$9, 100%, $G$9) + CHOOSE(CONTROL!$C$38, 0.0354, 0)</f>
        <v>14.634699999999999</v>
      </c>
      <c r="D54" s="17">
        <f>14.5915 * CHOOSE(CONTROL!$C$15, $E$9, 100%, $G$9) + CHOOSE(CONTROL!$C$38, 0.0354, 0)</f>
        <v>14.626899999999999</v>
      </c>
      <c r="E54" s="17">
        <f>14.5915 * CHOOSE(CONTROL!$C$15, $E$9, 100%, $G$9) + CHOOSE(CONTROL!$C$38, 0.0354, 0)</f>
        <v>14.626899999999999</v>
      </c>
      <c r="F54" s="45">
        <f>15.4417 * CHOOSE(CONTROL!$C$15, $E$9, 100%, $G$9) + CHOOSE(CONTROL!$C$38, 0.0353, 0)</f>
        <v>15.477</v>
      </c>
      <c r="G54" s="17">
        <f>14.5977 * CHOOSE(CONTROL!$C$15, $E$9, 100%, $G$9) + CHOOSE(CONTROL!$C$38, 0.0354, 0)</f>
        <v>14.633099999999999</v>
      </c>
      <c r="H54" s="17">
        <f>14.5977 * CHOOSE(CONTROL!$C$15, $E$9, 100%, $G$9) + CHOOSE(CONTROL!$C$38, 0.0354, 0)</f>
        <v>14.633099999999999</v>
      </c>
      <c r="I54" s="17">
        <f>14.5993 * CHOOSE(CONTROL!$C$15, $E$9, 100%, $G$9) + CHOOSE(CONTROL!$C$38, 0.0354, 0)</f>
        <v>14.634699999999999</v>
      </c>
      <c r="J54" s="44">
        <f>103.6812</f>
        <v>103.6812</v>
      </c>
    </row>
    <row r="55" spans="1:10" ht="15" x14ac:dyDescent="0.2">
      <c r="A55" s="16">
        <v>42583</v>
      </c>
      <c r="B55" s="17">
        <f>15.585 * CHOOSE(CONTROL!$C$15, $E$9, 100%, $G$9) + CHOOSE(CONTROL!$C$38, 0.0353, 0)</f>
        <v>15.6203</v>
      </c>
      <c r="C55" s="17">
        <f>14.7411 * CHOOSE(CONTROL!$C$15, $E$9, 100%, $G$9) + CHOOSE(CONTROL!$C$38, 0.0354, 0)</f>
        <v>14.776499999999999</v>
      </c>
      <c r="D55" s="17">
        <f>14.7333 * CHOOSE(CONTROL!$C$15, $E$9, 100%, $G$9) + CHOOSE(CONTROL!$C$38, 0.0354, 0)</f>
        <v>14.768699999999999</v>
      </c>
      <c r="E55" s="17">
        <f>14.7333 * CHOOSE(CONTROL!$C$15, $E$9, 100%, $G$9) + CHOOSE(CONTROL!$C$38, 0.0354, 0)</f>
        <v>14.768699999999999</v>
      </c>
      <c r="F55" s="45">
        <f>15.585 * CHOOSE(CONTROL!$C$15, $E$9, 100%, $G$9) + CHOOSE(CONTROL!$C$38, 0.0353, 0)</f>
        <v>15.6203</v>
      </c>
      <c r="G55" s="17">
        <f>14.7395 * CHOOSE(CONTROL!$C$15, $E$9, 100%, $G$9) + CHOOSE(CONTROL!$C$38, 0.0354, 0)</f>
        <v>14.774899999999999</v>
      </c>
      <c r="H55" s="17">
        <f>14.7395 * CHOOSE(CONTROL!$C$15, $E$9, 100%, $G$9) + CHOOSE(CONTROL!$C$38, 0.0354, 0)</f>
        <v>14.774899999999999</v>
      </c>
      <c r="I55" s="17">
        <f>14.7411 * CHOOSE(CONTROL!$C$15, $E$9, 100%, $G$9) + CHOOSE(CONTROL!$C$38, 0.0354, 0)</f>
        <v>14.776499999999999</v>
      </c>
      <c r="J55" s="44">
        <f>101.4761</f>
        <v>101.4761</v>
      </c>
    </row>
    <row r="56" spans="1:10" ht="15" x14ac:dyDescent="0.2">
      <c r="A56" s="16">
        <v>42614</v>
      </c>
      <c r="B56" s="17">
        <f>15.9226 * CHOOSE(CONTROL!$C$15, $E$9, 100%, $G$9) + CHOOSE(CONTROL!$C$38, 0.0353, 0)</f>
        <v>15.957899999999999</v>
      </c>
      <c r="C56" s="17">
        <f>15.0773 * CHOOSE(CONTROL!$C$15, $E$9, 100%, $G$9) + CHOOSE(CONTROL!$C$38, 0.0354, 0)</f>
        <v>15.112699999999998</v>
      </c>
      <c r="D56" s="17">
        <f>15.0695 * CHOOSE(CONTROL!$C$15, $E$9, 100%, $G$9) + CHOOSE(CONTROL!$C$38, 0.0354, 0)</f>
        <v>15.104899999999999</v>
      </c>
      <c r="E56" s="17">
        <f>15.0695 * CHOOSE(CONTROL!$C$15, $E$9, 100%, $G$9) + CHOOSE(CONTROL!$C$38, 0.0354, 0)</f>
        <v>15.104899999999999</v>
      </c>
      <c r="F56" s="45">
        <f>15.9226 * CHOOSE(CONTROL!$C$15, $E$9, 100%, $G$9) + CHOOSE(CONTROL!$C$38, 0.0353, 0)</f>
        <v>15.957899999999999</v>
      </c>
      <c r="G56" s="17">
        <f>15.0758 * CHOOSE(CONTROL!$C$15, $E$9, 100%, $G$9) + CHOOSE(CONTROL!$C$38, 0.0354, 0)</f>
        <v>15.111199999999998</v>
      </c>
      <c r="H56" s="17">
        <f>15.0758 * CHOOSE(CONTROL!$C$15, $E$9, 100%, $G$9) + CHOOSE(CONTROL!$C$38, 0.0354, 0)</f>
        <v>15.111199999999998</v>
      </c>
      <c r="I56" s="17">
        <f>15.0773 * CHOOSE(CONTROL!$C$15, $E$9, 100%, $G$9) + CHOOSE(CONTROL!$C$38, 0.0354, 0)</f>
        <v>15.112699999999998</v>
      </c>
      <c r="J56" s="44">
        <f>98.3053</f>
        <v>98.305300000000003</v>
      </c>
    </row>
    <row r="57" spans="1:10" ht="15" x14ac:dyDescent="0.2">
      <c r="A57" s="16">
        <v>42644</v>
      </c>
      <c r="B57" s="17">
        <f>16.2116 * CHOOSE(CONTROL!$C$15, $E$9, 100%, $G$9) + CHOOSE(CONTROL!$C$38, 0.034, 0)</f>
        <v>16.2456</v>
      </c>
      <c r="C57" s="17">
        <f>15.3649 * CHOOSE(CONTROL!$C$15, $E$9, 100%, $G$9) + CHOOSE(CONTROL!$C$38, 0.0342, 0)</f>
        <v>15.399100000000001</v>
      </c>
      <c r="D57" s="17">
        <f>15.3571 * CHOOSE(CONTROL!$C$15, $E$9, 100%, $G$9) + CHOOSE(CONTROL!$C$38, 0.0342, 0)</f>
        <v>15.391300000000001</v>
      </c>
      <c r="E57" s="17">
        <f>15.3571 * CHOOSE(CONTROL!$C$15, $E$9, 100%, $G$9) + CHOOSE(CONTROL!$C$38, 0.0342, 0)</f>
        <v>15.391300000000001</v>
      </c>
      <c r="F57" s="45">
        <f>16.2116 * CHOOSE(CONTROL!$C$15, $E$9, 100%, $G$9) + CHOOSE(CONTROL!$C$38, 0.034, 0)</f>
        <v>16.2456</v>
      </c>
      <c r="G57" s="17">
        <f>15.3633 * CHOOSE(CONTROL!$C$15, $E$9, 100%, $G$9) + CHOOSE(CONTROL!$C$38, 0.0342, 0)</f>
        <v>15.397500000000001</v>
      </c>
      <c r="H57" s="17">
        <f>15.3633 * CHOOSE(CONTROL!$C$15, $E$9, 100%, $G$9) + CHOOSE(CONTROL!$C$38, 0.0342, 0)</f>
        <v>15.397500000000001</v>
      </c>
      <c r="I57" s="17">
        <f>15.3649 * CHOOSE(CONTROL!$C$15, $E$9, 100%, $G$9) + CHOOSE(CONTROL!$C$38, 0.0342, 0)</f>
        <v>15.399100000000001</v>
      </c>
      <c r="J57" s="44">
        <f>95.1013</f>
        <v>95.101299999999995</v>
      </c>
    </row>
    <row r="58" spans="1:10" ht="15" x14ac:dyDescent="0.2">
      <c r="A58" s="16">
        <v>42675</v>
      </c>
      <c r="B58" s="17">
        <f>16.459 * CHOOSE(CONTROL!$C$15, $E$9, 100%, $G$9) + CHOOSE(CONTROL!$C$38, 0.034, 0)</f>
        <v>16.492999999999999</v>
      </c>
      <c r="C58" s="17">
        <f>15.6109 * CHOOSE(CONTROL!$C$15, $E$9, 100%, $G$9) + CHOOSE(CONTROL!$C$38, 0.0342, 0)</f>
        <v>15.645100000000001</v>
      </c>
      <c r="D58" s="17">
        <f>15.6031 * CHOOSE(CONTROL!$C$15, $E$9, 100%, $G$9) + CHOOSE(CONTROL!$C$38, 0.0342, 0)</f>
        <v>15.6373</v>
      </c>
      <c r="E58" s="17">
        <f>15.6031 * CHOOSE(CONTROL!$C$15, $E$9, 100%, $G$9) + CHOOSE(CONTROL!$C$38, 0.0342, 0)</f>
        <v>15.6373</v>
      </c>
      <c r="F58" s="45">
        <f>16.459 * CHOOSE(CONTROL!$C$15, $E$9, 100%, $G$9) + CHOOSE(CONTROL!$C$38, 0.034, 0)</f>
        <v>16.492999999999999</v>
      </c>
      <c r="G58" s="17">
        <f>15.6093 * CHOOSE(CONTROL!$C$15, $E$9, 100%, $G$9) + CHOOSE(CONTROL!$C$38, 0.0342, 0)</f>
        <v>15.6435</v>
      </c>
      <c r="H58" s="17">
        <f>15.6093 * CHOOSE(CONTROL!$C$15, $E$9, 100%, $G$9) + CHOOSE(CONTROL!$C$38, 0.0342, 0)</f>
        <v>15.6435</v>
      </c>
      <c r="I58" s="17">
        <f>15.6109 * CHOOSE(CONTROL!$C$15, $E$9, 100%, $G$9) + CHOOSE(CONTROL!$C$38, 0.0342, 0)</f>
        <v>15.645100000000001</v>
      </c>
      <c r="J58" s="44">
        <f>94.6182</f>
        <v>94.618200000000002</v>
      </c>
    </row>
    <row r="59" spans="1:10" ht="15" x14ac:dyDescent="0.2">
      <c r="A59" s="16">
        <v>42705</v>
      </c>
      <c r="B59" s="17">
        <f>17.1564 * CHOOSE(CONTROL!$C$15, $E$9, 100%, $G$9) + CHOOSE(CONTROL!$C$38, 0.034, 0)</f>
        <v>17.1904</v>
      </c>
      <c r="C59" s="17">
        <f>16.3068 * CHOOSE(CONTROL!$C$15, $E$9, 100%, $G$9) + CHOOSE(CONTROL!$C$38, 0.0342, 0)</f>
        <v>16.340999999999998</v>
      </c>
      <c r="D59" s="17">
        <f>16.299 * CHOOSE(CONTROL!$C$15, $E$9, 100%, $G$9) + CHOOSE(CONTROL!$C$38, 0.0342, 0)</f>
        <v>16.333199999999998</v>
      </c>
      <c r="E59" s="17">
        <f>16.299 * CHOOSE(CONTROL!$C$15, $E$9, 100%, $G$9) + CHOOSE(CONTROL!$C$38, 0.0342, 0)</f>
        <v>16.333199999999998</v>
      </c>
      <c r="F59" s="45">
        <f>17.1564 * CHOOSE(CONTROL!$C$15, $E$9, 100%, $G$9) + CHOOSE(CONTROL!$C$38, 0.034, 0)</f>
        <v>17.1904</v>
      </c>
      <c r="G59" s="17">
        <f>16.3053 * CHOOSE(CONTROL!$C$15, $E$9, 100%, $G$9) + CHOOSE(CONTROL!$C$38, 0.0342, 0)</f>
        <v>16.339499999999997</v>
      </c>
      <c r="H59" s="17">
        <f>16.3053 * CHOOSE(CONTROL!$C$15, $E$9, 100%, $G$9) + CHOOSE(CONTROL!$C$38, 0.0342, 0)</f>
        <v>16.339499999999997</v>
      </c>
      <c r="I59" s="17">
        <f>16.3068 * CHOOSE(CONTROL!$C$15, $E$9, 100%, $G$9) + CHOOSE(CONTROL!$C$38, 0.0342, 0)</f>
        <v>16.340999999999998</v>
      </c>
      <c r="J59" s="44">
        <f>91.9995</f>
        <v>91.999499999999998</v>
      </c>
    </row>
    <row r="60" spans="1:10" ht="15" x14ac:dyDescent="0.2">
      <c r="A60" s="16">
        <v>42736</v>
      </c>
      <c r="B60" s="17">
        <f>17.2751 * CHOOSE(CONTROL!$C$15, $E$9, 100%, $G$9) + CHOOSE(CONTROL!$C$38, 0.034, 0)</f>
        <v>17.309099999999997</v>
      </c>
      <c r="C60" s="17">
        <f>16.4489 * CHOOSE(CONTROL!$C$15, $E$9, 100%, $G$9) + CHOOSE(CONTROL!$C$38, 0.0342, 0)</f>
        <v>16.483099999999997</v>
      </c>
      <c r="D60" s="17">
        <f>16.4411 * CHOOSE(CONTROL!$C$15, $E$9, 100%, $G$9) + CHOOSE(CONTROL!$C$38, 0.0342, 0)</f>
        <v>16.475299999999997</v>
      </c>
      <c r="E60" s="17">
        <f>16.4411 * CHOOSE(CONTROL!$C$15, $E$9, 100%, $G$9) + CHOOSE(CONTROL!$C$38, 0.0342, 0)</f>
        <v>16.475299999999997</v>
      </c>
      <c r="F60" s="45">
        <f>17.2751 * CHOOSE(CONTROL!$C$15, $E$9, 100%, $G$9) + CHOOSE(CONTROL!$C$38, 0.034, 0)</f>
        <v>17.309099999999997</v>
      </c>
      <c r="G60" s="17">
        <f>16.4474 * CHOOSE(CONTROL!$C$15, $E$9, 100%, $G$9) + CHOOSE(CONTROL!$C$38, 0.0342, 0)</f>
        <v>16.481599999999997</v>
      </c>
      <c r="H60" s="17">
        <f>16.4474 * CHOOSE(CONTROL!$C$15, $E$9, 100%, $G$9) + CHOOSE(CONTROL!$C$38, 0.0342, 0)</f>
        <v>16.481599999999997</v>
      </c>
      <c r="I60" s="17">
        <f>16.4489 * CHOOSE(CONTROL!$C$15, $E$9, 100%, $G$9) + CHOOSE(CONTROL!$C$38, 0.0342, 0)</f>
        <v>16.483099999999997</v>
      </c>
      <c r="J60" s="44">
        <f>88.03</f>
        <v>88.03</v>
      </c>
    </row>
    <row r="61" spans="1:10" ht="15" x14ac:dyDescent="0.2">
      <c r="A61" s="16">
        <v>42767</v>
      </c>
      <c r="B61" s="17">
        <f>17.5567 * CHOOSE(CONTROL!$C$15, $E$9, 100%, $G$9) + CHOOSE(CONTROL!$C$38, 0.034, 0)</f>
        <v>17.590699999999998</v>
      </c>
      <c r="C61" s="17">
        <f>16.7291 * CHOOSE(CONTROL!$C$15, $E$9, 100%, $G$9) + CHOOSE(CONTROL!$C$38, 0.0342, 0)</f>
        <v>16.763299999999997</v>
      </c>
      <c r="D61" s="17">
        <f>16.7213 * CHOOSE(CONTROL!$C$15, $E$9, 100%, $G$9) + CHOOSE(CONTROL!$C$38, 0.0342, 0)</f>
        <v>16.755499999999998</v>
      </c>
      <c r="E61" s="17">
        <f>16.7213 * CHOOSE(CONTROL!$C$15, $E$9, 100%, $G$9) + CHOOSE(CONTROL!$C$38, 0.0342, 0)</f>
        <v>16.755499999999998</v>
      </c>
      <c r="F61" s="45">
        <f>17.5567 * CHOOSE(CONTROL!$C$15, $E$9, 100%, $G$9) + CHOOSE(CONTROL!$C$38, 0.034, 0)</f>
        <v>17.590699999999998</v>
      </c>
      <c r="G61" s="17">
        <f>16.7275 * CHOOSE(CONTROL!$C$15, $E$9, 100%, $G$9) + CHOOSE(CONTROL!$C$38, 0.0342, 0)</f>
        <v>16.761699999999998</v>
      </c>
      <c r="H61" s="17">
        <f>16.7275 * CHOOSE(CONTROL!$C$15, $E$9, 100%, $G$9) + CHOOSE(CONTROL!$C$38, 0.0342, 0)</f>
        <v>16.761699999999998</v>
      </c>
      <c r="I61" s="17">
        <f>16.7291 * CHOOSE(CONTROL!$C$15, $E$9, 100%, $G$9) + CHOOSE(CONTROL!$C$38, 0.0342, 0)</f>
        <v>16.763299999999997</v>
      </c>
      <c r="J61" s="44">
        <f>87.9661</f>
        <v>87.966099999999997</v>
      </c>
    </row>
    <row r="62" spans="1:10" ht="15" x14ac:dyDescent="0.2">
      <c r="A62" s="16">
        <v>42795</v>
      </c>
      <c r="B62" s="17">
        <f>17.0181 * CHOOSE(CONTROL!$C$15, $E$9, 100%, $G$9) + CHOOSE(CONTROL!$C$38, 0.034, 0)</f>
        <v>17.052099999999999</v>
      </c>
      <c r="C62" s="17">
        <f>16.1891 * CHOOSE(CONTROL!$C$15, $E$9, 100%, $G$9) + CHOOSE(CONTROL!$C$38, 0.0342, 0)</f>
        <v>16.223299999999998</v>
      </c>
      <c r="D62" s="17">
        <f>16.1813 * CHOOSE(CONTROL!$C$15, $E$9, 100%, $G$9) + CHOOSE(CONTROL!$C$38, 0.0342, 0)</f>
        <v>16.215499999999999</v>
      </c>
      <c r="E62" s="17">
        <f>16.1813 * CHOOSE(CONTROL!$C$15, $E$9, 100%, $G$9) + CHOOSE(CONTROL!$C$38, 0.0342, 0)</f>
        <v>16.215499999999999</v>
      </c>
      <c r="F62" s="45">
        <f>17.0181 * CHOOSE(CONTROL!$C$15, $E$9, 100%, $G$9) + CHOOSE(CONTROL!$C$38, 0.034, 0)</f>
        <v>17.052099999999999</v>
      </c>
      <c r="G62" s="17">
        <f>16.1876 * CHOOSE(CONTROL!$C$15, $E$9, 100%, $G$9) + CHOOSE(CONTROL!$C$38, 0.0342, 0)</f>
        <v>16.221799999999998</v>
      </c>
      <c r="H62" s="17">
        <f>16.1876 * CHOOSE(CONTROL!$C$15, $E$9, 100%, $G$9) + CHOOSE(CONTROL!$C$38, 0.0342, 0)</f>
        <v>16.221799999999998</v>
      </c>
      <c r="I62" s="17">
        <f>16.1891 * CHOOSE(CONTROL!$C$15, $E$9, 100%, $G$9) + CHOOSE(CONTROL!$C$38, 0.0342, 0)</f>
        <v>16.223299999999998</v>
      </c>
      <c r="J62" s="44">
        <f>92.7932</f>
        <v>92.793199999999999</v>
      </c>
    </row>
    <row r="63" spans="1:10" ht="15" x14ac:dyDescent="0.2">
      <c r="A63" s="16">
        <v>42826</v>
      </c>
      <c r="B63" s="17">
        <f>16.4951 * CHOOSE(CONTROL!$C$15, $E$9, 100%, $G$9) + CHOOSE(CONTROL!$C$38, 0.034, 0)</f>
        <v>16.5291</v>
      </c>
      <c r="C63" s="17">
        <f>15.6647 * CHOOSE(CONTROL!$C$15, $E$9, 100%, $G$9) + CHOOSE(CONTROL!$C$38, 0.0342, 0)</f>
        <v>15.6989</v>
      </c>
      <c r="D63" s="17">
        <f>15.6569 * CHOOSE(CONTROL!$C$15, $E$9, 100%, $G$9) + CHOOSE(CONTROL!$C$38, 0.0342, 0)</f>
        <v>15.6911</v>
      </c>
      <c r="E63" s="17">
        <f>15.6569 * CHOOSE(CONTROL!$C$15, $E$9, 100%, $G$9) + CHOOSE(CONTROL!$C$38, 0.0342, 0)</f>
        <v>15.6911</v>
      </c>
      <c r="F63" s="45">
        <f>16.4951 * CHOOSE(CONTROL!$C$15, $E$9, 100%, $G$9) + CHOOSE(CONTROL!$C$38, 0.034, 0)</f>
        <v>16.5291</v>
      </c>
      <c r="G63" s="17">
        <f>15.6632 * CHOOSE(CONTROL!$C$15, $E$9, 100%, $G$9) + CHOOSE(CONTROL!$C$38, 0.0342, 0)</f>
        <v>15.6974</v>
      </c>
      <c r="H63" s="17">
        <f>15.6632 * CHOOSE(CONTROL!$C$15, $E$9, 100%, $G$9) + CHOOSE(CONTROL!$C$38, 0.0342, 0)</f>
        <v>15.6974</v>
      </c>
      <c r="I63" s="17">
        <f>15.6647 * CHOOSE(CONTROL!$C$15, $E$9, 100%, $G$9) + CHOOSE(CONTROL!$C$38, 0.0342, 0)</f>
        <v>15.6989</v>
      </c>
      <c r="J63" s="44">
        <f>99.0213</f>
        <v>99.021299999999997</v>
      </c>
    </row>
    <row r="64" spans="1:10" ht="15" x14ac:dyDescent="0.2">
      <c r="A64" s="16">
        <v>42856</v>
      </c>
      <c r="B64" s="17">
        <f>15.9463 * CHOOSE(CONTROL!$C$15, $E$9, 100%, $G$9) + CHOOSE(CONTROL!$C$38, 0.0353, 0)</f>
        <v>15.9816</v>
      </c>
      <c r="C64" s="17">
        <f>15.1145 * CHOOSE(CONTROL!$C$15, $E$9, 100%, $G$9) + CHOOSE(CONTROL!$C$38, 0.0354, 0)</f>
        <v>15.149899999999999</v>
      </c>
      <c r="D64" s="17">
        <f>15.1067 * CHOOSE(CONTROL!$C$15, $E$9, 100%, $G$9) + CHOOSE(CONTROL!$C$38, 0.0354, 0)</f>
        <v>15.142099999999999</v>
      </c>
      <c r="E64" s="17">
        <f>15.1067 * CHOOSE(CONTROL!$C$15, $E$9, 100%, $G$9) + CHOOSE(CONTROL!$C$38, 0.0354, 0)</f>
        <v>15.142099999999999</v>
      </c>
      <c r="F64" s="45">
        <f>15.9463 * CHOOSE(CONTROL!$C$15, $E$9, 100%, $G$9) + CHOOSE(CONTROL!$C$38, 0.0353, 0)</f>
        <v>15.9816</v>
      </c>
      <c r="G64" s="17">
        <f>15.113 * CHOOSE(CONTROL!$C$15, $E$9, 100%, $G$9) + CHOOSE(CONTROL!$C$38, 0.0354, 0)</f>
        <v>15.148399999999999</v>
      </c>
      <c r="H64" s="17">
        <f>15.113 * CHOOSE(CONTROL!$C$15, $E$9, 100%, $G$9) + CHOOSE(CONTROL!$C$38, 0.0354, 0)</f>
        <v>15.148399999999999</v>
      </c>
      <c r="I64" s="17">
        <f>15.1145 * CHOOSE(CONTROL!$C$15, $E$9, 100%, $G$9) + CHOOSE(CONTROL!$C$38, 0.0354, 0)</f>
        <v>15.149899999999999</v>
      </c>
      <c r="J64" s="44">
        <f>102.5551</f>
        <v>102.5551</v>
      </c>
    </row>
    <row r="65" spans="1:10" ht="15" x14ac:dyDescent="0.2">
      <c r="A65" s="16">
        <v>42887</v>
      </c>
      <c r="B65" s="17">
        <f>15.5693 * CHOOSE(CONTROL!$C$15, $E$9, 100%, $G$9) + CHOOSE(CONTROL!$C$38, 0.0353, 0)</f>
        <v>15.6046</v>
      </c>
      <c r="C65" s="17">
        <f>14.7362 * CHOOSE(CONTROL!$C$15, $E$9, 100%, $G$9) + CHOOSE(CONTROL!$C$38, 0.0354, 0)</f>
        <v>14.771599999999999</v>
      </c>
      <c r="D65" s="17">
        <f>14.7283 * CHOOSE(CONTROL!$C$15, $E$9, 100%, $G$9) + CHOOSE(CONTROL!$C$38, 0.0354, 0)</f>
        <v>14.7637</v>
      </c>
      <c r="E65" s="17">
        <f>14.7283 * CHOOSE(CONTROL!$C$15, $E$9, 100%, $G$9) + CHOOSE(CONTROL!$C$38, 0.0354, 0)</f>
        <v>14.7637</v>
      </c>
      <c r="F65" s="45">
        <f>15.5693 * CHOOSE(CONTROL!$C$15, $E$9, 100%, $G$9) + CHOOSE(CONTROL!$C$38, 0.0353, 0)</f>
        <v>15.6046</v>
      </c>
      <c r="G65" s="17">
        <f>14.7346 * CHOOSE(CONTROL!$C$15, $E$9, 100%, $G$9) + CHOOSE(CONTROL!$C$38, 0.0354, 0)</f>
        <v>14.77</v>
      </c>
      <c r="H65" s="17">
        <f>14.7346 * CHOOSE(CONTROL!$C$15, $E$9, 100%, $G$9) + CHOOSE(CONTROL!$C$38, 0.0354, 0)</f>
        <v>14.77</v>
      </c>
      <c r="I65" s="17">
        <f>14.7362 * CHOOSE(CONTROL!$C$15, $E$9, 100%, $G$9) + CHOOSE(CONTROL!$C$38, 0.0354, 0)</f>
        <v>14.771599999999999</v>
      </c>
      <c r="J65" s="44">
        <f>104.2471</f>
        <v>104.2471</v>
      </c>
    </row>
    <row r="66" spans="1:10" ht="15" x14ac:dyDescent="0.2">
      <c r="A66" s="16">
        <v>42917</v>
      </c>
      <c r="B66" s="17">
        <f>15.3665 * CHOOSE(CONTROL!$C$15, $E$9, 100%, $G$9) + CHOOSE(CONTROL!$C$38, 0.0353, 0)</f>
        <v>15.4018</v>
      </c>
      <c r="C66" s="17">
        <f>14.5319 * CHOOSE(CONTROL!$C$15, $E$9, 100%, $G$9) + CHOOSE(CONTROL!$C$38, 0.0354, 0)</f>
        <v>14.567299999999999</v>
      </c>
      <c r="D66" s="17">
        <f>14.5241 * CHOOSE(CONTROL!$C$15, $E$9, 100%, $G$9) + CHOOSE(CONTROL!$C$38, 0.0354, 0)</f>
        <v>14.5595</v>
      </c>
      <c r="E66" s="17">
        <f>14.5241 * CHOOSE(CONTROL!$C$15, $E$9, 100%, $G$9) + CHOOSE(CONTROL!$C$38, 0.0354, 0)</f>
        <v>14.5595</v>
      </c>
      <c r="F66" s="45">
        <f>15.3665 * CHOOSE(CONTROL!$C$15, $E$9, 100%, $G$9) + CHOOSE(CONTROL!$C$38, 0.0353, 0)</f>
        <v>15.4018</v>
      </c>
      <c r="G66" s="17">
        <f>14.5304 * CHOOSE(CONTROL!$C$15, $E$9, 100%, $G$9) + CHOOSE(CONTROL!$C$38, 0.0354, 0)</f>
        <v>14.565799999999999</v>
      </c>
      <c r="H66" s="17">
        <f>14.5304 * CHOOSE(CONTROL!$C$15, $E$9, 100%, $G$9) + CHOOSE(CONTROL!$C$38, 0.0354, 0)</f>
        <v>14.565799999999999</v>
      </c>
      <c r="I66" s="17">
        <f>14.5319 * CHOOSE(CONTROL!$C$15, $E$9, 100%, $G$9) + CHOOSE(CONTROL!$C$38, 0.0354, 0)</f>
        <v>14.567299999999999</v>
      </c>
      <c r="J66" s="44">
        <f>103.9733</f>
        <v>103.97329999999999</v>
      </c>
    </row>
    <row r="67" spans="1:10" ht="15" x14ac:dyDescent="0.2">
      <c r="A67" s="16">
        <v>42948</v>
      </c>
      <c r="B67" s="17">
        <f>15.5124 * CHOOSE(CONTROL!$C$15, $E$9, 100%, $G$9) + CHOOSE(CONTROL!$C$38, 0.0353, 0)</f>
        <v>15.547699999999999</v>
      </c>
      <c r="C67" s="17">
        <f>14.6765 * CHOOSE(CONTROL!$C$15, $E$9, 100%, $G$9) + CHOOSE(CONTROL!$C$38, 0.0354, 0)</f>
        <v>14.7119</v>
      </c>
      <c r="D67" s="17">
        <f>14.6687 * CHOOSE(CONTROL!$C$15, $E$9, 100%, $G$9) + CHOOSE(CONTROL!$C$38, 0.0354, 0)</f>
        <v>14.704099999999999</v>
      </c>
      <c r="E67" s="17">
        <f>14.6687 * CHOOSE(CONTROL!$C$15, $E$9, 100%, $G$9) + CHOOSE(CONTROL!$C$38, 0.0354, 0)</f>
        <v>14.704099999999999</v>
      </c>
      <c r="F67" s="45">
        <f>15.5124 * CHOOSE(CONTROL!$C$15, $E$9, 100%, $G$9) + CHOOSE(CONTROL!$C$38, 0.0353, 0)</f>
        <v>15.547699999999999</v>
      </c>
      <c r="G67" s="17">
        <f>14.6749 * CHOOSE(CONTROL!$C$15, $E$9, 100%, $G$9) + CHOOSE(CONTROL!$C$38, 0.0354, 0)</f>
        <v>14.710299999999998</v>
      </c>
      <c r="H67" s="17">
        <f>14.6749 * CHOOSE(CONTROL!$C$15, $E$9, 100%, $G$9) + CHOOSE(CONTROL!$C$38, 0.0354, 0)</f>
        <v>14.710299999999998</v>
      </c>
      <c r="I67" s="17">
        <f>14.6765 * CHOOSE(CONTROL!$C$15, $E$9, 100%, $G$9) + CHOOSE(CONTROL!$C$38, 0.0354, 0)</f>
        <v>14.7119</v>
      </c>
      <c r="J67" s="44">
        <f>101.762</f>
        <v>101.762</v>
      </c>
    </row>
    <row r="68" spans="1:10" ht="15" x14ac:dyDescent="0.2">
      <c r="A68" s="16">
        <v>42979</v>
      </c>
      <c r="B68" s="17">
        <f>15.8575 * CHOOSE(CONTROL!$C$15, $E$9, 100%, $G$9) + CHOOSE(CONTROL!$C$38, 0.0353, 0)</f>
        <v>15.892799999999999</v>
      </c>
      <c r="C68" s="17">
        <f>15.0202 * CHOOSE(CONTROL!$C$15, $E$9, 100%, $G$9) + CHOOSE(CONTROL!$C$38, 0.0354, 0)</f>
        <v>15.0556</v>
      </c>
      <c r="D68" s="17">
        <f>15.0124 * CHOOSE(CONTROL!$C$15, $E$9, 100%, $G$9) + CHOOSE(CONTROL!$C$38, 0.0354, 0)</f>
        <v>15.047799999999999</v>
      </c>
      <c r="E68" s="17">
        <f>15.0124 * CHOOSE(CONTROL!$C$15, $E$9, 100%, $G$9) + CHOOSE(CONTROL!$C$38, 0.0354, 0)</f>
        <v>15.047799999999999</v>
      </c>
      <c r="F68" s="45">
        <f>15.8575 * CHOOSE(CONTROL!$C$15, $E$9, 100%, $G$9) + CHOOSE(CONTROL!$C$38, 0.0353, 0)</f>
        <v>15.892799999999999</v>
      </c>
      <c r="G68" s="17">
        <f>15.0186 * CHOOSE(CONTROL!$C$15, $E$9, 100%, $G$9) + CHOOSE(CONTROL!$C$38, 0.0354, 0)</f>
        <v>15.053999999999998</v>
      </c>
      <c r="H68" s="17">
        <f>15.0186 * CHOOSE(CONTROL!$C$15, $E$9, 100%, $G$9) + CHOOSE(CONTROL!$C$38, 0.0354, 0)</f>
        <v>15.053999999999998</v>
      </c>
      <c r="I68" s="17">
        <f>15.0202 * CHOOSE(CONTROL!$C$15, $E$9, 100%, $G$9) + CHOOSE(CONTROL!$C$38, 0.0354, 0)</f>
        <v>15.0556</v>
      </c>
      <c r="J68" s="44">
        <f>98.5823</f>
        <v>98.582300000000004</v>
      </c>
    </row>
    <row r="69" spans="1:10" ht="15" x14ac:dyDescent="0.2">
      <c r="A69" s="16">
        <v>43009</v>
      </c>
      <c r="B69" s="17">
        <f>16.1528 * CHOOSE(CONTROL!$C$15, $E$9, 100%, $G$9) + CHOOSE(CONTROL!$C$38, 0.034, 0)</f>
        <v>16.186799999999998</v>
      </c>
      <c r="C69" s="17">
        <f>15.3141 * CHOOSE(CONTROL!$C$15, $E$9, 100%, $G$9) + CHOOSE(CONTROL!$C$38, 0.0342, 0)</f>
        <v>15.3483</v>
      </c>
      <c r="D69" s="17">
        <f>15.3063 * CHOOSE(CONTROL!$C$15, $E$9, 100%, $G$9) + CHOOSE(CONTROL!$C$38, 0.0342, 0)</f>
        <v>15.3405</v>
      </c>
      <c r="E69" s="17">
        <f>15.3063 * CHOOSE(CONTROL!$C$15, $E$9, 100%, $G$9) + CHOOSE(CONTROL!$C$38, 0.0342, 0)</f>
        <v>15.3405</v>
      </c>
      <c r="F69" s="45">
        <f>16.1528 * CHOOSE(CONTROL!$C$15, $E$9, 100%, $G$9) + CHOOSE(CONTROL!$C$38, 0.034, 0)</f>
        <v>16.186799999999998</v>
      </c>
      <c r="G69" s="17">
        <f>15.3125 * CHOOSE(CONTROL!$C$15, $E$9, 100%, $G$9) + CHOOSE(CONTROL!$C$38, 0.0342, 0)</f>
        <v>15.3467</v>
      </c>
      <c r="H69" s="17">
        <f>15.3125 * CHOOSE(CONTROL!$C$15, $E$9, 100%, $G$9) + CHOOSE(CONTROL!$C$38, 0.0342, 0)</f>
        <v>15.3467</v>
      </c>
      <c r="I69" s="17">
        <f>15.3141 * CHOOSE(CONTROL!$C$15, $E$9, 100%, $G$9) + CHOOSE(CONTROL!$C$38, 0.0342, 0)</f>
        <v>15.3483</v>
      </c>
      <c r="J69" s="44">
        <f>95.3692</f>
        <v>95.369200000000006</v>
      </c>
    </row>
    <row r="70" spans="1:10" ht="15" x14ac:dyDescent="0.2">
      <c r="A70" s="16">
        <v>43040</v>
      </c>
      <c r="B70" s="17">
        <f>16.4055 * CHOOSE(CONTROL!$C$15, $E$9, 100%, $G$9) + CHOOSE(CONTROL!$C$38, 0.034, 0)</f>
        <v>16.439499999999999</v>
      </c>
      <c r="C70" s="17">
        <f>15.5654 * CHOOSE(CONTROL!$C$15, $E$9, 100%, $G$9) + CHOOSE(CONTROL!$C$38, 0.0342, 0)</f>
        <v>15.599600000000001</v>
      </c>
      <c r="D70" s="17">
        <f>15.5576 * CHOOSE(CONTROL!$C$15, $E$9, 100%, $G$9) + CHOOSE(CONTROL!$C$38, 0.0342, 0)</f>
        <v>15.591800000000001</v>
      </c>
      <c r="E70" s="17">
        <f>15.5576 * CHOOSE(CONTROL!$C$15, $E$9, 100%, $G$9) + CHOOSE(CONTROL!$C$38, 0.0342, 0)</f>
        <v>15.591800000000001</v>
      </c>
      <c r="F70" s="45">
        <f>16.4055 * CHOOSE(CONTROL!$C$15, $E$9, 100%, $G$9) + CHOOSE(CONTROL!$C$38, 0.034, 0)</f>
        <v>16.439499999999999</v>
      </c>
      <c r="G70" s="17">
        <f>15.5638 * CHOOSE(CONTROL!$C$15, $E$9, 100%, $G$9) + CHOOSE(CONTROL!$C$38, 0.0342, 0)</f>
        <v>15.598000000000001</v>
      </c>
      <c r="H70" s="17">
        <f>15.5638 * CHOOSE(CONTROL!$C$15, $E$9, 100%, $G$9) + CHOOSE(CONTROL!$C$38, 0.0342, 0)</f>
        <v>15.598000000000001</v>
      </c>
      <c r="I70" s="17">
        <f>15.5654 * CHOOSE(CONTROL!$C$15, $E$9, 100%, $G$9) + CHOOSE(CONTROL!$C$38, 0.0342, 0)</f>
        <v>15.599600000000001</v>
      </c>
      <c r="J70" s="44">
        <f>94.8847</f>
        <v>94.884699999999995</v>
      </c>
    </row>
    <row r="71" spans="1:10" ht="15" x14ac:dyDescent="0.2">
      <c r="A71" s="16">
        <v>43070</v>
      </c>
      <c r="B71" s="17">
        <f>17.1194 * CHOOSE(CONTROL!$C$15, $E$9, 100%, $G$9) + CHOOSE(CONTROL!$C$38, 0.034, 0)</f>
        <v>17.153399999999998</v>
      </c>
      <c r="C71" s="17">
        <f>16.2779 * CHOOSE(CONTROL!$C$15, $E$9, 100%, $G$9) + CHOOSE(CONTROL!$C$38, 0.0342, 0)</f>
        <v>16.312099999999997</v>
      </c>
      <c r="D71" s="17">
        <f>16.27 * CHOOSE(CONTROL!$C$15, $E$9, 100%, $G$9) + CHOOSE(CONTROL!$C$38, 0.0342, 0)</f>
        <v>16.304199999999998</v>
      </c>
      <c r="E71" s="17">
        <f>16.27 * CHOOSE(CONTROL!$C$15, $E$9, 100%, $G$9) + CHOOSE(CONTROL!$C$38, 0.0342, 0)</f>
        <v>16.304199999999998</v>
      </c>
      <c r="F71" s="45">
        <f>17.1194 * CHOOSE(CONTROL!$C$15, $E$9, 100%, $G$9) + CHOOSE(CONTROL!$C$38, 0.034, 0)</f>
        <v>17.153399999999998</v>
      </c>
      <c r="G71" s="17">
        <f>16.2763 * CHOOSE(CONTROL!$C$15, $E$9, 100%, $G$9) + CHOOSE(CONTROL!$C$38, 0.0342, 0)</f>
        <v>16.310499999999998</v>
      </c>
      <c r="H71" s="17">
        <f>16.2763 * CHOOSE(CONTROL!$C$15, $E$9, 100%, $G$9) + CHOOSE(CONTROL!$C$38, 0.0342, 0)</f>
        <v>16.310499999999998</v>
      </c>
      <c r="I71" s="17">
        <f>16.2779 * CHOOSE(CONTROL!$C$15, $E$9, 100%, $G$9) + CHOOSE(CONTROL!$C$38, 0.0342, 0)</f>
        <v>16.312099999999997</v>
      </c>
      <c r="J71" s="44">
        <f>92.2587</f>
        <v>92.258700000000005</v>
      </c>
    </row>
    <row r="72" spans="1:10" ht="15" x14ac:dyDescent="0.2">
      <c r="A72" s="16">
        <v>43101</v>
      </c>
      <c r="B72" s="17">
        <f>18.4368 * CHOOSE(CONTROL!$C$15, $E$9, 100%, $G$9) + CHOOSE(CONTROL!$C$38, 0.034, 0)</f>
        <v>18.470800000000001</v>
      </c>
      <c r="C72" s="17">
        <f>17.891 * CHOOSE(CONTROL!$C$15, $E$9, 100%, $G$9) + CHOOSE(CONTROL!$C$38, 0.0342, 0)</f>
        <v>17.925199999999997</v>
      </c>
      <c r="D72" s="17">
        <f>17.8831 * CHOOSE(CONTROL!$C$15, $E$9, 100%, $G$9) + CHOOSE(CONTROL!$C$38, 0.0342, 0)</f>
        <v>17.917299999999997</v>
      </c>
      <c r="E72" s="17">
        <f>17.8831 * CHOOSE(CONTROL!$C$15, $E$9, 100%, $G$9) + CHOOSE(CONTROL!$C$38, 0.0342, 0)</f>
        <v>17.917299999999997</v>
      </c>
      <c r="F72" s="45">
        <f>18.4368 * CHOOSE(CONTROL!$C$15, $E$9, 100%, $G$9) + CHOOSE(CONTROL!$C$38, 0.034, 0)</f>
        <v>18.470800000000001</v>
      </c>
      <c r="G72" s="17">
        <f>17.8894 * CHOOSE(CONTROL!$C$15, $E$9, 100%, $G$9) + CHOOSE(CONTROL!$C$38, 0.0342, 0)</f>
        <v>17.923599999999997</v>
      </c>
      <c r="H72" s="17">
        <f>17.8894 * CHOOSE(CONTROL!$C$15, $E$9, 100%, $G$9) + CHOOSE(CONTROL!$C$38, 0.0342, 0)</f>
        <v>17.923599999999997</v>
      </c>
      <c r="I72" s="17">
        <f>17.891 * CHOOSE(CONTROL!$C$15, $E$9, 100%, $G$9) + CHOOSE(CONTROL!$C$38, 0.0342, 0)</f>
        <v>17.925199999999997</v>
      </c>
      <c r="J72" s="44">
        <f>100.9369</f>
        <v>100.93689999999999</v>
      </c>
    </row>
    <row r="73" spans="1:10" ht="15" x14ac:dyDescent="0.2">
      <c r="A73" s="16">
        <v>43132</v>
      </c>
      <c r="B73" s="17">
        <f>18.7269 * CHOOSE(CONTROL!$C$15, $E$9, 100%, $G$9) + CHOOSE(CONTROL!$C$38, 0.034, 0)</f>
        <v>18.760899999999999</v>
      </c>
      <c r="C73" s="17">
        <f>18.1803 * CHOOSE(CONTROL!$C$15, $E$9, 100%, $G$9) + CHOOSE(CONTROL!$C$38, 0.0342, 0)</f>
        <v>18.214499999999997</v>
      </c>
      <c r="D73" s="17">
        <f>18.1724 * CHOOSE(CONTROL!$C$15, $E$9, 100%, $G$9) + CHOOSE(CONTROL!$C$38, 0.0342, 0)</f>
        <v>18.206599999999998</v>
      </c>
      <c r="E73" s="17">
        <f>18.1724 * CHOOSE(CONTROL!$C$15, $E$9, 100%, $G$9) + CHOOSE(CONTROL!$C$38, 0.0342, 0)</f>
        <v>18.206599999999998</v>
      </c>
      <c r="F73" s="45">
        <f>18.7269 * CHOOSE(CONTROL!$C$15, $E$9, 100%, $G$9) + CHOOSE(CONTROL!$C$38, 0.034, 0)</f>
        <v>18.760899999999999</v>
      </c>
      <c r="G73" s="17">
        <f>18.1787 * CHOOSE(CONTROL!$C$15, $E$9, 100%, $G$9) + CHOOSE(CONTROL!$C$38, 0.0342, 0)</f>
        <v>18.212899999999998</v>
      </c>
      <c r="H73" s="17">
        <f>18.1787 * CHOOSE(CONTROL!$C$15, $E$9, 100%, $G$9) + CHOOSE(CONTROL!$C$38, 0.0342, 0)</f>
        <v>18.212899999999998</v>
      </c>
      <c r="I73" s="17">
        <f>18.1803 * CHOOSE(CONTROL!$C$15, $E$9, 100%, $G$9) + CHOOSE(CONTROL!$C$38, 0.0342, 0)</f>
        <v>18.214499999999997</v>
      </c>
      <c r="J73" s="44">
        <f>100.8637</f>
        <v>100.86369999999999</v>
      </c>
    </row>
    <row r="74" spans="1:10" ht="15" x14ac:dyDescent="0.2">
      <c r="A74" s="16">
        <v>43160</v>
      </c>
      <c r="B74" s="17">
        <f>18.1764 * CHOOSE(CONTROL!$C$15, $E$9, 100%, $G$9) + CHOOSE(CONTROL!$C$38, 0.034, 0)</f>
        <v>18.2104</v>
      </c>
      <c r="C74" s="17">
        <f>17.629 * CHOOSE(CONTROL!$C$15, $E$9, 100%, $G$9) + CHOOSE(CONTROL!$C$38, 0.0342, 0)</f>
        <v>17.6632</v>
      </c>
      <c r="D74" s="17">
        <f>17.6212 * CHOOSE(CONTROL!$C$15, $E$9, 100%, $G$9) + CHOOSE(CONTROL!$C$38, 0.0342, 0)</f>
        <v>17.6554</v>
      </c>
      <c r="E74" s="17">
        <f>17.6212 * CHOOSE(CONTROL!$C$15, $E$9, 100%, $G$9) + CHOOSE(CONTROL!$C$38, 0.0342, 0)</f>
        <v>17.6554</v>
      </c>
      <c r="F74" s="45">
        <f>18.1764 * CHOOSE(CONTROL!$C$15, $E$9, 100%, $G$9) + CHOOSE(CONTROL!$C$38, 0.034, 0)</f>
        <v>18.2104</v>
      </c>
      <c r="G74" s="17">
        <f>17.6274 * CHOOSE(CONTROL!$C$15, $E$9, 100%, $G$9) + CHOOSE(CONTROL!$C$38, 0.0342, 0)</f>
        <v>17.6616</v>
      </c>
      <c r="H74" s="17">
        <f>17.6274 * CHOOSE(CONTROL!$C$15, $E$9, 100%, $G$9) + CHOOSE(CONTROL!$C$38, 0.0342, 0)</f>
        <v>17.6616</v>
      </c>
      <c r="I74" s="17">
        <f>17.629 * CHOOSE(CONTROL!$C$15, $E$9, 100%, $G$9) + CHOOSE(CONTROL!$C$38, 0.0342, 0)</f>
        <v>17.6632</v>
      </c>
      <c r="J74" s="44">
        <f>106.3985</f>
        <v>106.3985</v>
      </c>
    </row>
    <row r="75" spans="1:10" ht="15" x14ac:dyDescent="0.2">
      <c r="A75" s="16">
        <v>43191</v>
      </c>
      <c r="B75" s="17">
        <f>17.6419 * CHOOSE(CONTROL!$C$15, $E$9, 100%, $G$9) + CHOOSE(CONTROL!$C$38, 0.034, 0)</f>
        <v>17.675899999999999</v>
      </c>
      <c r="C75" s="17">
        <f>17.0936 * CHOOSE(CONTROL!$C$15, $E$9, 100%, $G$9) + CHOOSE(CONTROL!$C$38, 0.0342, 0)</f>
        <v>17.127799999999997</v>
      </c>
      <c r="D75" s="17">
        <f>17.0858 * CHOOSE(CONTROL!$C$15, $E$9, 100%, $G$9) + CHOOSE(CONTROL!$C$38, 0.0342, 0)</f>
        <v>17.119999999999997</v>
      </c>
      <c r="E75" s="17">
        <f>17.0858 * CHOOSE(CONTROL!$C$15, $E$9, 100%, $G$9) + CHOOSE(CONTROL!$C$38, 0.0342, 0)</f>
        <v>17.119999999999997</v>
      </c>
      <c r="F75" s="45">
        <f>17.6419 * CHOOSE(CONTROL!$C$15, $E$9, 100%, $G$9) + CHOOSE(CONTROL!$C$38, 0.034, 0)</f>
        <v>17.675899999999999</v>
      </c>
      <c r="G75" s="17">
        <f>17.092 * CHOOSE(CONTROL!$C$15, $E$9, 100%, $G$9) + CHOOSE(CONTROL!$C$38, 0.0342, 0)</f>
        <v>17.126199999999997</v>
      </c>
      <c r="H75" s="17">
        <f>17.092 * CHOOSE(CONTROL!$C$15, $E$9, 100%, $G$9) + CHOOSE(CONTROL!$C$38, 0.0342, 0)</f>
        <v>17.126199999999997</v>
      </c>
      <c r="I75" s="17">
        <f>17.0936 * CHOOSE(CONTROL!$C$15, $E$9, 100%, $G$9) + CHOOSE(CONTROL!$C$38, 0.0342, 0)</f>
        <v>17.127799999999997</v>
      </c>
      <c r="J75" s="44">
        <f>113.5398</f>
        <v>113.5398</v>
      </c>
    </row>
    <row r="76" spans="1:10" ht="15" x14ac:dyDescent="0.2">
      <c r="A76" s="16">
        <v>43221</v>
      </c>
      <c r="B76" s="17">
        <f>17.0809 * CHOOSE(CONTROL!$C$15, $E$9, 100%, $G$9) + CHOOSE(CONTROL!$C$38, 0.0353, 0)</f>
        <v>17.116199999999999</v>
      </c>
      <c r="C76" s="17">
        <f>16.5318 * CHOOSE(CONTROL!$C$15, $E$9, 100%, $G$9) + CHOOSE(CONTROL!$C$38, 0.0354, 0)</f>
        <v>16.5672</v>
      </c>
      <c r="D76" s="17">
        <f>16.524 * CHOOSE(CONTROL!$C$15, $E$9, 100%, $G$9) + CHOOSE(CONTROL!$C$38, 0.0354, 0)</f>
        <v>16.5594</v>
      </c>
      <c r="E76" s="17">
        <f>16.524 * CHOOSE(CONTROL!$C$15, $E$9, 100%, $G$9) + CHOOSE(CONTROL!$C$38, 0.0354, 0)</f>
        <v>16.5594</v>
      </c>
      <c r="F76" s="45">
        <f>17.0809 * CHOOSE(CONTROL!$C$15, $E$9, 100%, $G$9) + CHOOSE(CONTROL!$C$38, 0.0353, 0)</f>
        <v>17.116199999999999</v>
      </c>
      <c r="G76" s="17">
        <f>16.5302 * CHOOSE(CONTROL!$C$15, $E$9, 100%, $G$9) + CHOOSE(CONTROL!$C$38, 0.0354, 0)</f>
        <v>16.5656</v>
      </c>
      <c r="H76" s="17">
        <f>16.5302 * CHOOSE(CONTROL!$C$15, $E$9, 100%, $G$9) + CHOOSE(CONTROL!$C$38, 0.0354, 0)</f>
        <v>16.5656</v>
      </c>
      <c r="I76" s="17">
        <f>16.5318 * CHOOSE(CONTROL!$C$15, $E$9, 100%, $G$9) + CHOOSE(CONTROL!$C$38, 0.0354, 0)</f>
        <v>16.5672</v>
      </c>
      <c r="J76" s="44">
        <f>117.5917</f>
        <v>117.5917</v>
      </c>
    </row>
    <row r="77" spans="1:10" ht="15" x14ac:dyDescent="0.2">
      <c r="A77" s="16">
        <v>43252</v>
      </c>
      <c r="B77" s="17">
        <f>16.696 * CHOOSE(CONTROL!$C$15, $E$9, 100%, $G$9) + CHOOSE(CONTROL!$C$38, 0.0353, 0)</f>
        <v>16.731300000000001</v>
      </c>
      <c r="C77" s="17">
        <f>16.1461 * CHOOSE(CONTROL!$C$15, $E$9, 100%, $G$9) + CHOOSE(CONTROL!$C$38, 0.0354, 0)</f>
        <v>16.1815</v>
      </c>
      <c r="D77" s="17">
        <f>16.1383 * CHOOSE(CONTROL!$C$15, $E$9, 100%, $G$9) + CHOOSE(CONTROL!$C$38, 0.0354, 0)</f>
        <v>16.1737</v>
      </c>
      <c r="E77" s="17">
        <f>16.1383 * CHOOSE(CONTROL!$C$15, $E$9, 100%, $G$9) + CHOOSE(CONTROL!$C$38, 0.0354, 0)</f>
        <v>16.1737</v>
      </c>
      <c r="F77" s="45">
        <f>16.696 * CHOOSE(CONTROL!$C$15, $E$9, 100%, $G$9) + CHOOSE(CONTROL!$C$38, 0.0353, 0)</f>
        <v>16.731300000000001</v>
      </c>
      <c r="G77" s="17">
        <f>16.1446 * CHOOSE(CONTROL!$C$15, $E$9, 100%, $G$9) + CHOOSE(CONTROL!$C$38, 0.0354, 0)</f>
        <v>16.18</v>
      </c>
      <c r="H77" s="17">
        <f>16.1446 * CHOOSE(CONTROL!$C$15, $E$9, 100%, $G$9) + CHOOSE(CONTROL!$C$38, 0.0354, 0)</f>
        <v>16.18</v>
      </c>
      <c r="I77" s="17">
        <f>16.1461 * CHOOSE(CONTROL!$C$15, $E$9, 100%, $G$9) + CHOOSE(CONTROL!$C$38, 0.0354, 0)</f>
        <v>16.1815</v>
      </c>
      <c r="J77" s="44">
        <f>119.5318</f>
        <v>119.5318</v>
      </c>
    </row>
    <row r="78" spans="1:10" ht="15" x14ac:dyDescent="0.2">
      <c r="A78" s="16">
        <v>43282</v>
      </c>
      <c r="B78" s="17">
        <f>16.4897 * CHOOSE(CONTROL!$C$15, $E$9, 100%, $G$9) + CHOOSE(CONTROL!$C$38, 0.0353, 0)</f>
        <v>16.524999999999999</v>
      </c>
      <c r="C78" s="17">
        <f>15.939 * CHOOSE(CONTROL!$C$15, $E$9, 100%, $G$9) + CHOOSE(CONTROL!$C$38, 0.0354, 0)</f>
        <v>15.974399999999999</v>
      </c>
      <c r="D78" s="17">
        <f>15.9312 * CHOOSE(CONTROL!$C$15, $E$9, 100%, $G$9) + CHOOSE(CONTROL!$C$38, 0.0354, 0)</f>
        <v>15.9666</v>
      </c>
      <c r="E78" s="17">
        <f>15.9312 * CHOOSE(CONTROL!$C$15, $E$9, 100%, $G$9) + CHOOSE(CONTROL!$C$38, 0.0354, 0)</f>
        <v>15.9666</v>
      </c>
      <c r="F78" s="45">
        <f>16.4897 * CHOOSE(CONTROL!$C$15, $E$9, 100%, $G$9) + CHOOSE(CONTROL!$C$38, 0.0353, 0)</f>
        <v>16.524999999999999</v>
      </c>
      <c r="G78" s="17">
        <f>15.9374 * CHOOSE(CONTROL!$C$15, $E$9, 100%, $G$9) + CHOOSE(CONTROL!$C$38, 0.0354, 0)</f>
        <v>15.972799999999999</v>
      </c>
      <c r="H78" s="17">
        <f>15.9374 * CHOOSE(CONTROL!$C$15, $E$9, 100%, $G$9) + CHOOSE(CONTROL!$C$38, 0.0354, 0)</f>
        <v>15.972799999999999</v>
      </c>
      <c r="I78" s="17">
        <f>15.939 * CHOOSE(CONTROL!$C$15, $E$9, 100%, $G$9) + CHOOSE(CONTROL!$C$38, 0.0354, 0)</f>
        <v>15.974399999999999</v>
      </c>
      <c r="J78" s="44">
        <f>119.2178</f>
        <v>119.2178</v>
      </c>
    </row>
    <row r="79" spans="1:10" ht="15" x14ac:dyDescent="0.2">
      <c r="A79" s="16">
        <v>43313</v>
      </c>
      <c r="B79" s="17">
        <f>16.6408 * CHOOSE(CONTROL!$C$15, $E$9, 100%, $G$9) + CHOOSE(CONTROL!$C$38, 0.0353, 0)</f>
        <v>16.676099999999998</v>
      </c>
      <c r="C79" s="17">
        <f>16.0893 * CHOOSE(CONTROL!$C$15, $E$9, 100%, $G$9) + CHOOSE(CONTROL!$C$38, 0.0354, 0)</f>
        <v>16.124700000000001</v>
      </c>
      <c r="D79" s="17">
        <f>16.0815 * CHOOSE(CONTROL!$C$15, $E$9, 100%, $G$9) + CHOOSE(CONTROL!$C$38, 0.0354, 0)</f>
        <v>16.116899999999998</v>
      </c>
      <c r="E79" s="17">
        <f>16.0815 * CHOOSE(CONTROL!$C$15, $E$9, 100%, $G$9) + CHOOSE(CONTROL!$C$38, 0.0354, 0)</f>
        <v>16.116899999999998</v>
      </c>
      <c r="F79" s="45">
        <f>16.6408 * CHOOSE(CONTROL!$C$15, $E$9, 100%, $G$9) + CHOOSE(CONTROL!$C$38, 0.0353, 0)</f>
        <v>16.676099999999998</v>
      </c>
      <c r="G79" s="17">
        <f>16.0877 * CHOOSE(CONTROL!$C$15, $E$9, 100%, $G$9) + CHOOSE(CONTROL!$C$38, 0.0354, 0)</f>
        <v>16.123100000000001</v>
      </c>
      <c r="H79" s="17">
        <f>16.0877 * CHOOSE(CONTROL!$C$15, $E$9, 100%, $G$9) + CHOOSE(CONTROL!$C$38, 0.0354, 0)</f>
        <v>16.123100000000001</v>
      </c>
      <c r="I79" s="17">
        <f>16.0893 * CHOOSE(CONTROL!$C$15, $E$9, 100%, $G$9) + CHOOSE(CONTROL!$C$38, 0.0354, 0)</f>
        <v>16.124700000000001</v>
      </c>
      <c r="J79" s="44">
        <f>116.6823</f>
        <v>116.6823</v>
      </c>
    </row>
    <row r="80" spans="1:10" ht="15" x14ac:dyDescent="0.2">
      <c r="A80" s="16">
        <v>43344</v>
      </c>
      <c r="B80" s="17">
        <f>16.9961 * CHOOSE(CONTROL!$C$15, $E$9, 100%, $G$9) + CHOOSE(CONTROL!$C$38, 0.0353, 0)</f>
        <v>17.031399999999998</v>
      </c>
      <c r="C80" s="17">
        <f>16.4438 * CHOOSE(CONTROL!$C$15, $E$9, 100%, $G$9) + CHOOSE(CONTROL!$C$38, 0.0354, 0)</f>
        <v>16.479199999999999</v>
      </c>
      <c r="D80" s="17">
        <f>16.436 * CHOOSE(CONTROL!$C$15, $E$9, 100%, $G$9) + CHOOSE(CONTROL!$C$38, 0.0354, 0)</f>
        <v>16.471399999999999</v>
      </c>
      <c r="E80" s="17">
        <f>16.436 * CHOOSE(CONTROL!$C$15, $E$9, 100%, $G$9) + CHOOSE(CONTROL!$C$38, 0.0354, 0)</f>
        <v>16.471399999999999</v>
      </c>
      <c r="F80" s="45">
        <f>16.9961 * CHOOSE(CONTROL!$C$15, $E$9, 100%, $G$9) + CHOOSE(CONTROL!$C$38, 0.0353, 0)</f>
        <v>17.031399999999998</v>
      </c>
      <c r="G80" s="17">
        <f>16.4423 * CHOOSE(CONTROL!$C$15, $E$9, 100%, $G$9) + CHOOSE(CONTROL!$C$38, 0.0354, 0)</f>
        <v>16.477699999999999</v>
      </c>
      <c r="H80" s="17">
        <f>16.4423 * CHOOSE(CONTROL!$C$15, $E$9, 100%, $G$9) + CHOOSE(CONTROL!$C$38, 0.0354, 0)</f>
        <v>16.477699999999999</v>
      </c>
      <c r="I80" s="17">
        <f>16.4438 * CHOOSE(CONTROL!$C$15, $E$9, 100%, $G$9) + CHOOSE(CONTROL!$C$38, 0.0354, 0)</f>
        <v>16.479199999999999</v>
      </c>
      <c r="J80" s="44">
        <f>113.0364</f>
        <v>113.0364</v>
      </c>
    </row>
    <row r="81" spans="1:10" ht="15" x14ac:dyDescent="0.2">
      <c r="A81" s="16">
        <v>43374</v>
      </c>
      <c r="B81" s="17">
        <f>17.3004 * CHOOSE(CONTROL!$C$15, $E$9, 100%, $G$9) + CHOOSE(CONTROL!$C$38, 0.034, 0)</f>
        <v>17.334399999999999</v>
      </c>
      <c r="C81" s="17">
        <f>16.7472 * CHOOSE(CONTROL!$C$15, $E$9, 100%, $G$9) + CHOOSE(CONTROL!$C$38, 0.0342, 0)</f>
        <v>16.781399999999998</v>
      </c>
      <c r="D81" s="17">
        <f>16.7394 * CHOOSE(CONTROL!$C$15, $E$9, 100%, $G$9) + CHOOSE(CONTROL!$C$38, 0.0342, 0)</f>
        <v>16.773599999999998</v>
      </c>
      <c r="E81" s="17">
        <f>16.7394 * CHOOSE(CONTROL!$C$15, $E$9, 100%, $G$9) + CHOOSE(CONTROL!$C$38, 0.0342, 0)</f>
        <v>16.773599999999998</v>
      </c>
      <c r="F81" s="45">
        <f>17.3004 * CHOOSE(CONTROL!$C$15, $E$9, 100%, $G$9) + CHOOSE(CONTROL!$C$38, 0.034, 0)</f>
        <v>17.334399999999999</v>
      </c>
      <c r="G81" s="17">
        <f>16.7457 * CHOOSE(CONTROL!$C$15, $E$9, 100%, $G$9) + CHOOSE(CONTROL!$C$38, 0.0342, 0)</f>
        <v>16.779899999999998</v>
      </c>
      <c r="H81" s="17">
        <f>16.7457 * CHOOSE(CONTROL!$C$15, $E$9, 100%, $G$9) + CHOOSE(CONTROL!$C$38, 0.0342, 0)</f>
        <v>16.779899999999998</v>
      </c>
      <c r="I81" s="17">
        <f>16.7472 * CHOOSE(CONTROL!$C$15, $E$9, 100%, $G$9) + CHOOSE(CONTROL!$C$38, 0.0342, 0)</f>
        <v>16.781399999999998</v>
      </c>
      <c r="J81" s="44">
        <f>109.3522</f>
        <v>109.3522</v>
      </c>
    </row>
    <row r="82" spans="1:10" ht="15" x14ac:dyDescent="0.2">
      <c r="A82" s="16">
        <v>43405</v>
      </c>
      <c r="B82" s="17">
        <f>17.5609 * CHOOSE(CONTROL!$C$15, $E$9, 100%, $G$9) + CHOOSE(CONTROL!$C$38, 0.034, 0)</f>
        <v>17.594899999999999</v>
      </c>
      <c r="C82" s="17">
        <f>17.007 * CHOOSE(CONTROL!$C$15, $E$9, 100%, $G$9) + CHOOSE(CONTROL!$C$38, 0.0342, 0)</f>
        <v>17.0412</v>
      </c>
      <c r="D82" s="17">
        <f>16.9992 * CHOOSE(CONTROL!$C$15, $E$9, 100%, $G$9) + CHOOSE(CONTROL!$C$38, 0.0342, 0)</f>
        <v>17.033399999999997</v>
      </c>
      <c r="E82" s="17">
        <f>16.9992 * CHOOSE(CONTROL!$C$15, $E$9, 100%, $G$9) + CHOOSE(CONTROL!$C$38, 0.0342, 0)</f>
        <v>17.033399999999997</v>
      </c>
      <c r="F82" s="45">
        <f>17.5609 * CHOOSE(CONTROL!$C$15, $E$9, 100%, $G$9) + CHOOSE(CONTROL!$C$38, 0.034, 0)</f>
        <v>17.594899999999999</v>
      </c>
      <c r="G82" s="17">
        <f>17.0054 * CHOOSE(CONTROL!$C$15, $E$9, 100%, $G$9) + CHOOSE(CONTROL!$C$38, 0.0342, 0)</f>
        <v>17.0396</v>
      </c>
      <c r="H82" s="17">
        <f>17.0054 * CHOOSE(CONTROL!$C$15, $E$9, 100%, $G$9) + CHOOSE(CONTROL!$C$38, 0.0342, 0)</f>
        <v>17.0396</v>
      </c>
      <c r="I82" s="17">
        <f>17.007 * CHOOSE(CONTROL!$C$15, $E$9, 100%, $G$9) + CHOOSE(CONTROL!$C$38, 0.0342, 0)</f>
        <v>17.0412</v>
      </c>
      <c r="J82" s="44">
        <f>108.7967</f>
        <v>108.7967</v>
      </c>
    </row>
    <row r="83" spans="1:10" ht="15" x14ac:dyDescent="0.2">
      <c r="A83" s="16">
        <v>43435</v>
      </c>
      <c r="B83" s="17">
        <f>18.2942 * CHOOSE(CONTROL!$C$15, $E$9, 100%, $G$9) + CHOOSE(CONTROL!$C$38, 0.034, 0)</f>
        <v>18.328199999999999</v>
      </c>
      <c r="C83" s="17">
        <f>17.7395 * CHOOSE(CONTROL!$C$15, $E$9, 100%, $G$9) + CHOOSE(CONTROL!$C$38, 0.0342, 0)</f>
        <v>17.773699999999998</v>
      </c>
      <c r="D83" s="17">
        <f>17.7317 * CHOOSE(CONTROL!$C$15, $E$9, 100%, $G$9) + CHOOSE(CONTROL!$C$38, 0.0342, 0)</f>
        <v>17.765899999999998</v>
      </c>
      <c r="E83" s="17">
        <f>17.7317 * CHOOSE(CONTROL!$C$15, $E$9, 100%, $G$9) + CHOOSE(CONTROL!$C$38, 0.0342, 0)</f>
        <v>17.765899999999998</v>
      </c>
      <c r="F83" s="45">
        <f>18.2942 * CHOOSE(CONTROL!$C$15, $E$9, 100%, $G$9) + CHOOSE(CONTROL!$C$38, 0.034, 0)</f>
        <v>18.328199999999999</v>
      </c>
      <c r="G83" s="17">
        <f>17.7379 * CHOOSE(CONTROL!$C$15, $E$9, 100%, $G$9) + CHOOSE(CONTROL!$C$38, 0.0342, 0)</f>
        <v>17.772099999999998</v>
      </c>
      <c r="H83" s="17">
        <f>17.7379 * CHOOSE(CONTROL!$C$15, $E$9, 100%, $G$9) + CHOOSE(CONTROL!$C$38, 0.0342, 0)</f>
        <v>17.772099999999998</v>
      </c>
      <c r="I83" s="17">
        <f>17.7395 * CHOOSE(CONTROL!$C$15, $E$9, 100%, $G$9) + CHOOSE(CONTROL!$C$38, 0.0342, 0)</f>
        <v>17.773699999999998</v>
      </c>
      <c r="J83" s="44">
        <f>105.7856</f>
        <v>105.7856</v>
      </c>
    </row>
    <row r="84" spans="1:10" ht="15" x14ac:dyDescent="0.2">
      <c r="A84" s="16">
        <v>43466</v>
      </c>
      <c r="B84" s="17">
        <f>18.8519 * CHOOSE(CONTROL!$C$15, $E$9, 100%, $G$9) + CHOOSE(CONTROL!$C$38, 0.034, 0)</f>
        <v>18.885899999999999</v>
      </c>
      <c r="C84" s="17">
        <f>18.2797 * CHOOSE(CONTROL!$C$15, $E$9, 100%, $G$9) + CHOOSE(CONTROL!$C$38, 0.0342, 0)</f>
        <v>18.313899999999997</v>
      </c>
      <c r="D84" s="17">
        <f>18.2719 * CHOOSE(CONTROL!$C$15, $E$9, 100%, $G$9) + CHOOSE(CONTROL!$C$38, 0.0342, 0)</f>
        <v>18.306099999999997</v>
      </c>
      <c r="E84" s="17">
        <f>18.2719 * CHOOSE(CONTROL!$C$15, $E$9, 100%, $G$9) + CHOOSE(CONTROL!$C$38, 0.0342, 0)</f>
        <v>18.306099999999997</v>
      </c>
      <c r="F84" s="45">
        <f>18.8519 * CHOOSE(CONTROL!$C$15, $E$9, 100%, $G$9) + CHOOSE(CONTROL!$C$38, 0.034, 0)</f>
        <v>18.885899999999999</v>
      </c>
      <c r="G84" s="17">
        <f>18.2781 * CHOOSE(CONTROL!$C$15, $E$9, 100%, $G$9) + CHOOSE(CONTROL!$C$38, 0.0342, 0)</f>
        <v>18.312299999999997</v>
      </c>
      <c r="H84" s="17">
        <f>18.2781 * CHOOSE(CONTROL!$C$15, $E$9, 100%, $G$9) + CHOOSE(CONTROL!$C$38, 0.0342, 0)</f>
        <v>18.312299999999997</v>
      </c>
      <c r="I84" s="17">
        <f>18.2797 * CHOOSE(CONTROL!$C$15, $E$9, 100%, $G$9) + CHOOSE(CONTROL!$C$38, 0.0342, 0)</f>
        <v>18.313899999999997</v>
      </c>
      <c r="J84" s="44">
        <f>103.2721</f>
        <v>103.27209999999999</v>
      </c>
    </row>
    <row r="85" spans="1:10" ht="15" x14ac:dyDescent="0.2">
      <c r="A85" s="16">
        <v>43497</v>
      </c>
      <c r="B85" s="17">
        <f>19.1492 * CHOOSE(CONTROL!$C$15, $E$9, 100%, $G$9) + CHOOSE(CONTROL!$C$38, 0.034, 0)</f>
        <v>19.183199999999999</v>
      </c>
      <c r="C85" s="17">
        <f>18.5761 * CHOOSE(CONTROL!$C$15, $E$9, 100%, $G$9) + CHOOSE(CONTROL!$C$38, 0.0342, 0)</f>
        <v>18.610299999999999</v>
      </c>
      <c r="D85" s="17">
        <f>18.5683 * CHOOSE(CONTROL!$C$15, $E$9, 100%, $G$9) + CHOOSE(CONTROL!$C$38, 0.0342, 0)</f>
        <v>18.602499999999999</v>
      </c>
      <c r="E85" s="17">
        <f>18.5683 * CHOOSE(CONTROL!$C$15, $E$9, 100%, $G$9) + CHOOSE(CONTROL!$C$38, 0.0342, 0)</f>
        <v>18.602499999999999</v>
      </c>
      <c r="F85" s="45">
        <f>19.1492 * CHOOSE(CONTROL!$C$15, $E$9, 100%, $G$9) + CHOOSE(CONTROL!$C$38, 0.034, 0)</f>
        <v>19.183199999999999</v>
      </c>
      <c r="G85" s="17">
        <f>18.5746 * CHOOSE(CONTROL!$C$15, $E$9, 100%, $G$9) + CHOOSE(CONTROL!$C$38, 0.0342, 0)</f>
        <v>18.608799999999999</v>
      </c>
      <c r="H85" s="17">
        <f>18.5746 * CHOOSE(CONTROL!$C$15, $E$9, 100%, $G$9) + CHOOSE(CONTROL!$C$38, 0.0342, 0)</f>
        <v>18.608799999999999</v>
      </c>
      <c r="I85" s="17">
        <f>18.5761 * CHOOSE(CONTROL!$C$15, $E$9, 100%, $G$9) + CHOOSE(CONTROL!$C$38, 0.0342, 0)</f>
        <v>18.610299999999999</v>
      </c>
      <c r="J85" s="44">
        <f>103.1972</f>
        <v>103.1972</v>
      </c>
    </row>
    <row r="86" spans="1:10" ht="15" x14ac:dyDescent="0.2">
      <c r="A86" s="16">
        <v>43525</v>
      </c>
      <c r="B86" s="17">
        <f>18.5849 * CHOOSE(CONTROL!$C$15, $E$9, 100%, $G$9) + CHOOSE(CONTROL!$C$38, 0.034, 0)</f>
        <v>18.6189</v>
      </c>
      <c r="C86" s="17">
        <f>18.011 * CHOOSE(CONTROL!$C$15, $E$9, 100%, $G$9) + CHOOSE(CONTROL!$C$38, 0.0342, 0)</f>
        <v>18.045199999999998</v>
      </c>
      <c r="D86" s="17">
        <f>18.0032 * CHOOSE(CONTROL!$C$15, $E$9, 100%, $G$9) + CHOOSE(CONTROL!$C$38, 0.0342, 0)</f>
        <v>18.037399999999998</v>
      </c>
      <c r="E86" s="17">
        <f>18.0032 * CHOOSE(CONTROL!$C$15, $E$9, 100%, $G$9) + CHOOSE(CONTROL!$C$38, 0.0342, 0)</f>
        <v>18.037399999999998</v>
      </c>
      <c r="F86" s="45">
        <f>18.5849 * CHOOSE(CONTROL!$C$15, $E$9, 100%, $G$9) + CHOOSE(CONTROL!$C$38, 0.034, 0)</f>
        <v>18.6189</v>
      </c>
      <c r="G86" s="17">
        <f>18.0094 * CHOOSE(CONTROL!$C$15, $E$9, 100%, $G$9) + CHOOSE(CONTROL!$C$38, 0.0342, 0)</f>
        <v>18.043599999999998</v>
      </c>
      <c r="H86" s="17">
        <f>18.0094 * CHOOSE(CONTROL!$C$15, $E$9, 100%, $G$9) + CHOOSE(CONTROL!$C$38, 0.0342, 0)</f>
        <v>18.043599999999998</v>
      </c>
      <c r="I86" s="17">
        <f>18.011 * CHOOSE(CONTROL!$C$15, $E$9, 100%, $G$9) + CHOOSE(CONTROL!$C$38, 0.0342, 0)</f>
        <v>18.045199999999998</v>
      </c>
      <c r="J86" s="44">
        <f>108.86</f>
        <v>108.86</v>
      </c>
    </row>
    <row r="87" spans="1:10" ht="15" x14ac:dyDescent="0.2">
      <c r="A87" s="16">
        <v>43556</v>
      </c>
      <c r="B87" s="17">
        <f>18.0369 * CHOOSE(CONTROL!$C$15, $E$9, 100%, $G$9) + CHOOSE(CONTROL!$C$38, 0.034, 0)</f>
        <v>18.070899999999998</v>
      </c>
      <c r="C87" s="17">
        <f>17.4621 * CHOOSE(CONTROL!$C$15, $E$9, 100%, $G$9) + CHOOSE(CONTROL!$C$38, 0.0342, 0)</f>
        <v>17.496299999999998</v>
      </c>
      <c r="D87" s="17">
        <f>17.4543 * CHOOSE(CONTROL!$C$15, $E$9, 100%, $G$9) + CHOOSE(CONTROL!$C$38, 0.0342, 0)</f>
        <v>17.488499999999998</v>
      </c>
      <c r="E87" s="17">
        <f>17.4543 * CHOOSE(CONTROL!$C$15, $E$9, 100%, $G$9) + CHOOSE(CONTROL!$C$38, 0.0342, 0)</f>
        <v>17.488499999999998</v>
      </c>
      <c r="F87" s="45">
        <f>18.0369 * CHOOSE(CONTROL!$C$15, $E$9, 100%, $G$9) + CHOOSE(CONTROL!$C$38, 0.034, 0)</f>
        <v>18.070899999999998</v>
      </c>
      <c r="G87" s="17">
        <f>17.4606 * CHOOSE(CONTROL!$C$15, $E$9, 100%, $G$9) + CHOOSE(CONTROL!$C$38, 0.0342, 0)</f>
        <v>17.494799999999998</v>
      </c>
      <c r="H87" s="17">
        <f>17.4606 * CHOOSE(CONTROL!$C$15, $E$9, 100%, $G$9) + CHOOSE(CONTROL!$C$38, 0.0342, 0)</f>
        <v>17.494799999999998</v>
      </c>
      <c r="I87" s="17">
        <f>17.4621 * CHOOSE(CONTROL!$C$15, $E$9, 100%, $G$9) + CHOOSE(CONTROL!$C$38, 0.0342, 0)</f>
        <v>17.496299999999998</v>
      </c>
      <c r="J87" s="44">
        <f>116.1666</f>
        <v>116.1666</v>
      </c>
    </row>
    <row r="88" spans="1:10" ht="15" x14ac:dyDescent="0.2">
      <c r="A88" s="16">
        <v>43586</v>
      </c>
      <c r="B88" s="17">
        <f>17.4618 * CHOOSE(CONTROL!$C$15, $E$9, 100%, $G$9) + CHOOSE(CONTROL!$C$38, 0.0353, 0)</f>
        <v>17.4971</v>
      </c>
      <c r="C88" s="17">
        <f>16.8862 * CHOOSE(CONTROL!$C$15, $E$9, 100%, $G$9) + CHOOSE(CONTROL!$C$38, 0.0354, 0)</f>
        <v>16.921599999999998</v>
      </c>
      <c r="D88" s="17">
        <f>16.8784 * CHOOSE(CONTROL!$C$15, $E$9, 100%, $G$9) + CHOOSE(CONTROL!$C$38, 0.0354, 0)</f>
        <v>16.913799999999998</v>
      </c>
      <c r="E88" s="17">
        <f>16.8784 * CHOOSE(CONTROL!$C$15, $E$9, 100%, $G$9) + CHOOSE(CONTROL!$C$38, 0.0354, 0)</f>
        <v>16.913799999999998</v>
      </c>
      <c r="F88" s="45">
        <f>17.4618 * CHOOSE(CONTROL!$C$15, $E$9, 100%, $G$9) + CHOOSE(CONTROL!$C$38, 0.0353, 0)</f>
        <v>17.4971</v>
      </c>
      <c r="G88" s="17">
        <f>16.8846 * CHOOSE(CONTROL!$C$15, $E$9, 100%, $G$9) + CHOOSE(CONTROL!$C$38, 0.0354, 0)</f>
        <v>16.919999999999998</v>
      </c>
      <c r="H88" s="17">
        <f>16.8846 * CHOOSE(CONTROL!$C$15, $E$9, 100%, $G$9) + CHOOSE(CONTROL!$C$38, 0.0354, 0)</f>
        <v>16.919999999999998</v>
      </c>
      <c r="I88" s="17">
        <f>16.8862 * CHOOSE(CONTROL!$C$15, $E$9, 100%, $G$9) + CHOOSE(CONTROL!$C$38, 0.0354, 0)</f>
        <v>16.921599999999998</v>
      </c>
      <c r="J88" s="44">
        <f>120.3122</f>
        <v>120.3122</v>
      </c>
    </row>
    <row r="89" spans="1:10" ht="15" x14ac:dyDescent="0.2">
      <c r="A89" s="16">
        <v>43617</v>
      </c>
      <c r="B89" s="17">
        <f>17.0673 * CHOOSE(CONTROL!$C$15, $E$9, 100%, $G$9) + CHOOSE(CONTROL!$C$38, 0.0353, 0)</f>
        <v>17.102599999999999</v>
      </c>
      <c r="C89" s="17">
        <f>16.4908 * CHOOSE(CONTROL!$C$15, $E$9, 100%, $G$9) + CHOOSE(CONTROL!$C$38, 0.0354, 0)</f>
        <v>16.526199999999999</v>
      </c>
      <c r="D89" s="17">
        <f>16.483 * CHOOSE(CONTROL!$C$15, $E$9, 100%, $G$9) + CHOOSE(CONTROL!$C$38, 0.0354, 0)</f>
        <v>16.5184</v>
      </c>
      <c r="E89" s="17">
        <f>16.483 * CHOOSE(CONTROL!$C$15, $E$9, 100%, $G$9) + CHOOSE(CONTROL!$C$38, 0.0354, 0)</f>
        <v>16.5184</v>
      </c>
      <c r="F89" s="45">
        <f>17.0673 * CHOOSE(CONTROL!$C$15, $E$9, 100%, $G$9) + CHOOSE(CONTROL!$C$38, 0.0353, 0)</f>
        <v>17.102599999999999</v>
      </c>
      <c r="G89" s="17">
        <f>16.4892 * CHOOSE(CONTROL!$C$15, $E$9, 100%, $G$9) + CHOOSE(CONTROL!$C$38, 0.0354, 0)</f>
        <v>16.5246</v>
      </c>
      <c r="H89" s="17">
        <f>16.4892 * CHOOSE(CONTROL!$C$15, $E$9, 100%, $G$9) + CHOOSE(CONTROL!$C$38, 0.0354, 0)</f>
        <v>16.5246</v>
      </c>
      <c r="I89" s="17">
        <f>16.4908 * CHOOSE(CONTROL!$C$15, $E$9, 100%, $G$9) + CHOOSE(CONTROL!$C$38, 0.0354, 0)</f>
        <v>16.526199999999999</v>
      </c>
      <c r="J89" s="44">
        <f>122.2972</f>
        <v>122.2972</v>
      </c>
    </row>
    <row r="90" spans="1:10" ht="15" x14ac:dyDescent="0.2">
      <c r="A90" s="16">
        <v>43647</v>
      </c>
      <c r="B90" s="17">
        <f>16.8557 * CHOOSE(CONTROL!$C$15, $E$9, 100%, $G$9) + CHOOSE(CONTROL!$C$38, 0.0353, 0)</f>
        <v>16.890999999999998</v>
      </c>
      <c r="C90" s="17">
        <f>16.2783 * CHOOSE(CONTROL!$C$15, $E$9, 100%, $G$9) + CHOOSE(CONTROL!$C$38, 0.0354, 0)</f>
        <v>16.313700000000001</v>
      </c>
      <c r="D90" s="17">
        <f>16.2705 * CHOOSE(CONTROL!$C$15, $E$9, 100%, $G$9) + CHOOSE(CONTROL!$C$38, 0.0354, 0)</f>
        <v>16.305899999999998</v>
      </c>
      <c r="E90" s="17">
        <f>16.2705 * CHOOSE(CONTROL!$C$15, $E$9, 100%, $G$9) + CHOOSE(CONTROL!$C$38, 0.0354, 0)</f>
        <v>16.305899999999998</v>
      </c>
      <c r="F90" s="45">
        <f>16.8557 * CHOOSE(CONTROL!$C$15, $E$9, 100%, $G$9) + CHOOSE(CONTROL!$C$38, 0.0353, 0)</f>
        <v>16.890999999999998</v>
      </c>
      <c r="G90" s="17">
        <f>16.2768 * CHOOSE(CONTROL!$C$15, $E$9, 100%, $G$9) + CHOOSE(CONTROL!$C$38, 0.0354, 0)</f>
        <v>16.312200000000001</v>
      </c>
      <c r="H90" s="17">
        <f>16.2768 * CHOOSE(CONTROL!$C$15, $E$9, 100%, $G$9) + CHOOSE(CONTROL!$C$38, 0.0354, 0)</f>
        <v>16.312200000000001</v>
      </c>
      <c r="I90" s="17">
        <f>16.2783 * CHOOSE(CONTROL!$C$15, $E$9, 100%, $G$9) + CHOOSE(CONTROL!$C$38, 0.0354, 0)</f>
        <v>16.313700000000001</v>
      </c>
      <c r="J90" s="44">
        <f>121.976</f>
        <v>121.976</v>
      </c>
    </row>
    <row r="91" spans="1:10" ht="15" x14ac:dyDescent="0.2">
      <c r="A91" s="16">
        <v>43678</v>
      </c>
      <c r="B91" s="17">
        <f>17.0105 * CHOOSE(CONTROL!$C$15, $E$9, 100%, $G$9) + CHOOSE(CONTROL!$C$38, 0.0353, 0)</f>
        <v>17.0458</v>
      </c>
      <c r="C91" s="17">
        <f>16.4323 * CHOOSE(CONTROL!$C$15, $E$9, 100%, $G$9) + CHOOSE(CONTROL!$C$38, 0.0354, 0)</f>
        <v>16.467700000000001</v>
      </c>
      <c r="D91" s="17">
        <f>16.4245 * CHOOSE(CONTROL!$C$15, $E$9, 100%, $G$9) + CHOOSE(CONTROL!$C$38, 0.0354, 0)</f>
        <v>16.459899999999998</v>
      </c>
      <c r="E91" s="17">
        <f>16.4245 * CHOOSE(CONTROL!$C$15, $E$9, 100%, $G$9) + CHOOSE(CONTROL!$C$38, 0.0354, 0)</f>
        <v>16.459899999999998</v>
      </c>
      <c r="F91" s="45">
        <f>17.0105 * CHOOSE(CONTROL!$C$15, $E$9, 100%, $G$9) + CHOOSE(CONTROL!$C$38, 0.0353, 0)</f>
        <v>17.0458</v>
      </c>
      <c r="G91" s="17">
        <f>16.4308 * CHOOSE(CONTROL!$C$15, $E$9, 100%, $G$9) + CHOOSE(CONTROL!$C$38, 0.0354, 0)</f>
        <v>16.466200000000001</v>
      </c>
      <c r="H91" s="17">
        <f>16.4308 * CHOOSE(CONTROL!$C$15, $E$9, 100%, $G$9) + CHOOSE(CONTROL!$C$38, 0.0354, 0)</f>
        <v>16.466200000000001</v>
      </c>
      <c r="I91" s="17">
        <f>16.4323 * CHOOSE(CONTROL!$C$15, $E$9, 100%, $G$9) + CHOOSE(CONTROL!$C$38, 0.0354, 0)</f>
        <v>16.467700000000001</v>
      </c>
      <c r="J91" s="44">
        <f>119.3818</f>
        <v>119.3818</v>
      </c>
    </row>
    <row r="92" spans="1:10" ht="15" x14ac:dyDescent="0.2">
      <c r="A92" s="16">
        <v>43709</v>
      </c>
      <c r="B92" s="17">
        <f>17.3747 * CHOOSE(CONTROL!$C$15, $E$9, 100%, $G$9) + CHOOSE(CONTROL!$C$38, 0.0353, 0)</f>
        <v>17.41</v>
      </c>
      <c r="C92" s="17">
        <f>16.7956 * CHOOSE(CONTROL!$C$15, $E$9, 100%, $G$9) + CHOOSE(CONTROL!$C$38, 0.0354, 0)</f>
        <v>16.831</v>
      </c>
      <c r="D92" s="17">
        <f>16.7878 * CHOOSE(CONTROL!$C$15, $E$9, 100%, $G$9) + CHOOSE(CONTROL!$C$38, 0.0354, 0)</f>
        <v>16.8232</v>
      </c>
      <c r="E92" s="17">
        <f>16.7878 * CHOOSE(CONTROL!$C$15, $E$9, 100%, $G$9) + CHOOSE(CONTROL!$C$38, 0.0354, 0)</f>
        <v>16.8232</v>
      </c>
      <c r="F92" s="45">
        <f>17.3747 * CHOOSE(CONTROL!$C$15, $E$9, 100%, $G$9) + CHOOSE(CONTROL!$C$38, 0.0353, 0)</f>
        <v>17.41</v>
      </c>
      <c r="G92" s="17">
        <f>16.794 * CHOOSE(CONTROL!$C$15, $E$9, 100%, $G$9) + CHOOSE(CONTROL!$C$38, 0.0354, 0)</f>
        <v>16.8294</v>
      </c>
      <c r="H92" s="17">
        <f>16.794 * CHOOSE(CONTROL!$C$15, $E$9, 100%, $G$9) + CHOOSE(CONTROL!$C$38, 0.0354, 0)</f>
        <v>16.8294</v>
      </c>
      <c r="I92" s="17">
        <f>16.7956 * CHOOSE(CONTROL!$C$15, $E$9, 100%, $G$9) + CHOOSE(CONTROL!$C$38, 0.0354, 0)</f>
        <v>16.831</v>
      </c>
      <c r="J92" s="44">
        <f>115.6515</f>
        <v>115.6515</v>
      </c>
    </row>
    <row r="93" spans="1:10" ht="15" x14ac:dyDescent="0.2">
      <c r="A93" s="16">
        <v>43739</v>
      </c>
      <c r="B93" s="17">
        <f>17.6865 * CHOOSE(CONTROL!$C$15, $E$9, 100%, $G$9) + CHOOSE(CONTROL!$C$38, 0.034, 0)</f>
        <v>17.720499999999998</v>
      </c>
      <c r="C93" s="17">
        <f>17.1065 * CHOOSE(CONTROL!$C$15, $E$9, 100%, $G$9) + CHOOSE(CONTROL!$C$38, 0.0342, 0)</f>
        <v>17.140699999999999</v>
      </c>
      <c r="D93" s="17">
        <f>17.0987 * CHOOSE(CONTROL!$C$15, $E$9, 100%, $G$9) + CHOOSE(CONTROL!$C$38, 0.0342, 0)</f>
        <v>17.132899999999999</v>
      </c>
      <c r="E93" s="17">
        <f>17.0987 * CHOOSE(CONTROL!$C$15, $E$9, 100%, $G$9) + CHOOSE(CONTROL!$C$38, 0.0342, 0)</f>
        <v>17.132899999999999</v>
      </c>
      <c r="F93" s="45">
        <f>17.6865 * CHOOSE(CONTROL!$C$15, $E$9, 100%, $G$9) + CHOOSE(CONTROL!$C$38, 0.034, 0)</f>
        <v>17.720499999999998</v>
      </c>
      <c r="G93" s="17">
        <f>17.105 * CHOOSE(CONTROL!$C$15, $E$9, 100%, $G$9) + CHOOSE(CONTROL!$C$38, 0.0342, 0)</f>
        <v>17.139199999999999</v>
      </c>
      <c r="H93" s="17">
        <f>17.105 * CHOOSE(CONTROL!$C$15, $E$9, 100%, $G$9) + CHOOSE(CONTROL!$C$38, 0.0342, 0)</f>
        <v>17.139199999999999</v>
      </c>
      <c r="I93" s="17">
        <f>17.1065 * CHOOSE(CONTROL!$C$15, $E$9, 100%, $G$9) + CHOOSE(CONTROL!$C$38, 0.0342, 0)</f>
        <v>17.140699999999999</v>
      </c>
      <c r="J93" s="44">
        <f>111.8821</f>
        <v>111.88209999999999</v>
      </c>
    </row>
    <row r="94" spans="1:10" ht="15" x14ac:dyDescent="0.2">
      <c r="A94" s="16">
        <v>43770</v>
      </c>
      <c r="B94" s="17">
        <f>17.9535 * CHOOSE(CONTROL!$C$15, $E$9, 100%, $G$9) + CHOOSE(CONTROL!$C$38, 0.034, 0)</f>
        <v>17.987499999999997</v>
      </c>
      <c r="C94" s="17">
        <f>17.3726 * CHOOSE(CONTROL!$C$15, $E$9, 100%, $G$9) + CHOOSE(CONTROL!$C$38, 0.0342, 0)</f>
        <v>17.406799999999997</v>
      </c>
      <c r="D94" s="17">
        <f>17.3648 * CHOOSE(CONTROL!$C$15, $E$9, 100%, $G$9) + CHOOSE(CONTROL!$C$38, 0.0342, 0)</f>
        <v>17.398999999999997</v>
      </c>
      <c r="E94" s="17">
        <f>17.3648 * CHOOSE(CONTROL!$C$15, $E$9, 100%, $G$9) + CHOOSE(CONTROL!$C$38, 0.0342, 0)</f>
        <v>17.398999999999997</v>
      </c>
      <c r="F94" s="45">
        <f>17.9535 * CHOOSE(CONTROL!$C$15, $E$9, 100%, $G$9) + CHOOSE(CONTROL!$C$38, 0.034, 0)</f>
        <v>17.987499999999997</v>
      </c>
      <c r="G94" s="17">
        <f>17.3711 * CHOOSE(CONTROL!$C$15, $E$9, 100%, $G$9) + CHOOSE(CONTROL!$C$38, 0.0342, 0)</f>
        <v>17.405299999999997</v>
      </c>
      <c r="H94" s="17">
        <f>17.3711 * CHOOSE(CONTROL!$C$15, $E$9, 100%, $G$9) + CHOOSE(CONTROL!$C$38, 0.0342, 0)</f>
        <v>17.405299999999997</v>
      </c>
      <c r="I94" s="17">
        <f>17.3726 * CHOOSE(CONTROL!$C$15, $E$9, 100%, $G$9) + CHOOSE(CONTROL!$C$38, 0.0342, 0)</f>
        <v>17.406799999999997</v>
      </c>
      <c r="J94" s="44">
        <f>111.3138</f>
        <v>111.3138</v>
      </c>
    </row>
    <row r="95" spans="1:10" ht="15" x14ac:dyDescent="0.2">
      <c r="A95" s="16">
        <v>43800</v>
      </c>
      <c r="B95" s="17">
        <f>18.705 * CHOOSE(CONTROL!$C$15, $E$9, 100%, $G$9) + CHOOSE(CONTROL!$C$38, 0.034, 0)</f>
        <v>18.738999999999997</v>
      </c>
      <c r="C95" s="17">
        <f>18.1233 * CHOOSE(CONTROL!$C$15, $E$9, 100%, $G$9) + CHOOSE(CONTROL!$C$38, 0.0342, 0)</f>
        <v>18.157499999999999</v>
      </c>
      <c r="D95" s="17">
        <f>18.1155 * CHOOSE(CONTROL!$C$15, $E$9, 100%, $G$9) + CHOOSE(CONTROL!$C$38, 0.0342, 0)</f>
        <v>18.149699999999999</v>
      </c>
      <c r="E95" s="17">
        <f>18.1155 * CHOOSE(CONTROL!$C$15, $E$9, 100%, $G$9) + CHOOSE(CONTROL!$C$38, 0.0342, 0)</f>
        <v>18.149699999999999</v>
      </c>
      <c r="F95" s="45">
        <f>18.705 * CHOOSE(CONTROL!$C$15, $E$9, 100%, $G$9) + CHOOSE(CONTROL!$C$38, 0.034, 0)</f>
        <v>18.738999999999997</v>
      </c>
      <c r="G95" s="17">
        <f>18.1218 * CHOOSE(CONTROL!$C$15, $E$9, 100%, $G$9) + CHOOSE(CONTROL!$C$38, 0.0342, 0)</f>
        <v>18.155999999999999</v>
      </c>
      <c r="H95" s="17">
        <f>18.1218 * CHOOSE(CONTROL!$C$15, $E$9, 100%, $G$9) + CHOOSE(CONTROL!$C$38, 0.0342, 0)</f>
        <v>18.155999999999999</v>
      </c>
      <c r="I95" s="17">
        <f>18.1233 * CHOOSE(CONTROL!$C$15, $E$9, 100%, $G$9) + CHOOSE(CONTROL!$C$38, 0.0342, 0)</f>
        <v>18.157499999999999</v>
      </c>
      <c r="J95" s="44">
        <f>108.233</f>
        <v>108.233</v>
      </c>
    </row>
    <row r="96" spans="1:10" ht="15" x14ac:dyDescent="0.2">
      <c r="A96" s="16">
        <v>43831</v>
      </c>
      <c r="B96" s="17">
        <f>19.3782 * CHOOSE(CONTROL!$C$15, $E$9, 100%, $G$9) + CHOOSE(CONTROL!$C$38, 0.034, 0)</f>
        <v>19.412199999999999</v>
      </c>
      <c r="C96" s="17">
        <f>18.6211 * CHOOSE(CONTROL!$C$15, $E$9, 100%, $G$9) + CHOOSE(CONTROL!$C$38, 0.0342, 0)</f>
        <v>18.655299999999997</v>
      </c>
      <c r="D96" s="17">
        <f>18.6133 * CHOOSE(CONTROL!$C$15, $E$9, 100%, $G$9) + CHOOSE(CONTROL!$C$38, 0.0342, 0)</f>
        <v>18.647499999999997</v>
      </c>
      <c r="E96" s="17">
        <f>18.6133 * CHOOSE(CONTROL!$C$15, $E$9, 100%, $G$9) + CHOOSE(CONTROL!$C$38, 0.0342, 0)</f>
        <v>18.647499999999997</v>
      </c>
      <c r="F96" s="45">
        <f>19.3782 * CHOOSE(CONTROL!$C$15, $E$9, 100%, $G$9) + CHOOSE(CONTROL!$C$38, 0.034, 0)</f>
        <v>19.412199999999999</v>
      </c>
      <c r="G96" s="17">
        <f>18.6195 * CHOOSE(CONTROL!$C$15, $E$9, 100%, $G$9) + CHOOSE(CONTROL!$C$38, 0.0342, 0)</f>
        <v>18.653699999999997</v>
      </c>
      <c r="H96" s="17">
        <f>18.6195 * CHOOSE(CONTROL!$C$15, $E$9, 100%, $G$9) + CHOOSE(CONTROL!$C$38, 0.0342, 0)</f>
        <v>18.653699999999997</v>
      </c>
      <c r="I96" s="17">
        <f>18.6211 * CHOOSE(CONTROL!$C$15, $E$9, 100%, $G$9) + CHOOSE(CONTROL!$C$38, 0.0342, 0)</f>
        <v>18.655299999999997</v>
      </c>
      <c r="J96" s="44">
        <f>105.5929</f>
        <v>105.5929</v>
      </c>
    </row>
    <row r="97" spans="1:10" ht="15" x14ac:dyDescent="0.2">
      <c r="A97" s="16">
        <v>43862</v>
      </c>
      <c r="B97" s="17">
        <f>19.683 * CHOOSE(CONTROL!$C$15, $E$9, 100%, $G$9) + CHOOSE(CONTROL!$C$38, 0.034, 0)</f>
        <v>19.716999999999999</v>
      </c>
      <c r="C97" s="17">
        <f>18.9247 * CHOOSE(CONTROL!$C$15, $E$9, 100%, $G$9) + CHOOSE(CONTROL!$C$38, 0.0342, 0)</f>
        <v>18.9589</v>
      </c>
      <c r="D97" s="17">
        <f>18.9169 * CHOOSE(CONTROL!$C$15, $E$9, 100%, $G$9) + CHOOSE(CONTROL!$C$38, 0.0342, 0)</f>
        <v>18.951099999999997</v>
      </c>
      <c r="E97" s="17">
        <f>18.9169 * CHOOSE(CONTROL!$C$15, $E$9, 100%, $G$9) + CHOOSE(CONTROL!$C$38, 0.0342, 0)</f>
        <v>18.951099999999997</v>
      </c>
      <c r="F97" s="45">
        <f>19.683 * CHOOSE(CONTROL!$C$15, $E$9, 100%, $G$9) + CHOOSE(CONTROL!$C$38, 0.034, 0)</f>
        <v>19.716999999999999</v>
      </c>
      <c r="G97" s="17">
        <f>18.9232 * CHOOSE(CONTROL!$C$15, $E$9, 100%, $G$9) + CHOOSE(CONTROL!$C$38, 0.0342, 0)</f>
        <v>18.9574</v>
      </c>
      <c r="H97" s="17">
        <f>18.9232 * CHOOSE(CONTROL!$C$15, $E$9, 100%, $G$9) + CHOOSE(CONTROL!$C$38, 0.0342, 0)</f>
        <v>18.9574</v>
      </c>
      <c r="I97" s="17">
        <f>18.9247 * CHOOSE(CONTROL!$C$15, $E$9, 100%, $G$9) + CHOOSE(CONTROL!$C$38, 0.0342, 0)</f>
        <v>18.9589</v>
      </c>
      <c r="J97" s="44">
        <f>105.5163</f>
        <v>105.5163</v>
      </c>
    </row>
    <row r="98" spans="1:10" ht="15" x14ac:dyDescent="0.2">
      <c r="A98" s="16">
        <v>43891</v>
      </c>
      <c r="B98" s="17">
        <f>19.1048 * CHOOSE(CONTROL!$C$15, $E$9, 100%, $G$9) + CHOOSE(CONTROL!$C$38, 0.034, 0)</f>
        <v>19.1388</v>
      </c>
      <c r="C98" s="17">
        <f>18.3452 * CHOOSE(CONTROL!$C$15, $E$9, 100%, $G$9) + CHOOSE(CONTROL!$C$38, 0.0342, 0)</f>
        <v>18.379399999999997</v>
      </c>
      <c r="D98" s="17">
        <f>18.3374 * CHOOSE(CONTROL!$C$15, $E$9, 100%, $G$9) + CHOOSE(CONTROL!$C$38, 0.0342, 0)</f>
        <v>18.371599999999997</v>
      </c>
      <c r="E98" s="17">
        <f>18.3374 * CHOOSE(CONTROL!$C$15, $E$9, 100%, $G$9) + CHOOSE(CONTROL!$C$38, 0.0342, 0)</f>
        <v>18.371599999999997</v>
      </c>
      <c r="F98" s="45">
        <f>19.1048 * CHOOSE(CONTROL!$C$15, $E$9, 100%, $G$9) + CHOOSE(CONTROL!$C$38, 0.034, 0)</f>
        <v>19.1388</v>
      </c>
      <c r="G98" s="17">
        <f>18.3436 * CHOOSE(CONTROL!$C$15, $E$9, 100%, $G$9) + CHOOSE(CONTROL!$C$38, 0.0342, 0)</f>
        <v>18.377799999999997</v>
      </c>
      <c r="H98" s="17">
        <f>18.3436 * CHOOSE(CONTROL!$C$15, $E$9, 100%, $G$9) + CHOOSE(CONTROL!$C$38, 0.0342, 0)</f>
        <v>18.377799999999997</v>
      </c>
      <c r="I98" s="17">
        <f>18.3452 * CHOOSE(CONTROL!$C$15, $E$9, 100%, $G$9) + CHOOSE(CONTROL!$C$38, 0.0342, 0)</f>
        <v>18.379399999999997</v>
      </c>
      <c r="J98" s="44">
        <f>111.3064</f>
        <v>111.3064</v>
      </c>
    </row>
    <row r="99" spans="1:10" ht="15" x14ac:dyDescent="0.2">
      <c r="A99" s="16">
        <v>43922</v>
      </c>
      <c r="B99" s="17">
        <f>18.5432 * CHOOSE(CONTROL!$C$15, $E$9, 100%, $G$9) + CHOOSE(CONTROL!$C$38, 0.034, 0)</f>
        <v>18.577199999999998</v>
      </c>
      <c r="C99" s="17">
        <f>17.7824 * CHOOSE(CONTROL!$C$15, $E$9, 100%, $G$9) + CHOOSE(CONTROL!$C$38, 0.0342, 0)</f>
        <v>17.816599999999998</v>
      </c>
      <c r="D99" s="17">
        <f>17.7746 * CHOOSE(CONTROL!$C$15, $E$9, 100%, $G$9) + CHOOSE(CONTROL!$C$38, 0.0342, 0)</f>
        <v>17.808799999999998</v>
      </c>
      <c r="E99" s="17">
        <f>17.7746 * CHOOSE(CONTROL!$C$15, $E$9, 100%, $G$9) + CHOOSE(CONTROL!$C$38, 0.0342, 0)</f>
        <v>17.808799999999998</v>
      </c>
      <c r="F99" s="45">
        <f>18.5432 * CHOOSE(CONTROL!$C$15, $E$9, 100%, $G$9) + CHOOSE(CONTROL!$C$38, 0.034, 0)</f>
        <v>18.577199999999998</v>
      </c>
      <c r="G99" s="17">
        <f>17.7809 * CHOOSE(CONTROL!$C$15, $E$9, 100%, $G$9) + CHOOSE(CONTROL!$C$38, 0.0342, 0)</f>
        <v>17.815099999999997</v>
      </c>
      <c r="H99" s="17">
        <f>17.7809 * CHOOSE(CONTROL!$C$15, $E$9, 100%, $G$9) + CHOOSE(CONTROL!$C$38, 0.0342, 0)</f>
        <v>17.815099999999997</v>
      </c>
      <c r="I99" s="17">
        <f>17.7824 * CHOOSE(CONTROL!$C$15, $E$9, 100%, $G$9) + CHOOSE(CONTROL!$C$38, 0.0342, 0)</f>
        <v>17.816599999999998</v>
      </c>
      <c r="J99" s="44">
        <f>118.7771</f>
        <v>118.7771</v>
      </c>
    </row>
    <row r="100" spans="1:10" ht="15" x14ac:dyDescent="0.2">
      <c r="A100" s="16">
        <v>43952</v>
      </c>
      <c r="B100" s="17">
        <f>17.9539 * CHOOSE(CONTROL!$C$15, $E$9, 100%, $G$9) + CHOOSE(CONTROL!$C$38, 0.0353, 0)</f>
        <v>17.9892</v>
      </c>
      <c r="C100" s="17">
        <f>17.1919 * CHOOSE(CONTROL!$C$15, $E$9, 100%, $G$9) + CHOOSE(CONTROL!$C$38, 0.0354, 0)</f>
        <v>17.2273</v>
      </c>
      <c r="D100" s="17">
        <f>17.184 * CHOOSE(CONTROL!$C$15, $E$9, 100%, $G$9) + CHOOSE(CONTROL!$C$38, 0.0354, 0)</f>
        <v>17.2194</v>
      </c>
      <c r="E100" s="17">
        <f>17.184 * CHOOSE(CONTROL!$C$15, $E$9, 100%, $G$9) + CHOOSE(CONTROL!$C$38, 0.0354, 0)</f>
        <v>17.2194</v>
      </c>
      <c r="F100" s="45">
        <f>17.9539 * CHOOSE(CONTROL!$C$15, $E$9, 100%, $G$9) + CHOOSE(CONTROL!$C$38, 0.0353, 0)</f>
        <v>17.9892</v>
      </c>
      <c r="G100" s="17">
        <f>17.1903 * CHOOSE(CONTROL!$C$15, $E$9, 100%, $G$9) + CHOOSE(CONTROL!$C$38, 0.0354, 0)</f>
        <v>17.2257</v>
      </c>
      <c r="H100" s="17">
        <f>17.1903 * CHOOSE(CONTROL!$C$15, $E$9, 100%, $G$9) + CHOOSE(CONTROL!$C$38, 0.0354, 0)</f>
        <v>17.2257</v>
      </c>
      <c r="I100" s="17">
        <f>17.1919 * CHOOSE(CONTROL!$C$15, $E$9, 100%, $G$9) + CHOOSE(CONTROL!$C$38, 0.0354, 0)</f>
        <v>17.2273</v>
      </c>
      <c r="J100" s="44">
        <f>123.0159</f>
        <v>123.0159</v>
      </c>
    </row>
    <row r="101" spans="1:10" ht="15" x14ac:dyDescent="0.2">
      <c r="A101" s="16">
        <v>43983</v>
      </c>
      <c r="B101" s="17">
        <f>17.5497 * CHOOSE(CONTROL!$C$15, $E$9, 100%, $G$9) + CHOOSE(CONTROL!$C$38, 0.0353, 0)</f>
        <v>17.585000000000001</v>
      </c>
      <c r="C101" s="17">
        <f>16.7864 * CHOOSE(CONTROL!$C$15, $E$9, 100%, $G$9) + CHOOSE(CONTROL!$C$38, 0.0354, 0)</f>
        <v>16.8218</v>
      </c>
      <c r="D101" s="17">
        <f>16.7786 * CHOOSE(CONTROL!$C$15, $E$9, 100%, $G$9) + CHOOSE(CONTROL!$C$38, 0.0354, 0)</f>
        <v>16.814</v>
      </c>
      <c r="E101" s="17">
        <f>16.7786 * CHOOSE(CONTROL!$C$15, $E$9, 100%, $G$9) + CHOOSE(CONTROL!$C$38, 0.0354, 0)</f>
        <v>16.814</v>
      </c>
      <c r="F101" s="45">
        <f>17.5497 * CHOOSE(CONTROL!$C$15, $E$9, 100%, $G$9) + CHOOSE(CONTROL!$C$38, 0.0353, 0)</f>
        <v>17.585000000000001</v>
      </c>
      <c r="G101" s="17">
        <f>16.7848 * CHOOSE(CONTROL!$C$15, $E$9, 100%, $G$9) + CHOOSE(CONTROL!$C$38, 0.0354, 0)</f>
        <v>16.8202</v>
      </c>
      <c r="H101" s="17">
        <f>16.7848 * CHOOSE(CONTROL!$C$15, $E$9, 100%, $G$9) + CHOOSE(CONTROL!$C$38, 0.0354, 0)</f>
        <v>16.8202</v>
      </c>
      <c r="I101" s="17">
        <f>16.7864 * CHOOSE(CONTROL!$C$15, $E$9, 100%, $G$9) + CHOOSE(CONTROL!$C$38, 0.0354, 0)</f>
        <v>16.8218</v>
      </c>
      <c r="J101" s="44">
        <f>125.0455</f>
        <v>125.0455</v>
      </c>
    </row>
    <row r="102" spans="1:10" ht="15" x14ac:dyDescent="0.2">
      <c r="A102" s="16">
        <v>44013</v>
      </c>
      <c r="B102" s="17">
        <f>17.3329 * CHOOSE(CONTROL!$C$15, $E$9, 100%, $G$9) + CHOOSE(CONTROL!$C$38, 0.0353, 0)</f>
        <v>17.368199999999998</v>
      </c>
      <c r="C102" s="17">
        <f>16.5684 * CHOOSE(CONTROL!$C$15, $E$9, 100%, $G$9) + CHOOSE(CONTROL!$C$38, 0.0354, 0)</f>
        <v>16.6038</v>
      </c>
      <c r="D102" s="17">
        <f>16.5606 * CHOOSE(CONTROL!$C$15, $E$9, 100%, $G$9) + CHOOSE(CONTROL!$C$38, 0.0354, 0)</f>
        <v>16.596</v>
      </c>
      <c r="E102" s="17">
        <f>16.5606 * CHOOSE(CONTROL!$C$15, $E$9, 100%, $G$9) + CHOOSE(CONTROL!$C$38, 0.0354, 0)</f>
        <v>16.596</v>
      </c>
      <c r="F102" s="45">
        <f>17.3329 * CHOOSE(CONTROL!$C$15, $E$9, 100%, $G$9) + CHOOSE(CONTROL!$C$38, 0.0353, 0)</f>
        <v>17.368199999999998</v>
      </c>
      <c r="G102" s="17">
        <f>16.5668 * CHOOSE(CONTROL!$C$15, $E$9, 100%, $G$9) + CHOOSE(CONTROL!$C$38, 0.0354, 0)</f>
        <v>16.6022</v>
      </c>
      <c r="H102" s="17">
        <f>16.5668 * CHOOSE(CONTROL!$C$15, $E$9, 100%, $G$9) + CHOOSE(CONTROL!$C$38, 0.0354, 0)</f>
        <v>16.6022</v>
      </c>
      <c r="I102" s="17">
        <f>16.5684 * CHOOSE(CONTROL!$C$15, $E$9, 100%, $G$9) + CHOOSE(CONTROL!$C$38, 0.0354, 0)</f>
        <v>16.6038</v>
      </c>
      <c r="J102" s="44">
        <f>124.7171</f>
        <v>124.7171</v>
      </c>
    </row>
    <row r="103" spans="1:10" ht="15" x14ac:dyDescent="0.2">
      <c r="A103" s="16">
        <v>44044</v>
      </c>
      <c r="B103" s="17">
        <f>17.4918 * CHOOSE(CONTROL!$C$15, $E$9, 100%, $G$9) + CHOOSE(CONTROL!$C$38, 0.0353, 0)</f>
        <v>17.527100000000001</v>
      </c>
      <c r="C103" s="17">
        <f>16.726 * CHOOSE(CONTROL!$C$15, $E$9, 100%, $G$9) + CHOOSE(CONTROL!$C$38, 0.0354, 0)</f>
        <v>16.761399999999998</v>
      </c>
      <c r="D103" s="17">
        <f>16.7182 * CHOOSE(CONTROL!$C$15, $E$9, 100%, $G$9) + CHOOSE(CONTROL!$C$38, 0.0354, 0)</f>
        <v>16.753599999999999</v>
      </c>
      <c r="E103" s="17">
        <f>16.7182 * CHOOSE(CONTROL!$C$15, $E$9, 100%, $G$9) + CHOOSE(CONTROL!$C$38, 0.0354, 0)</f>
        <v>16.753599999999999</v>
      </c>
      <c r="F103" s="45">
        <f>17.4918 * CHOOSE(CONTROL!$C$15, $E$9, 100%, $G$9) + CHOOSE(CONTROL!$C$38, 0.0353, 0)</f>
        <v>17.527100000000001</v>
      </c>
      <c r="G103" s="17">
        <f>16.7245 * CHOOSE(CONTROL!$C$15, $E$9, 100%, $G$9) + CHOOSE(CONTROL!$C$38, 0.0354, 0)</f>
        <v>16.759899999999998</v>
      </c>
      <c r="H103" s="17">
        <f>16.7245 * CHOOSE(CONTROL!$C$15, $E$9, 100%, $G$9) + CHOOSE(CONTROL!$C$38, 0.0354, 0)</f>
        <v>16.759899999999998</v>
      </c>
      <c r="I103" s="17">
        <f>16.726 * CHOOSE(CONTROL!$C$15, $E$9, 100%, $G$9) + CHOOSE(CONTROL!$C$38, 0.0354, 0)</f>
        <v>16.761399999999998</v>
      </c>
      <c r="J103" s="44">
        <f>122.0646</f>
        <v>122.0646</v>
      </c>
    </row>
    <row r="104" spans="1:10" ht="15" x14ac:dyDescent="0.2">
      <c r="A104" s="16">
        <v>44075</v>
      </c>
      <c r="B104" s="17">
        <f>17.8652 * CHOOSE(CONTROL!$C$15, $E$9, 100%, $G$9) + CHOOSE(CONTROL!$C$38, 0.0353, 0)</f>
        <v>17.900500000000001</v>
      </c>
      <c r="C104" s="17">
        <f>17.0982 * CHOOSE(CONTROL!$C$15, $E$9, 100%, $G$9) + CHOOSE(CONTROL!$C$38, 0.0354, 0)</f>
        <v>17.133599999999998</v>
      </c>
      <c r="D104" s="17">
        <f>17.0903 * CHOOSE(CONTROL!$C$15, $E$9, 100%, $G$9) + CHOOSE(CONTROL!$C$38, 0.0354, 0)</f>
        <v>17.125699999999998</v>
      </c>
      <c r="E104" s="17">
        <f>17.0903 * CHOOSE(CONTROL!$C$15, $E$9, 100%, $G$9) + CHOOSE(CONTROL!$C$38, 0.0354, 0)</f>
        <v>17.125699999999998</v>
      </c>
      <c r="F104" s="45">
        <f>17.8652 * CHOOSE(CONTROL!$C$15, $E$9, 100%, $G$9) + CHOOSE(CONTROL!$C$38, 0.0353, 0)</f>
        <v>17.900500000000001</v>
      </c>
      <c r="G104" s="17">
        <f>17.0966 * CHOOSE(CONTROL!$C$15, $E$9, 100%, $G$9) + CHOOSE(CONTROL!$C$38, 0.0354, 0)</f>
        <v>17.131999999999998</v>
      </c>
      <c r="H104" s="17">
        <f>17.0966 * CHOOSE(CONTROL!$C$15, $E$9, 100%, $G$9) + CHOOSE(CONTROL!$C$38, 0.0354, 0)</f>
        <v>17.131999999999998</v>
      </c>
      <c r="I104" s="17">
        <f>17.0982 * CHOOSE(CONTROL!$C$15, $E$9, 100%, $G$9) + CHOOSE(CONTROL!$C$38, 0.0354, 0)</f>
        <v>17.133599999999998</v>
      </c>
      <c r="J104" s="44">
        <f>118.2505</f>
        <v>118.2505</v>
      </c>
    </row>
    <row r="105" spans="1:10" ht="15" x14ac:dyDescent="0.2">
      <c r="A105" s="16">
        <v>44105</v>
      </c>
      <c r="B105" s="17">
        <f>18.1849 * CHOOSE(CONTROL!$C$15, $E$9, 100%, $G$9) + CHOOSE(CONTROL!$C$38, 0.034, 0)</f>
        <v>18.218899999999998</v>
      </c>
      <c r="C105" s="17">
        <f>17.4166 * CHOOSE(CONTROL!$C$15, $E$9, 100%, $G$9) + CHOOSE(CONTROL!$C$38, 0.0342, 0)</f>
        <v>17.450799999999997</v>
      </c>
      <c r="D105" s="17">
        <f>17.4088 * CHOOSE(CONTROL!$C$15, $E$9, 100%, $G$9) + CHOOSE(CONTROL!$C$38, 0.0342, 0)</f>
        <v>17.442999999999998</v>
      </c>
      <c r="E105" s="17">
        <f>17.4088 * CHOOSE(CONTROL!$C$15, $E$9, 100%, $G$9) + CHOOSE(CONTROL!$C$38, 0.0342, 0)</f>
        <v>17.442999999999998</v>
      </c>
      <c r="F105" s="45">
        <f>18.1849 * CHOOSE(CONTROL!$C$15, $E$9, 100%, $G$9) + CHOOSE(CONTROL!$C$38, 0.034, 0)</f>
        <v>18.218899999999998</v>
      </c>
      <c r="G105" s="17">
        <f>17.4151 * CHOOSE(CONTROL!$C$15, $E$9, 100%, $G$9) + CHOOSE(CONTROL!$C$38, 0.0342, 0)</f>
        <v>17.449299999999997</v>
      </c>
      <c r="H105" s="17">
        <f>17.4151 * CHOOSE(CONTROL!$C$15, $E$9, 100%, $G$9) + CHOOSE(CONTROL!$C$38, 0.0342, 0)</f>
        <v>17.449299999999997</v>
      </c>
      <c r="I105" s="17">
        <f>17.4166 * CHOOSE(CONTROL!$C$15, $E$9, 100%, $G$9) + CHOOSE(CONTROL!$C$38, 0.0342, 0)</f>
        <v>17.450799999999997</v>
      </c>
      <c r="J105" s="44">
        <f>114.3964</f>
        <v>114.3964</v>
      </c>
    </row>
    <row r="106" spans="1:10" ht="15" x14ac:dyDescent="0.2">
      <c r="A106" s="16">
        <v>44136</v>
      </c>
      <c r="B106" s="17">
        <f>18.4587 * CHOOSE(CONTROL!$C$15, $E$9, 100%, $G$9) + CHOOSE(CONTROL!$C$38, 0.034, 0)</f>
        <v>18.492699999999999</v>
      </c>
      <c r="C106" s="17">
        <f>17.6892 * CHOOSE(CONTROL!$C$15, $E$9, 100%, $G$9) + CHOOSE(CONTROL!$C$38, 0.0342, 0)</f>
        <v>17.723399999999998</v>
      </c>
      <c r="D106" s="17">
        <f>17.6814 * CHOOSE(CONTROL!$C$15, $E$9, 100%, $G$9) + CHOOSE(CONTROL!$C$38, 0.0342, 0)</f>
        <v>17.715599999999998</v>
      </c>
      <c r="E106" s="17">
        <f>17.6814 * CHOOSE(CONTROL!$C$15, $E$9, 100%, $G$9) + CHOOSE(CONTROL!$C$38, 0.0342, 0)</f>
        <v>17.715599999999998</v>
      </c>
      <c r="F106" s="45">
        <f>18.4587 * CHOOSE(CONTROL!$C$15, $E$9, 100%, $G$9) + CHOOSE(CONTROL!$C$38, 0.034, 0)</f>
        <v>18.492699999999999</v>
      </c>
      <c r="G106" s="17">
        <f>17.6876 * CHOOSE(CONTROL!$C$15, $E$9, 100%, $G$9) + CHOOSE(CONTROL!$C$38, 0.0342, 0)</f>
        <v>17.721799999999998</v>
      </c>
      <c r="H106" s="17">
        <f>17.6876 * CHOOSE(CONTROL!$C$15, $E$9, 100%, $G$9) + CHOOSE(CONTROL!$C$38, 0.0342, 0)</f>
        <v>17.721799999999998</v>
      </c>
      <c r="I106" s="17">
        <f>17.6892 * CHOOSE(CONTROL!$C$15, $E$9, 100%, $G$9) + CHOOSE(CONTROL!$C$38, 0.0342, 0)</f>
        <v>17.723399999999998</v>
      </c>
      <c r="J106" s="44">
        <f>113.8153</f>
        <v>113.81529999999999</v>
      </c>
    </row>
    <row r="107" spans="1:10" ht="15" x14ac:dyDescent="0.2">
      <c r="A107" s="16">
        <v>44166</v>
      </c>
      <c r="B107" s="17">
        <f>19.2293 * CHOOSE(CONTROL!$C$15, $E$9, 100%, $G$9) + CHOOSE(CONTROL!$C$38, 0.034, 0)</f>
        <v>19.263299999999997</v>
      </c>
      <c r="C107" s="17">
        <f>18.4584 * CHOOSE(CONTROL!$C$15, $E$9, 100%, $G$9) + CHOOSE(CONTROL!$C$38, 0.0342, 0)</f>
        <v>18.492599999999999</v>
      </c>
      <c r="D107" s="17">
        <f>18.4506 * CHOOSE(CONTROL!$C$15, $E$9, 100%, $G$9) + CHOOSE(CONTROL!$C$38, 0.0342, 0)</f>
        <v>18.4848</v>
      </c>
      <c r="E107" s="17">
        <f>18.4506 * CHOOSE(CONTROL!$C$15, $E$9, 100%, $G$9) + CHOOSE(CONTROL!$C$38, 0.0342, 0)</f>
        <v>18.4848</v>
      </c>
      <c r="F107" s="45">
        <f>19.2293 * CHOOSE(CONTROL!$C$15, $E$9, 100%, $G$9) + CHOOSE(CONTROL!$C$38, 0.034, 0)</f>
        <v>19.263299999999997</v>
      </c>
      <c r="G107" s="17">
        <f>18.4569 * CHOOSE(CONTROL!$C$15, $E$9, 100%, $G$9) + CHOOSE(CONTROL!$C$38, 0.0342, 0)</f>
        <v>18.491099999999999</v>
      </c>
      <c r="H107" s="17">
        <f>18.4569 * CHOOSE(CONTROL!$C$15, $E$9, 100%, $G$9) + CHOOSE(CONTROL!$C$38, 0.0342, 0)</f>
        <v>18.491099999999999</v>
      </c>
      <c r="I107" s="17">
        <f>18.4584 * CHOOSE(CONTROL!$C$15, $E$9, 100%, $G$9) + CHOOSE(CONTROL!$C$38, 0.0342, 0)</f>
        <v>18.492599999999999</v>
      </c>
      <c r="J107" s="44">
        <f>110.6653</f>
        <v>110.6653</v>
      </c>
    </row>
    <row r="108" spans="1:10" ht="15" x14ac:dyDescent="0.2">
      <c r="A108" s="16">
        <v>44197</v>
      </c>
      <c r="B108" s="17">
        <f>20.4194 * CHOOSE(CONTROL!$C$15, $E$9, 100%, $G$9) + CHOOSE(CONTROL!$C$38, 0.034, 0)</f>
        <v>20.453399999999998</v>
      </c>
      <c r="C108" s="17">
        <f>19.3378 * CHOOSE(CONTROL!$C$15, $E$9, 100%, $G$9) + CHOOSE(CONTROL!$C$38, 0.0342, 0)</f>
        <v>19.372</v>
      </c>
      <c r="D108" s="17">
        <f>19.33 * CHOOSE(CONTROL!$C$15, $E$9, 100%, $G$9) + CHOOSE(CONTROL!$C$38, 0.0342, 0)</f>
        <v>19.364199999999997</v>
      </c>
      <c r="E108" s="17">
        <f>19.33 * CHOOSE(CONTROL!$C$15, $E$9, 100%, $G$9) + CHOOSE(CONTROL!$C$38, 0.0342, 0)</f>
        <v>19.364199999999997</v>
      </c>
      <c r="F108" s="45">
        <f>20.4194 * CHOOSE(CONTROL!$C$15, $E$9, 100%, $G$9) + CHOOSE(CONTROL!$C$38, 0.034, 0)</f>
        <v>20.453399999999998</v>
      </c>
      <c r="G108" s="17">
        <f>19.3363 * CHOOSE(CONTROL!$C$15, $E$9, 100%, $G$9) + CHOOSE(CONTROL!$C$38, 0.0342, 0)</f>
        <v>19.3705</v>
      </c>
      <c r="H108" s="17">
        <f>19.3363 * CHOOSE(CONTROL!$C$15, $E$9, 100%, $G$9) + CHOOSE(CONTROL!$C$38, 0.0342, 0)</f>
        <v>19.3705</v>
      </c>
      <c r="I108" s="17">
        <f>19.3378 * CHOOSE(CONTROL!$C$15, $E$9, 100%, $G$9) + CHOOSE(CONTROL!$C$38, 0.0342, 0)</f>
        <v>19.372</v>
      </c>
      <c r="J108" s="44">
        <f>111.0011</f>
        <v>111.00109999999999</v>
      </c>
    </row>
    <row r="109" spans="1:10" ht="15" x14ac:dyDescent="0.2">
      <c r="A109" s="16">
        <v>44228</v>
      </c>
      <c r="B109" s="17">
        <f>20.7331 * CHOOSE(CONTROL!$C$15, $E$9, 100%, $G$9) + CHOOSE(CONTROL!$C$38, 0.034, 0)</f>
        <v>20.767099999999999</v>
      </c>
      <c r="C109" s="17">
        <f>19.6496 * CHOOSE(CONTROL!$C$15, $E$9, 100%, $G$9) + CHOOSE(CONTROL!$C$38, 0.0342, 0)</f>
        <v>19.683799999999998</v>
      </c>
      <c r="D109" s="17">
        <f>19.6418 * CHOOSE(CONTROL!$C$15, $E$9, 100%, $G$9) + CHOOSE(CONTROL!$C$38, 0.0342, 0)</f>
        <v>19.675999999999998</v>
      </c>
      <c r="E109" s="17">
        <f>19.6418 * CHOOSE(CONTROL!$C$15, $E$9, 100%, $G$9) + CHOOSE(CONTROL!$C$38, 0.0342, 0)</f>
        <v>19.675999999999998</v>
      </c>
      <c r="F109" s="45">
        <f>20.7331 * CHOOSE(CONTROL!$C$15, $E$9, 100%, $G$9) + CHOOSE(CONTROL!$C$38, 0.034, 0)</f>
        <v>20.767099999999999</v>
      </c>
      <c r="G109" s="17">
        <f>19.648 * CHOOSE(CONTROL!$C$15, $E$9, 100%, $G$9) + CHOOSE(CONTROL!$C$38, 0.0342, 0)</f>
        <v>19.682199999999998</v>
      </c>
      <c r="H109" s="17">
        <f>19.648 * CHOOSE(CONTROL!$C$15, $E$9, 100%, $G$9) + CHOOSE(CONTROL!$C$38, 0.0342, 0)</f>
        <v>19.682199999999998</v>
      </c>
      <c r="I109" s="17">
        <f>19.6496 * CHOOSE(CONTROL!$C$15, $E$9, 100%, $G$9) + CHOOSE(CONTROL!$C$38, 0.0342, 0)</f>
        <v>19.683799999999998</v>
      </c>
      <c r="J109" s="44">
        <f>110.9205</f>
        <v>110.9205</v>
      </c>
    </row>
    <row r="110" spans="1:10" ht="15" x14ac:dyDescent="0.2">
      <c r="A110" s="16">
        <v>44256</v>
      </c>
      <c r="B110" s="17">
        <f>20.1416 * CHOOSE(CONTROL!$C$15, $E$9, 100%, $G$9) + CHOOSE(CONTROL!$C$38, 0.034, 0)</f>
        <v>20.175599999999999</v>
      </c>
      <c r="C110" s="17">
        <f>19.0562 * CHOOSE(CONTROL!$C$15, $E$9, 100%, $G$9) + CHOOSE(CONTROL!$C$38, 0.0342, 0)</f>
        <v>19.090399999999999</v>
      </c>
      <c r="D110" s="17">
        <f>19.0483 * CHOOSE(CONTROL!$C$15, $E$9, 100%, $G$9) + CHOOSE(CONTROL!$C$38, 0.0342, 0)</f>
        <v>19.0825</v>
      </c>
      <c r="E110" s="17">
        <f>19.0483 * CHOOSE(CONTROL!$C$15, $E$9, 100%, $G$9) + CHOOSE(CONTROL!$C$38, 0.0342, 0)</f>
        <v>19.0825</v>
      </c>
      <c r="F110" s="45">
        <f>20.1416 * CHOOSE(CONTROL!$C$15, $E$9, 100%, $G$9) + CHOOSE(CONTROL!$C$38, 0.034, 0)</f>
        <v>20.175599999999999</v>
      </c>
      <c r="G110" s="17">
        <f>19.0546 * CHOOSE(CONTROL!$C$15, $E$9, 100%, $G$9) + CHOOSE(CONTROL!$C$38, 0.0342, 0)</f>
        <v>19.088799999999999</v>
      </c>
      <c r="H110" s="17">
        <f>19.0546 * CHOOSE(CONTROL!$C$15, $E$9, 100%, $G$9) + CHOOSE(CONTROL!$C$38, 0.0342, 0)</f>
        <v>19.088799999999999</v>
      </c>
      <c r="I110" s="17">
        <f>19.0562 * CHOOSE(CONTROL!$C$15, $E$9, 100%, $G$9) + CHOOSE(CONTROL!$C$38, 0.0342, 0)</f>
        <v>19.090399999999999</v>
      </c>
      <c r="J110" s="44">
        <f>117.0072</f>
        <v>117.0072</v>
      </c>
    </row>
    <row r="111" spans="1:10" ht="15" x14ac:dyDescent="0.2">
      <c r="A111" s="16">
        <v>44287</v>
      </c>
      <c r="B111" s="17">
        <f>19.5672 * CHOOSE(CONTROL!$C$15, $E$9, 100%, $G$9) + CHOOSE(CONTROL!$C$38, 0.034, 0)</f>
        <v>19.601199999999999</v>
      </c>
      <c r="C111" s="17">
        <f>18.4799 * CHOOSE(CONTROL!$C$15, $E$9, 100%, $G$9) + CHOOSE(CONTROL!$C$38, 0.0342, 0)</f>
        <v>18.514099999999999</v>
      </c>
      <c r="D111" s="17">
        <f>18.472 * CHOOSE(CONTROL!$C$15, $E$9, 100%, $G$9) + CHOOSE(CONTROL!$C$38, 0.0342, 0)</f>
        <v>18.5062</v>
      </c>
      <c r="E111" s="17">
        <f>18.472 * CHOOSE(CONTROL!$C$15, $E$9, 100%, $G$9) + CHOOSE(CONTROL!$C$38, 0.0342, 0)</f>
        <v>18.5062</v>
      </c>
      <c r="F111" s="45">
        <f>19.5672 * CHOOSE(CONTROL!$C$15, $E$9, 100%, $G$9) + CHOOSE(CONTROL!$C$38, 0.034, 0)</f>
        <v>19.601199999999999</v>
      </c>
      <c r="G111" s="17">
        <f>18.4783 * CHOOSE(CONTROL!$C$15, $E$9, 100%, $G$9) + CHOOSE(CONTROL!$C$38, 0.0342, 0)</f>
        <v>18.512499999999999</v>
      </c>
      <c r="H111" s="17">
        <f>18.4783 * CHOOSE(CONTROL!$C$15, $E$9, 100%, $G$9) + CHOOSE(CONTROL!$C$38, 0.0342, 0)</f>
        <v>18.512499999999999</v>
      </c>
      <c r="I111" s="17">
        <f>18.4799 * CHOOSE(CONTROL!$C$15, $E$9, 100%, $G$9) + CHOOSE(CONTROL!$C$38, 0.0342, 0)</f>
        <v>18.514099999999999</v>
      </c>
      <c r="J111" s="44">
        <f>124.8606</f>
        <v>124.86060000000001</v>
      </c>
    </row>
    <row r="112" spans="1:10" ht="15" x14ac:dyDescent="0.2">
      <c r="A112" s="16">
        <v>44317</v>
      </c>
      <c r="B112" s="17">
        <f>18.9643 * CHOOSE(CONTROL!$C$15, $E$9, 100%, $G$9) + CHOOSE(CONTROL!$C$38, 0.0353, 0)</f>
        <v>18.999600000000001</v>
      </c>
      <c r="C112" s="17">
        <f>17.8751 * CHOOSE(CONTROL!$C$15, $E$9, 100%, $G$9) + CHOOSE(CONTROL!$C$38, 0.0354, 0)</f>
        <v>17.910499999999999</v>
      </c>
      <c r="D112" s="17">
        <f>17.8672 * CHOOSE(CONTROL!$C$15, $E$9, 100%, $G$9) + CHOOSE(CONTROL!$C$38, 0.0354, 0)</f>
        <v>17.9026</v>
      </c>
      <c r="E112" s="17">
        <f>17.8672 * CHOOSE(CONTROL!$C$15, $E$9, 100%, $G$9) + CHOOSE(CONTROL!$C$38, 0.0354, 0)</f>
        <v>17.9026</v>
      </c>
      <c r="F112" s="45">
        <f>18.9643 * CHOOSE(CONTROL!$C$15, $E$9, 100%, $G$9) + CHOOSE(CONTROL!$C$38, 0.0353, 0)</f>
        <v>18.999600000000001</v>
      </c>
      <c r="G112" s="17">
        <f>17.8735 * CHOOSE(CONTROL!$C$15, $E$9, 100%, $G$9) + CHOOSE(CONTROL!$C$38, 0.0354, 0)</f>
        <v>17.908899999999999</v>
      </c>
      <c r="H112" s="17">
        <f>17.8735 * CHOOSE(CONTROL!$C$15, $E$9, 100%, $G$9) + CHOOSE(CONTROL!$C$38, 0.0354, 0)</f>
        <v>17.908899999999999</v>
      </c>
      <c r="I112" s="17">
        <f>17.8751 * CHOOSE(CONTROL!$C$15, $E$9, 100%, $G$9) + CHOOSE(CONTROL!$C$38, 0.0354, 0)</f>
        <v>17.910499999999999</v>
      </c>
      <c r="J112" s="44">
        <f>129.3165</f>
        <v>129.31649999999999</v>
      </c>
    </row>
    <row r="113" spans="1:10" ht="15" x14ac:dyDescent="0.2">
      <c r="A113" s="16">
        <v>44348</v>
      </c>
      <c r="B113" s="17">
        <f>18.5511 * CHOOSE(CONTROL!$C$15, $E$9, 100%, $G$9) + CHOOSE(CONTROL!$C$38, 0.0353, 0)</f>
        <v>18.586400000000001</v>
      </c>
      <c r="C113" s="17">
        <f>17.46 * CHOOSE(CONTROL!$C$15, $E$9, 100%, $G$9) + CHOOSE(CONTROL!$C$38, 0.0354, 0)</f>
        <v>17.4954</v>
      </c>
      <c r="D113" s="17">
        <f>17.4522 * CHOOSE(CONTROL!$C$15, $E$9, 100%, $G$9) + CHOOSE(CONTROL!$C$38, 0.0354, 0)</f>
        <v>17.4876</v>
      </c>
      <c r="E113" s="17">
        <f>17.4522 * CHOOSE(CONTROL!$C$15, $E$9, 100%, $G$9) + CHOOSE(CONTROL!$C$38, 0.0354, 0)</f>
        <v>17.4876</v>
      </c>
      <c r="F113" s="45">
        <f>18.5511 * CHOOSE(CONTROL!$C$15, $E$9, 100%, $G$9) + CHOOSE(CONTROL!$C$38, 0.0353, 0)</f>
        <v>18.586400000000001</v>
      </c>
      <c r="G113" s="17">
        <f>17.4584 * CHOOSE(CONTROL!$C$15, $E$9, 100%, $G$9) + CHOOSE(CONTROL!$C$38, 0.0354, 0)</f>
        <v>17.4938</v>
      </c>
      <c r="H113" s="17">
        <f>17.4584 * CHOOSE(CONTROL!$C$15, $E$9, 100%, $G$9) + CHOOSE(CONTROL!$C$38, 0.0354, 0)</f>
        <v>17.4938</v>
      </c>
      <c r="I113" s="17">
        <f>17.46 * CHOOSE(CONTROL!$C$15, $E$9, 100%, $G$9) + CHOOSE(CONTROL!$C$38, 0.0354, 0)</f>
        <v>17.4954</v>
      </c>
      <c r="J113" s="44">
        <f>131.45</f>
        <v>131.44999999999999</v>
      </c>
    </row>
    <row r="114" spans="1:10" ht="15" x14ac:dyDescent="0.2">
      <c r="A114" s="16">
        <v>44378</v>
      </c>
      <c r="B114" s="17">
        <f>18.3302 * CHOOSE(CONTROL!$C$15, $E$9, 100%, $G$9) + CHOOSE(CONTROL!$C$38, 0.0353, 0)</f>
        <v>18.365500000000001</v>
      </c>
      <c r="C114" s="17">
        <f>17.2371 * CHOOSE(CONTROL!$C$15, $E$9, 100%, $G$9) + CHOOSE(CONTROL!$C$38, 0.0354, 0)</f>
        <v>17.272500000000001</v>
      </c>
      <c r="D114" s="17">
        <f>17.2293 * CHOOSE(CONTROL!$C$15, $E$9, 100%, $G$9) + CHOOSE(CONTROL!$C$38, 0.0354, 0)</f>
        <v>17.264699999999998</v>
      </c>
      <c r="E114" s="17">
        <f>17.2293 * CHOOSE(CONTROL!$C$15, $E$9, 100%, $G$9) + CHOOSE(CONTROL!$C$38, 0.0354, 0)</f>
        <v>17.264699999999998</v>
      </c>
      <c r="F114" s="45">
        <f>18.3302 * CHOOSE(CONTROL!$C$15, $E$9, 100%, $G$9) + CHOOSE(CONTROL!$C$38, 0.0353, 0)</f>
        <v>18.365500000000001</v>
      </c>
      <c r="G114" s="17">
        <f>17.2356 * CHOOSE(CONTROL!$C$15, $E$9, 100%, $G$9) + CHOOSE(CONTROL!$C$38, 0.0354, 0)</f>
        <v>17.271000000000001</v>
      </c>
      <c r="H114" s="17">
        <f>17.2356 * CHOOSE(CONTROL!$C$15, $E$9, 100%, $G$9) + CHOOSE(CONTROL!$C$38, 0.0354, 0)</f>
        <v>17.271000000000001</v>
      </c>
      <c r="I114" s="17">
        <f>17.2371 * CHOOSE(CONTROL!$C$15, $E$9, 100%, $G$9) + CHOOSE(CONTROL!$C$38, 0.0354, 0)</f>
        <v>17.272500000000001</v>
      </c>
      <c r="J114" s="44">
        <f>131.1047</f>
        <v>131.10470000000001</v>
      </c>
    </row>
    <row r="115" spans="1:10" ht="15" x14ac:dyDescent="0.2">
      <c r="A115" s="16">
        <v>44409</v>
      </c>
      <c r="B115" s="17">
        <f>18.4942 * CHOOSE(CONTROL!$C$15, $E$9, 100%, $G$9) + CHOOSE(CONTROL!$C$38, 0.0353, 0)</f>
        <v>18.529499999999999</v>
      </c>
      <c r="C115" s="17">
        <f>17.3992 * CHOOSE(CONTROL!$C$15, $E$9, 100%, $G$9) + CHOOSE(CONTROL!$C$38, 0.0354, 0)</f>
        <v>17.4346</v>
      </c>
      <c r="D115" s="17">
        <f>17.3914 * CHOOSE(CONTROL!$C$15, $E$9, 100%, $G$9) + CHOOSE(CONTROL!$C$38, 0.0354, 0)</f>
        <v>17.4268</v>
      </c>
      <c r="E115" s="17">
        <f>17.3914 * CHOOSE(CONTROL!$C$15, $E$9, 100%, $G$9) + CHOOSE(CONTROL!$C$38, 0.0354, 0)</f>
        <v>17.4268</v>
      </c>
      <c r="F115" s="45">
        <f>18.4942 * CHOOSE(CONTROL!$C$15, $E$9, 100%, $G$9) + CHOOSE(CONTROL!$C$38, 0.0353, 0)</f>
        <v>18.529499999999999</v>
      </c>
      <c r="G115" s="17">
        <f>17.3976 * CHOOSE(CONTROL!$C$15, $E$9, 100%, $G$9) + CHOOSE(CONTROL!$C$38, 0.0354, 0)</f>
        <v>17.433</v>
      </c>
      <c r="H115" s="17">
        <f>17.3976 * CHOOSE(CONTROL!$C$15, $E$9, 100%, $G$9) + CHOOSE(CONTROL!$C$38, 0.0354, 0)</f>
        <v>17.433</v>
      </c>
      <c r="I115" s="17">
        <f>17.3992 * CHOOSE(CONTROL!$C$15, $E$9, 100%, $G$9) + CHOOSE(CONTROL!$C$38, 0.0354, 0)</f>
        <v>17.4346</v>
      </c>
      <c r="J115" s="44">
        <f>128.3164</f>
        <v>128.31639999999999</v>
      </c>
    </row>
    <row r="116" spans="1:10" ht="15" x14ac:dyDescent="0.2">
      <c r="A116" s="16">
        <v>44440</v>
      </c>
      <c r="B116" s="17">
        <f>18.8781 * CHOOSE(CONTROL!$C$15, $E$9, 100%, $G$9) + CHOOSE(CONTROL!$C$38, 0.0353, 0)</f>
        <v>18.913399999999999</v>
      </c>
      <c r="C116" s="17">
        <f>17.7812 * CHOOSE(CONTROL!$C$15, $E$9, 100%, $G$9) + CHOOSE(CONTROL!$C$38, 0.0354, 0)</f>
        <v>17.816599999999998</v>
      </c>
      <c r="D116" s="17">
        <f>17.7734 * CHOOSE(CONTROL!$C$15, $E$9, 100%, $G$9) + CHOOSE(CONTROL!$C$38, 0.0354, 0)</f>
        <v>17.808799999999998</v>
      </c>
      <c r="E116" s="17">
        <f>17.7734 * CHOOSE(CONTROL!$C$15, $E$9, 100%, $G$9) + CHOOSE(CONTROL!$C$38, 0.0354, 0)</f>
        <v>17.808799999999998</v>
      </c>
      <c r="F116" s="45">
        <f>18.8781 * CHOOSE(CONTROL!$C$15, $E$9, 100%, $G$9) + CHOOSE(CONTROL!$C$38, 0.0353, 0)</f>
        <v>18.913399999999999</v>
      </c>
      <c r="G116" s="17">
        <f>17.7796 * CHOOSE(CONTROL!$C$15, $E$9, 100%, $G$9) + CHOOSE(CONTROL!$C$38, 0.0354, 0)</f>
        <v>17.814999999999998</v>
      </c>
      <c r="H116" s="17">
        <f>17.7796 * CHOOSE(CONTROL!$C$15, $E$9, 100%, $G$9) + CHOOSE(CONTROL!$C$38, 0.0354, 0)</f>
        <v>17.814999999999998</v>
      </c>
      <c r="I116" s="17">
        <f>17.7812 * CHOOSE(CONTROL!$C$15, $E$9, 100%, $G$9) + CHOOSE(CONTROL!$C$38, 0.0354, 0)</f>
        <v>17.816599999999998</v>
      </c>
      <c r="J116" s="44">
        <f>124.3069</f>
        <v>124.3069</v>
      </c>
    </row>
    <row r="117" spans="1:10" ht="15" x14ac:dyDescent="0.2">
      <c r="A117" s="16">
        <v>44470</v>
      </c>
      <c r="B117" s="17">
        <f>19.2071 * CHOOSE(CONTROL!$C$15, $E$9, 100%, $G$9) + CHOOSE(CONTROL!$C$38, 0.034, 0)</f>
        <v>19.241099999999999</v>
      </c>
      <c r="C117" s="17">
        <f>18.1082 * CHOOSE(CONTROL!$C$15, $E$9, 100%, $G$9) + CHOOSE(CONTROL!$C$38, 0.0342, 0)</f>
        <v>18.142399999999999</v>
      </c>
      <c r="D117" s="17">
        <f>18.1004 * CHOOSE(CONTROL!$C$15, $E$9, 100%, $G$9) + CHOOSE(CONTROL!$C$38, 0.0342, 0)</f>
        <v>18.134599999999999</v>
      </c>
      <c r="E117" s="17">
        <f>18.1004 * CHOOSE(CONTROL!$C$15, $E$9, 100%, $G$9) + CHOOSE(CONTROL!$C$38, 0.0342, 0)</f>
        <v>18.134599999999999</v>
      </c>
      <c r="F117" s="45">
        <f>19.2071 * CHOOSE(CONTROL!$C$15, $E$9, 100%, $G$9) + CHOOSE(CONTROL!$C$38, 0.034, 0)</f>
        <v>19.241099999999999</v>
      </c>
      <c r="G117" s="17">
        <f>18.1066 * CHOOSE(CONTROL!$C$15, $E$9, 100%, $G$9) + CHOOSE(CONTROL!$C$38, 0.0342, 0)</f>
        <v>18.140799999999999</v>
      </c>
      <c r="H117" s="17">
        <f>18.1066 * CHOOSE(CONTROL!$C$15, $E$9, 100%, $G$9) + CHOOSE(CONTROL!$C$38, 0.0342, 0)</f>
        <v>18.140799999999999</v>
      </c>
      <c r="I117" s="17">
        <f>18.1082 * CHOOSE(CONTROL!$C$15, $E$9, 100%, $G$9) + CHOOSE(CONTROL!$C$38, 0.0342, 0)</f>
        <v>18.142399999999999</v>
      </c>
      <c r="J117" s="44">
        <f>120.2555</f>
        <v>120.2555</v>
      </c>
    </row>
    <row r="118" spans="1:10" ht="15" x14ac:dyDescent="0.2">
      <c r="A118" s="16">
        <v>44501</v>
      </c>
      <c r="B118" s="17">
        <f>19.4889 * CHOOSE(CONTROL!$C$15, $E$9, 100%, $G$9) + CHOOSE(CONTROL!$C$38, 0.034, 0)</f>
        <v>19.5229</v>
      </c>
      <c r="C118" s="17">
        <f>18.3881 * CHOOSE(CONTROL!$C$15, $E$9, 100%, $G$9) + CHOOSE(CONTROL!$C$38, 0.0342, 0)</f>
        <v>18.4223</v>
      </c>
      <c r="D118" s="17">
        <f>18.3803 * CHOOSE(CONTROL!$C$15, $E$9, 100%, $G$9) + CHOOSE(CONTROL!$C$38, 0.0342, 0)</f>
        <v>18.414499999999997</v>
      </c>
      <c r="E118" s="17">
        <f>18.3803 * CHOOSE(CONTROL!$C$15, $E$9, 100%, $G$9) + CHOOSE(CONTROL!$C$38, 0.0342, 0)</f>
        <v>18.414499999999997</v>
      </c>
      <c r="F118" s="45">
        <f>19.4889 * CHOOSE(CONTROL!$C$15, $E$9, 100%, $G$9) + CHOOSE(CONTROL!$C$38, 0.034, 0)</f>
        <v>19.5229</v>
      </c>
      <c r="G118" s="17">
        <f>18.3866 * CHOOSE(CONTROL!$C$15, $E$9, 100%, $G$9) + CHOOSE(CONTROL!$C$38, 0.0342, 0)</f>
        <v>18.4208</v>
      </c>
      <c r="H118" s="17">
        <f>18.3866 * CHOOSE(CONTROL!$C$15, $E$9, 100%, $G$9) + CHOOSE(CONTROL!$C$38, 0.0342, 0)</f>
        <v>18.4208</v>
      </c>
      <c r="I118" s="17">
        <f>18.3881 * CHOOSE(CONTROL!$C$15, $E$9, 100%, $G$9) + CHOOSE(CONTROL!$C$38, 0.0342, 0)</f>
        <v>18.4223</v>
      </c>
      <c r="J118" s="44">
        <f>119.6446</f>
        <v>119.6446</v>
      </c>
    </row>
    <row r="119" spans="1:10" ht="15" x14ac:dyDescent="0.2">
      <c r="A119" s="16">
        <v>44531</v>
      </c>
      <c r="B119" s="17">
        <f>20.2799 * CHOOSE(CONTROL!$C$15, $E$9, 100%, $G$9) + CHOOSE(CONTROL!$C$38, 0.034, 0)</f>
        <v>20.3139</v>
      </c>
      <c r="C119" s="17">
        <f>19.1771 * CHOOSE(CONTROL!$C$15, $E$9, 100%, $G$9) + CHOOSE(CONTROL!$C$38, 0.0342, 0)</f>
        <v>19.211299999999998</v>
      </c>
      <c r="D119" s="17">
        <f>19.1693 * CHOOSE(CONTROL!$C$15, $E$9, 100%, $G$9) + CHOOSE(CONTROL!$C$38, 0.0342, 0)</f>
        <v>19.203499999999998</v>
      </c>
      <c r="E119" s="17">
        <f>19.1693 * CHOOSE(CONTROL!$C$15, $E$9, 100%, $G$9) + CHOOSE(CONTROL!$C$38, 0.0342, 0)</f>
        <v>19.203499999999998</v>
      </c>
      <c r="F119" s="45">
        <f>20.2799 * CHOOSE(CONTROL!$C$15, $E$9, 100%, $G$9) + CHOOSE(CONTROL!$C$38, 0.034, 0)</f>
        <v>20.3139</v>
      </c>
      <c r="G119" s="17">
        <f>19.1756 * CHOOSE(CONTROL!$C$15, $E$9, 100%, $G$9) + CHOOSE(CONTROL!$C$38, 0.0342, 0)</f>
        <v>19.209799999999998</v>
      </c>
      <c r="H119" s="17">
        <f>19.1756 * CHOOSE(CONTROL!$C$15, $E$9, 100%, $G$9) + CHOOSE(CONTROL!$C$38, 0.0342, 0)</f>
        <v>19.209799999999998</v>
      </c>
      <c r="I119" s="17">
        <f>19.1771 * CHOOSE(CONTROL!$C$15, $E$9, 100%, $G$9) + CHOOSE(CONTROL!$C$38, 0.0342, 0)</f>
        <v>19.211299999999998</v>
      </c>
      <c r="J119" s="44">
        <f>116.3332</f>
        <v>116.33320000000001</v>
      </c>
    </row>
    <row r="120" spans="1:10" ht="15" x14ac:dyDescent="0.2">
      <c r="A120" s="16">
        <v>44562</v>
      </c>
      <c r="B120" s="17">
        <f>21.2853 * CHOOSE(CONTROL!$C$15, $E$9, 100%, $G$9) + CHOOSE(CONTROL!$C$38, 0.034, 0)</f>
        <v>21.319299999999998</v>
      </c>
      <c r="C120" s="17">
        <f>20.1884 * CHOOSE(CONTROL!$C$15, $E$9, 100%, $G$9) + CHOOSE(CONTROL!$C$38, 0.0342, 0)</f>
        <v>20.2226</v>
      </c>
      <c r="D120" s="17">
        <f>20.1806 * CHOOSE(CONTROL!$C$15, $E$9, 100%, $G$9) + CHOOSE(CONTROL!$C$38, 0.0342, 0)</f>
        <v>20.214799999999997</v>
      </c>
      <c r="E120" s="17">
        <f>20.1806 * CHOOSE(CONTROL!$C$15, $E$9, 100%, $G$9) + CHOOSE(CONTROL!$C$38, 0.0342, 0)</f>
        <v>20.214799999999997</v>
      </c>
      <c r="F120" s="45">
        <f>21.2853 * CHOOSE(CONTROL!$C$15, $E$9, 100%, $G$9) + CHOOSE(CONTROL!$C$38, 0.034, 0)</f>
        <v>21.319299999999998</v>
      </c>
      <c r="G120" s="17">
        <f>20.1869 * CHOOSE(CONTROL!$C$15, $E$9, 100%, $G$9) + CHOOSE(CONTROL!$C$38, 0.0342, 0)</f>
        <v>20.2211</v>
      </c>
      <c r="H120" s="17">
        <f>20.1869 * CHOOSE(CONTROL!$C$15, $E$9, 100%, $G$9) + CHOOSE(CONTROL!$C$38, 0.0342, 0)</f>
        <v>20.2211</v>
      </c>
      <c r="I120" s="17">
        <f>20.1884 * CHOOSE(CONTROL!$C$15, $E$9, 100%, $G$9) + CHOOSE(CONTROL!$C$38, 0.0342, 0)</f>
        <v>20.2226</v>
      </c>
      <c r="J120" s="44">
        <f>116.6613</f>
        <v>116.6613</v>
      </c>
    </row>
    <row r="121" spans="1:10" ht="15" x14ac:dyDescent="0.2">
      <c r="A121" s="16">
        <v>44593</v>
      </c>
      <c r="B121" s="17">
        <f>21.6076 * CHOOSE(CONTROL!$C$15, $E$9, 100%, $G$9) + CHOOSE(CONTROL!$C$38, 0.034, 0)</f>
        <v>21.6416</v>
      </c>
      <c r="C121" s="17">
        <f>20.5088 * CHOOSE(CONTROL!$C$15, $E$9, 100%, $G$9) + CHOOSE(CONTROL!$C$38, 0.0342, 0)</f>
        <v>20.542999999999999</v>
      </c>
      <c r="D121" s="17">
        <f>20.501 * CHOOSE(CONTROL!$C$15, $E$9, 100%, $G$9) + CHOOSE(CONTROL!$C$38, 0.0342, 0)</f>
        <v>20.5352</v>
      </c>
      <c r="E121" s="17">
        <f>20.501 * CHOOSE(CONTROL!$C$15, $E$9, 100%, $G$9) + CHOOSE(CONTROL!$C$38, 0.0342, 0)</f>
        <v>20.5352</v>
      </c>
      <c r="F121" s="45">
        <f>21.6076 * CHOOSE(CONTROL!$C$15, $E$9, 100%, $G$9) + CHOOSE(CONTROL!$C$38, 0.034, 0)</f>
        <v>21.6416</v>
      </c>
      <c r="G121" s="17">
        <f>20.5072 * CHOOSE(CONTROL!$C$15, $E$9, 100%, $G$9) + CHOOSE(CONTROL!$C$38, 0.0342, 0)</f>
        <v>20.541399999999999</v>
      </c>
      <c r="H121" s="17">
        <f>20.5072 * CHOOSE(CONTROL!$C$15, $E$9, 100%, $G$9) + CHOOSE(CONTROL!$C$38, 0.0342, 0)</f>
        <v>20.541399999999999</v>
      </c>
      <c r="I121" s="17">
        <f>20.5088 * CHOOSE(CONTROL!$C$15, $E$9, 100%, $G$9) + CHOOSE(CONTROL!$C$38, 0.0342, 0)</f>
        <v>20.542999999999999</v>
      </c>
      <c r="J121" s="44">
        <f>116.5767</f>
        <v>116.5767</v>
      </c>
    </row>
    <row r="122" spans="1:10" ht="15" x14ac:dyDescent="0.2">
      <c r="A122" s="16">
        <v>44621</v>
      </c>
      <c r="B122" s="17">
        <f>21.002 * CHOOSE(CONTROL!$C$15, $E$9, 100%, $G$9) + CHOOSE(CONTROL!$C$38, 0.034, 0)</f>
        <v>21.035999999999998</v>
      </c>
      <c r="C122" s="17">
        <f>19.9013 * CHOOSE(CONTROL!$C$15, $E$9, 100%, $G$9) + CHOOSE(CONTROL!$C$38, 0.0342, 0)</f>
        <v>19.935499999999998</v>
      </c>
      <c r="D122" s="17">
        <f>19.8935 * CHOOSE(CONTROL!$C$15, $E$9, 100%, $G$9) + CHOOSE(CONTROL!$C$38, 0.0342, 0)</f>
        <v>19.927699999999998</v>
      </c>
      <c r="E122" s="17">
        <f>19.8935 * CHOOSE(CONTROL!$C$15, $E$9, 100%, $G$9) + CHOOSE(CONTROL!$C$38, 0.0342, 0)</f>
        <v>19.927699999999998</v>
      </c>
      <c r="F122" s="45">
        <f>21.002 * CHOOSE(CONTROL!$C$15, $E$9, 100%, $G$9) + CHOOSE(CONTROL!$C$38, 0.034, 0)</f>
        <v>21.035999999999998</v>
      </c>
      <c r="G122" s="17">
        <f>19.8997 * CHOOSE(CONTROL!$C$15, $E$9, 100%, $G$9) + CHOOSE(CONTROL!$C$38, 0.0342, 0)</f>
        <v>19.933899999999998</v>
      </c>
      <c r="H122" s="17">
        <f>19.8997 * CHOOSE(CONTROL!$C$15, $E$9, 100%, $G$9) + CHOOSE(CONTROL!$C$38, 0.0342, 0)</f>
        <v>19.933899999999998</v>
      </c>
      <c r="I122" s="17">
        <f>19.9013 * CHOOSE(CONTROL!$C$15, $E$9, 100%, $G$9) + CHOOSE(CONTROL!$C$38, 0.0342, 0)</f>
        <v>19.935499999999998</v>
      </c>
      <c r="J122" s="44">
        <f>122.9737</f>
        <v>122.97369999999999</v>
      </c>
    </row>
    <row r="123" spans="1:10" ht="15" x14ac:dyDescent="0.2">
      <c r="A123" s="16">
        <v>44652</v>
      </c>
      <c r="B123" s="17">
        <f>20.414 * CHOOSE(CONTROL!$C$15, $E$9, 100%, $G$9) + CHOOSE(CONTROL!$C$38, 0.034, 0)</f>
        <v>20.448</v>
      </c>
      <c r="C123" s="17">
        <f>19.3113 * CHOOSE(CONTROL!$C$15, $E$9, 100%, $G$9) + CHOOSE(CONTROL!$C$38, 0.0342, 0)</f>
        <v>19.345499999999998</v>
      </c>
      <c r="D123" s="17">
        <f>19.3035 * CHOOSE(CONTROL!$C$15, $E$9, 100%, $G$9) + CHOOSE(CONTROL!$C$38, 0.0342, 0)</f>
        <v>19.337699999999998</v>
      </c>
      <c r="E123" s="17">
        <f>19.3035 * CHOOSE(CONTROL!$C$15, $E$9, 100%, $G$9) + CHOOSE(CONTROL!$C$38, 0.0342, 0)</f>
        <v>19.337699999999998</v>
      </c>
      <c r="F123" s="45">
        <f>20.414 * CHOOSE(CONTROL!$C$15, $E$9, 100%, $G$9) + CHOOSE(CONTROL!$C$38, 0.034, 0)</f>
        <v>20.448</v>
      </c>
      <c r="G123" s="17">
        <f>19.3098 * CHOOSE(CONTROL!$C$15, $E$9, 100%, $G$9) + CHOOSE(CONTROL!$C$38, 0.0342, 0)</f>
        <v>19.343999999999998</v>
      </c>
      <c r="H123" s="17">
        <f>19.3098 * CHOOSE(CONTROL!$C$15, $E$9, 100%, $G$9) + CHOOSE(CONTROL!$C$38, 0.0342, 0)</f>
        <v>19.343999999999998</v>
      </c>
      <c r="I123" s="17">
        <f>19.3113 * CHOOSE(CONTROL!$C$15, $E$9, 100%, $G$9) + CHOOSE(CONTROL!$C$38, 0.0342, 0)</f>
        <v>19.345499999999998</v>
      </c>
      <c r="J123" s="44">
        <f>131.2276</f>
        <v>131.2276</v>
      </c>
    </row>
    <row r="124" spans="1:10" ht="15" x14ac:dyDescent="0.2">
      <c r="A124" s="16">
        <v>44682</v>
      </c>
      <c r="B124" s="17">
        <f>19.7969 * CHOOSE(CONTROL!$C$15, $E$9, 100%, $G$9) + CHOOSE(CONTROL!$C$38, 0.0353, 0)</f>
        <v>19.8322</v>
      </c>
      <c r="C124" s="17">
        <f>18.6922 * CHOOSE(CONTROL!$C$15, $E$9, 100%, $G$9) + CHOOSE(CONTROL!$C$38, 0.0354, 0)</f>
        <v>18.727599999999999</v>
      </c>
      <c r="D124" s="17">
        <f>18.6844 * CHOOSE(CONTROL!$C$15, $E$9, 100%, $G$9) + CHOOSE(CONTROL!$C$38, 0.0354, 0)</f>
        <v>18.719799999999999</v>
      </c>
      <c r="E124" s="17">
        <f>18.6844 * CHOOSE(CONTROL!$C$15, $E$9, 100%, $G$9) + CHOOSE(CONTROL!$C$38, 0.0354, 0)</f>
        <v>18.719799999999999</v>
      </c>
      <c r="F124" s="45">
        <f>19.7969 * CHOOSE(CONTROL!$C$15, $E$9, 100%, $G$9) + CHOOSE(CONTROL!$C$38, 0.0353, 0)</f>
        <v>19.8322</v>
      </c>
      <c r="G124" s="17">
        <f>18.6907 * CHOOSE(CONTROL!$C$15, $E$9, 100%, $G$9) + CHOOSE(CONTROL!$C$38, 0.0354, 0)</f>
        <v>18.726099999999999</v>
      </c>
      <c r="H124" s="17">
        <f>18.6907 * CHOOSE(CONTROL!$C$15, $E$9, 100%, $G$9) + CHOOSE(CONTROL!$C$38, 0.0354, 0)</f>
        <v>18.726099999999999</v>
      </c>
      <c r="I124" s="17">
        <f>18.6922 * CHOOSE(CONTROL!$C$15, $E$9, 100%, $G$9) + CHOOSE(CONTROL!$C$38, 0.0354, 0)</f>
        <v>18.727599999999999</v>
      </c>
      <c r="J124" s="44">
        <f>135.9107</f>
        <v>135.91069999999999</v>
      </c>
    </row>
    <row r="125" spans="1:10" ht="15" x14ac:dyDescent="0.2">
      <c r="A125" s="16">
        <v>44713</v>
      </c>
      <c r="B125" s="17">
        <f>19.3741 * CHOOSE(CONTROL!$C$15, $E$9, 100%, $G$9) + CHOOSE(CONTROL!$C$38, 0.0353, 0)</f>
        <v>19.409399999999998</v>
      </c>
      <c r="C125" s="17">
        <f>18.2675 * CHOOSE(CONTROL!$C$15, $E$9, 100%, $G$9) + CHOOSE(CONTROL!$C$38, 0.0354, 0)</f>
        <v>18.302899999999998</v>
      </c>
      <c r="D125" s="17">
        <f>18.2597 * CHOOSE(CONTROL!$C$15, $E$9, 100%, $G$9) + CHOOSE(CONTROL!$C$38, 0.0354, 0)</f>
        <v>18.295099999999998</v>
      </c>
      <c r="E125" s="17">
        <f>18.2597 * CHOOSE(CONTROL!$C$15, $E$9, 100%, $G$9) + CHOOSE(CONTROL!$C$38, 0.0354, 0)</f>
        <v>18.295099999999998</v>
      </c>
      <c r="F125" s="45">
        <f>19.3741 * CHOOSE(CONTROL!$C$15, $E$9, 100%, $G$9) + CHOOSE(CONTROL!$C$38, 0.0353, 0)</f>
        <v>19.409399999999998</v>
      </c>
      <c r="G125" s="17">
        <f>18.266 * CHOOSE(CONTROL!$C$15, $E$9, 100%, $G$9) + CHOOSE(CONTROL!$C$38, 0.0354, 0)</f>
        <v>18.301399999999997</v>
      </c>
      <c r="H125" s="17">
        <f>18.266 * CHOOSE(CONTROL!$C$15, $E$9, 100%, $G$9) + CHOOSE(CONTROL!$C$38, 0.0354, 0)</f>
        <v>18.301399999999997</v>
      </c>
      <c r="I125" s="17">
        <f>18.2675 * CHOOSE(CONTROL!$C$15, $E$9, 100%, $G$9) + CHOOSE(CONTROL!$C$38, 0.0354, 0)</f>
        <v>18.302899999999998</v>
      </c>
      <c r="J125" s="44">
        <f>138.153</f>
        <v>138.15299999999999</v>
      </c>
    </row>
    <row r="126" spans="1:10" ht="15" x14ac:dyDescent="0.2">
      <c r="A126" s="16">
        <v>44743</v>
      </c>
      <c r="B126" s="17">
        <f>19.1485 * CHOOSE(CONTROL!$C$15, $E$9, 100%, $G$9) + CHOOSE(CONTROL!$C$38, 0.0353, 0)</f>
        <v>19.183799999999998</v>
      </c>
      <c r="C126" s="17">
        <f>18.0399 * CHOOSE(CONTROL!$C$15, $E$9, 100%, $G$9) + CHOOSE(CONTROL!$C$38, 0.0354, 0)</f>
        <v>18.075299999999999</v>
      </c>
      <c r="D126" s="17">
        <f>18.0321 * CHOOSE(CONTROL!$C$15, $E$9, 100%, $G$9) + CHOOSE(CONTROL!$C$38, 0.0354, 0)</f>
        <v>18.067499999999999</v>
      </c>
      <c r="E126" s="17">
        <f>18.0321 * CHOOSE(CONTROL!$C$15, $E$9, 100%, $G$9) + CHOOSE(CONTROL!$C$38, 0.0354, 0)</f>
        <v>18.067499999999999</v>
      </c>
      <c r="F126" s="45">
        <f>19.1485 * CHOOSE(CONTROL!$C$15, $E$9, 100%, $G$9) + CHOOSE(CONTROL!$C$38, 0.0353, 0)</f>
        <v>19.183799999999998</v>
      </c>
      <c r="G126" s="17">
        <f>18.0383 * CHOOSE(CONTROL!$C$15, $E$9, 100%, $G$9) + CHOOSE(CONTROL!$C$38, 0.0354, 0)</f>
        <v>18.073699999999999</v>
      </c>
      <c r="H126" s="17">
        <f>18.0383 * CHOOSE(CONTROL!$C$15, $E$9, 100%, $G$9) + CHOOSE(CONTROL!$C$38, 0.0354, 0)</f>
        <v>18.073699999999999</v>
      </c>
      <c r="I126" s="17">
        <f>18.0399 * CHOOSE(CONTROL!$C$15, $E$9, 100%, $G$9) + CHOOSE(CONTROL!$C$38, 0.0354, 0)</f>
        <v>18.075299999999999</v>
      </c>
      <c r="J126" s="44">
        <f>137.7901</f>
        <v>137.7901</v>
      </c>
    </row>
    <row r="127" spans="1:10" ht="15" x14ac:dyDescent="0.2">
      <c r="A127" s="16">
        <v>44774</v>
      </c>
      <c r="B127" s="17">
        <f>19.3173 * CHOOSE(CONTROL!$C$15, $E$9, 100%, $G$9) + CHOOSE(CONTROL!$C$38, 0.0353, 0)</f>
        <v>19.352599999999999</v>
      </c>
      <c r="C127" s="17">
        <f>18.2068 * CHOOSE(CONTROL!$C$15, $E$9, 100%, $G$9) + CHOOSE(CONTROL!$C$38, 0.0354, 0)</f>
        <v>18.2422</v>
      </c>
      <c r="D127" s="17">
        <f>18.199 * CHOOSE(CONTROL!$C$15, $E$9, 100%, $G$9) + CHOOSE(CONTROL!$C$38, 0.0354, 0)</f>
        <v>18.234400000000001</v>
      </c>
      <c r="E127" s="17">
        <f>18.199 * CHOOSE(CONTROL!$C$15, $E$9, 100%, $G$9) + CHOOSE(CONTROL!$C$38, 0.0354, 0)</f>
        <v>18.234400000000001</v>
      </c>
      <c r="F127" s="45">
        <f>19.3173 * CHOOSE(CONTROL!$C$15, $E$9, 100%, $G$9) + CHOOSE(CONTROL!$C$38, 0.0353, 0)</f>
        <v>19.352599999999999</v>
      </c>
      <c r="G127" s="17">
        <f>18.2053 * CHOOSE(CONTROL!$C$15, $E$9, 100%, $G$9) + CHOOSE(CONTROL!$C$38, 0.0354, 0)</f>
        <v>18.2407</v>
      </c>
      <c r="H127" s="17">
        <f>18.2053 * CHOOSE(CONTROL!$C$15, $E$9, 100%, $G$9) + CHOOSE(CONTROL!$C$38, 0.0354, 0)</f>
        <v>18.2407</v>
      </c>
      <c r="I127" s="17">
        <f>18.2068 * CHOOSE(CONTROL!$C$15, $E$9, 100%, $G$9) + CHOOSE(CONTROL!$C$38, 0.0354, 0)</f>
        <v>18.2422</v>
      </c>
      <c r="J127" s="44">
        <f>134.8596</f>
        <v>134.8596</v>
      </c>
    </row>
    <row r="128" spans="1:10" ht="15" x14ac:dyDescent="0.2">
      <c r="A128" s="16">
        <v>44805</v>
      </c>
      <c r="B128" s="17">
        <f>19.7117 * CHOOSE(CONTROL!$C$15, $E$9, 100%, $G$9) + CHOOSE(CONTROL!$C$38, 0.0353, 0)</f>
        <v>19.747</v>
      </c>
      <c r="C128" s="17">
        <f>18.5992 * CHOOSE(CONTROL!$C$15, $E$9, 100%, $G$9) + CHOOSE(CONTROL!$C$38, 0.0354, 0)</f>
        <v>18.634599999999999</v>
      </c>
      <c r="D128" s="17">
        <f>18.5914 * CHOOSE(CONTROL!$C$15, $E$9, 100%, $G$9) + CHOOSE(CONTROL!$C$38, 0.0354, 0)</f>
        <v>18.626799999999999</v>
      </c>
      <c r="E128" s="17">
        <f>18.5914 * CHOOSE(CONTROL!$C$15, $E$9, 100%, $G$9) + CHOOSE(CONTROL!$C$38, 0.0354, 0)</f>
        <v>18.626799999999999</v>
      </c>
      <c r="F128" s="45">
        <f>19.7117 * CHOOSE(CONTROL!$C$15, $E$9, 100%, $G$9) + CHOOSE(CONTROL!$C$38, 0.0353, 0)</f>
        <v>19.747</v>
      </c>
      <c r="G128" s="17">
        <f>18.5976 * CHOOSE(CONTROL!$C$15, $E$9, 100%, $G$9) + CHOOSE(CONTROL!$C$38, 0.0354, 0)</f>
        <v>18.632999999999999</v>
      </c>
      <c r="H128" s="17">
        <f>18.5976 * CHOOSE(CONTROL!$C$15, $E$9, 100%, $G$9) + CHOOSE(CONTROL!$C$38, 0.0354, 0)</f>
        <v>18.632999999999999</v>
      </c>
      <c r="I128" s="17">
        <f>18.5992 * CHOOSE(CONTROL!$C$15, $E$9, 100%, $G$9) + CHOOSE(CONTROL!$C$38, 0.0354, 0)</f>
        <v>18.634599999999999</v>
      </c>
      <c r="J128" s="44">
        <f>130.6457</f>
        <v>130.64570000000001</v>
      </c>
    </row>
    <row r="129" spans="1:10" ht="15" x14ac:dyDescent="0.2">
      <c r="A129" s="16">
        <v>44835</v>
      </c>
      <c r="B129" s="17">
        <f>20.0496 * CHOOSE(CONTROL!$C$15, $E$9, 100%, $G$9) + CHOOSE(CONTROL!$C$38, 0.034, 0)</f>
        <v>20.083600000000001</v>
      </c>
      <c r="C129" s="17">
        <f>18.9351 * CHOOSE(CONTROL!$C$15, $E$9, 100%, $G$9) + CHOOSE(CONTROL!$C$38, 0.0342, 0)</f>
        <v>18.969299999999997</v>
      </c>
      <c r="D129" s="17">
        <f>18.9273 * CHOOSE(CONTROL!$C$15, $E$9, 100%, $G$9) + CHOOSE(CONTROL!$C$38, 0.0342, 0)</f>
        <v>18.961499999999997</v>
      </c>
      <c r="E129" s="17">
        <f>18.9273 * CHOOSE(CONTROL!$C$15, $E$9, 100%, $G$9) + CHOOSE(CONTROL!$C$38, 0.0342, 0)</f>
        <v>18.961499999999997</v>
      </c>
      <c r="F129" s="45">
        <f>20.0496 * CHOOSE(CONTROL!$C$15, $E$9, 100%, $G$9) + CHOOSE(CONTROL!$C$38, 0.034, 0)</f>
        <v>20.083600000000001</v>
      </c>
      <c r="G129" s="17">
        <f>18.9336 * CHOOSE(CONTROL!$C$15, $E$9, 100%, $G$9) + CHOOSE(CONTROL!$C$38, 0.0342, 0)</f>
        <v>18.967799999999997</v>
      </c>
      <c r="H129" s="17">
        <f>18.9336 * CHOOSE(CONTROL!$C$15, $E$9, 100%, $G$9) + CHOOSE(CONTROL!$C$38, 0.0342, 0)</f>
        <v>18.967799999999997</v>
      </c>
      <c r="I129" s="17">
        <f>18.9351 * CHOOSE(CONTROL!$C$15, $E$9, 100%, $G$9) + CHOOSE(CONTROL!$C$38, 0.0342, 0)</f>
        <v>18.969299999999997</v>
      </c>
      <c r="J129" s="44">
        <f>126.3876</f>
        <v>126.38760000000001</v>
      </c>
    </row>
    <row r="130" spans="1:10" ht="15" x14ac:dyDescent="0.2">
      <c r="A130" s="16">
        <v>44866</v>
      </c>
      <c r="B130" s="17">
        <f>20.3393 * CHOOSE(CONTROL!$C$15, $E$9, 100%, $G$9) + CHOOSE(CONTROL!$C$38, 0.034, 0)</f>
        <v>20.3733</v>
      </c>
      <c r="C130" s="17">
        <f>19.2228 * CHOOSE(CONTROL!$C$15, $E$9, 100%, $G$9) + CHOOSE(CONTROL!$C$38, 0.0342, 0)</f>
        <v>19.256999999999998</v>
      </c>
      <c r="D130" s="17">
        <f>19.215 * CHOOSE(CONTROL!$C$15, $E$9, 100%, $G$9) + CHOOSE(CONTROL!$C$38, 0.0342, 0)</f>
        <v>19.249199999999998</v>
      </c>
      <c r="E130" s="17">
        <f>19.215 * CHOOSE(CONTROL!$C$15, $E$9, 100%, $G$9) + CHOOSE(CONTROL!$C$38, 0.0342, 0)</f>
        <v>19.249199999999998</v>
      </c>
      <c r="F130" s="45">
        <f>20.3393 * CHOOSE(CONTROL!$C$15, $E$9, 100%, $G$9) + CHOOSE(CONTROL!$C$38, 0.034, 0)</f>
        <v>20.3733</v>
      </c>
      <c r="G130" s="17">
        <f>19.2213 * CHOOSE(CONTROL!$C$15, $E$9, 100%, $G$9) + CHOOSE(CONTROL!$C$38, 0.0342, 0)</f>
        <v>19.255499999999998</v>
      </c>
      <c r="H130" s="17">
        <f>19.2213 * CHOOSE(CONTROL!$C$15, $E$9, 100%, $G$9) + CHOOSE(CONTROL!$C$38, 0.0342, 0)</f>
        <v>19.255499999999998</v>
      </c>
      <c r="I130" s="17">
        <f>19.2228 * CHOOSE(CONTROL!$C$15, $E$9, 100%, $G$9) + CHOOSE(CONTROL!$C$38, 0.0342, 0)</f>
        <v>19.256999999999998</v>
      </c>
      <c r="J130" s="44">
        <f>125.7456</f>
        <v>125.7456</v>
      </c>
    </row>
    <row r="131" spans="1:10" ht="15" x14ac:dyDescent="0.2">
      <c r="A131" s="16">
        <v>44896</v>
      </c>
      <c r="B131" s="17">
        <f>21.1508 * CHOOSE(CONTROL!$C$15, $E$9, 100%, $G$9) + CHOOSE(CONTROL!$C$38, 0.034, 0)</f>
        <v>21.184799999999999</v>
      </c>
      <c r="C131" s="17">
        <f>20.0324 * CHOOSE(CONTROL!$C$15, $E$9, 100%, $G$9) + CHOOSE(CONTROL!$C$38, 0.0342, 0)</f>
        <v>20.066599999999998</v>
      </c>
      <c r="D131" s="17">
        <f>20.0246 * CHOOSE(CONTROL!$C$15, $E$9, 100%, $G$9) + CHOOSE(CONTROL!$C$38, 0.0342, 0)</f>
        <v>20.058799999999998</v>
      </c>
      <c r="E131" s="17">
        <f>20.0246 * CHOOSE(CONTROL!$C$15, $E$9, 100%, $G$9) + CHOOSE(CONTROL!$C$38, 0.0342, 0)</f>
        <v>20.058799999999998</v>
      </c>
      <c r="F131" s="45">
        <f>21.1508 * CHOOSE(CONTROL!$C$15, $E$9, 100%, $G$9) + CHOOSE(CONTROL!$C$38, 0.034, 0)</f>
        <v>21.184799999999999</v>
      </c>
      <c r="G131" s="17">
        <f>20.0308 * CHOOSE(CONTROL!$C$15, $E$9, 100%, $G$9) + CHOOSE(CONTROL!$C$38, 0.0342, 0)</f>
        <v>20.064999999999998</v>
      </c>
      <c r="H131" s="17">
        <f>20.0308 * CHOOSE(CONTROL!$C$15, $E$9, 100%, $G$9) + CHOOSE(CONTROL!$C$38, 0.0342, 0)</f>
        <v>20.064999999999998</v>
      </c>
      <c r="I131" s="17">
        <f>20.0324 * CHOOSE(CONTROL!$C$15, $E$9, 100%, $G$9) + CHOOSE(CONTROL!$C$38, 0.0342, 0)</f>
        <v>20.066599999999998</v>
      </c>
      <c r="J131" s="44">
        <f>122.2654</f>
        <v>122.2654</v>
      </c>
    </row>
    <row r="132" spans="1:10" ht="15" x14ac:dyDescent="0.2">
      <c r="A132" s="16">
        <v>44927</v>
      </c>
      <c r="B132" s="17">
        <f>22.4095 * CHOOSE(CONTROL!$C$15, $E$9, 100%, $G$9) + CHOOSE(CONTROL!$C$38, 0.034, 0)</f>
        <v>22.4435</v>
      </c>
      <c r="C132" s="17">
        <f>21.1611 * CHOOSE(CONTROL!$C$15, $E$9, 100%, $G$9) + CHOOSE(CONTROL!$C$38, 0.0342, 0)</f>
        <v>21.1953</v>
      </c>
      <c r="D132" s="17">
        <f>21.1533 * CHOOSE(CONTROL!$C$15, $E$9, 100%, $G$9) + CHOOSE(CONTROL!$C$38, 0.0342, 0)</f>
        <v>21.1875</v>
      </c>
      <c r="E132" s="17">
        <f>21.1533 * CHOOSE(CONTROL!$C$15, $E$9, 100%, $G$9) + CHOOSE(CONTROL!$C$38, 0.0342, 0)</f>
        <v>21.1875</v>
      </c>
      <c r="F132" s="45">
        <f>22.4095 * CHOOSE(CONTROL!$C$15, $E$9, 100%, $G$9) + CHOOSE(CONTROL!$C$38, 0.034, 0)</f>
        <v>22.4435</v>
      </c>
      <c r="G132" s="17">
        <f>21.1595 * CHOOSE(CONTROL!$C$15, $E$9, 100%, $G$9) + CHOOSE(CONTROL!$C$38, 0.0342, 0)</f>
        <v>21.1937</v>
      </c>
      <c r="H132" s="17">
        <f>21.1595 * CHOOSE(CONTROL!$C$15, $E$9, 100%, $G$9) + CHOOSE(CONTROL!$C$38, 0.0342, 0)</f>
        <v>21.1937</v>
      </c>
      <c r="I132" s="17">
        <f>21.1611 * CHOOSE(CONTROL!$C$15, $E$9, 100%, $G$9) + CHOOSE(CONTROL!$C$38, 0.0342, 0)</f>
        <v>21.1953</v>
      </c>
      <c r="J132" s="44">
        <f>122.6208</f>
        <v>122.6208</v>
      </c>
    </row>
    <row r="133" spans="1:10" ht="15" x14ac:dyDescent="0.2">
      <c r="A133" s="16">
        <v>44958</v>
      </c>
      <c r="B133" s="17">
        <f>22.741 * CHOOSE(CONTROL!$C$15, $E$9, 100%, $G$9) + CHOOSE(CONTROL!$C$38, 0.034, 0)</f>
        <v>22.774999999999999</v>
      </c>
      <c r="C133" s="17">
        <f>21.4904 * CHOOSE(CONTROL!$C$15, $E$9, 100%, $G$9) + CHOOSE(CONTROL!$C$38, 0.0342, 0)</f>
        <v>21.5246</v>
      </c>
      <c r="D133" s="17">
        <f>21.4826 * CHOOSE(CONTROL!$C$15, $E$9, 100%, $G$9) + CHOOSE(CONTROL!$C$38, 0.0342, 0)</f>
        <v>21.5168</v>
      </c>
      <c r="E133" s="17">
        <f>21.4826 * CHOOSE(CONTROL!$C$15, $E$9, 100%, $G$9) + CHOOSE(CONTROL!$C$38, 0.0342, 0)</f>
        <v>21.5168</v>
      </c>
      <c r="F133" s="45">
        <f>22.741 * CHOOSE(CONTROL!$C$15, $E$9, 100%, $G$9) + CHOOSE(CONTROL!$C$38, 0.034, 0)</f>
        <v>22.774999999999999</v>
      </c>
      <c r="G133" s="17">
        <f>21.4889 * CHOOSE(CONTROL!$C$15, $E$9, 100%, $G$9) + CHOOSE(CONTROL!$C$38, 0.0342, 0)</f>
        <v>21.523099999999999</v>
      </c>
      <c r="H133" s="17">
        <f>21.4889 * CHOOSE(CONTROL!$C$15, $E$9, 100%, $G$9) + CHOOSE(CONTROL!$C$38, 0.0342, 0)</f>
        <v>21.523099999999999</v>
      </c>
      <c r="I133" s="17">
        <f>21.4904 * CHOOSE(CONTROL!$C$15, $E$9, 100%, $G$9) + CHOOSE(CONTROL!$C$38, 0.0342, 0)</f>
        <v>21.5246</v>
      </c>
      <c r="J133" s="44">
        <f>122.5318</f>
        <v>122.5318</v>
      </c>
    </row>
    <row r="134" spans="1:10" ht="15" x14ac:dyDescent="0.2">
      <c r="A134" s="16">
        <v>44986</v>
      </c>
      <c r="B134" s="17">
        <f>22.1216 * CHOOSE(CONTROL!$C$15, $E$9, 100%, $G$9) + CHOOSE(CONTROL!$C$38, 0.034, 0)</f>
        <v>22.1556</v>
      </c>
      <c r="C134" s="17">
        <f>20.8687 * CHOOSE(CONTROL!$C$15, $E$9, 100%, $G$9) + CHOOSE(CONTROL!$C$38, 0.0342, 0)</f>
        <v>20.902899999999999</v>
      </c>
      <c r="D134" s="17">
        <f>20.8609 * CHOOSE(CONTROL!$C$15, $E$9, 100%, $G$9) + CHOOSE(CONTROL!$C$38, 0.0342, 0)</f>
        <v>20.895099999999999</v>
      </c>
      <c r="E134" s="17">
        <f>20.8609 * CHOOSE(CONTROL!$C$15, $E$9, 100%, $G$9) + CHOOSE(CONTROL!$C$38, 0.0342, 0)</f>
        <v>20.895099999999999</v>
      </c>
      <c r="F134" s="45">
        <f>22.1216 * CHOOSE(CONTROL!$C$15, $E$9, 100%, $G$9) + CHOOSE(CONTROL!$C$38, 0.034, 0)</f>
        <v>22.1556</v>
      </c>
      <c r="G134" s="17">
        <f>20.8672 * CHOOSE(CONTROL!$C$15, $E$9, 100%, $G$9) + CHOOSE(CONTROL!$C$38, 0.0342, 0)</f>
        <v>20.901399999999999</v>
      </c>
      <c r="H134" s="17">
        <f>20.8672 * CHOOSE(CONTROL!$C$15, $E$9, 100%, $G$9) + CHOOSE(CONTROL!$C$38, 0.0342, 0)</f>
        <v>20.901399999999999</v>
      </c>
      <c r="I134" s="17">
        <f>20.8687 * CHOOSE(CONTROL!$C$15, $E$9, 100%, $G$9) + CHOOSE(CONTROL!$C$38, 0.0342, 0)</f>
        <v>20.902899999999999</v>
      </c>
      <c r="J134" s="44">
        <f>129.2557</f>
        <v>129.25569999999999</v>
      </c>
    </row>
    <row r="135" spans="1:10" ht="15" x14ac:dyDescent="0.2">
      <c r="A135" s="16">
        <v>45017</v>
      </c>
      <c r="B135" s="17">
        <f>21.5202 * CHOOSE(CONTROL!$C$15, $E$9, 100%, $G$9) + CHOOSE(CONTROL!$C$38, 0.034, 0)</f>
        <v>21.554199999999998</v>
      </c>
      <c r="C135" s="17">
        <f>20.265 * CHOOSE(CONTROL!$C$15, $E$9, 100%, $G$9) + CHOOSE(CONTROL!$C$38, 0.0342, 0)</f>
        <v>20.299199999999999</v>
      </c>
      <c r="D135" s="17">
        <f>20.2572 * CHOOSE(CONTROL!$C$15, $E$9, 100%, $G$9) + CHOOSE(CONTROL!$C$38, 0.0342, 0)</f>
        <v>20.291399999999999</v>
      </c>
      <c r="E135" s="17">
        <f>20.2572 * CHOOSE(CONTROL!$C$15, $E$9, 100%, $G$9) + CHOOSE(CONTROL!$C$38, 0.0342, 0)</f>
        <v>20.291399999999999</v>
      </c>
      <c r="F135" s="45">
        <f>21.5202 * CHOOSE(CONTROL!$C$15, $E$9, 100%, $G$9) + CHOOSE(CONTROL!$C$38, 0.034, 0)</f>
        <v>21.554199999999998</v>
      </c>
      <c r="G135" s="17">
        <f>20.2635 * CHOOSE(CONTROL!$C$15, $E$9, 100%, $G$9) + CHOOSE(CONTROL!$C$38, 0.0342, 0)</f>
        <v>20.297699999999999</v>
      </c>
      <c r="H135" s="17">
        <f>20.2635 * CHOOSE(CONTROL!$C$15, $E$9, 100%, $G$9) + CHOOSE(CONTROL!$C$38, 0.0342, 0)</f>
        <v>20.297699999999999</v>
      </c>
      <c r="I135" s="17">
        <f>20.265 * CHOOSE(CONTROL!$C$15, $E$9, 100%, $G$9) + CHOOSE(CONTROL!$C$38, 0.0342, 0)</f>
        <v>20.299199999999999</v>
      </c>
      <c r="J135" s="44">
        <f>137.9311</f>
        <v>137.93109999999999</v>
      </c>
    </row>
    <row r="136" spans="1:10" ht="15" x14ac:dyDescent="0.2">
      <c r="A136" s="16">
        <v>45047</v>
      </c>
      <c r="B136" s="17">
        <f>20.8888 * CHOOSE(CONTROL!$C$15, $E$9, 100%, $G$9) + CHOOSE(CONTROL!$C$38, 0.0353, 0)</f>
        <v>20.924099999999999</v>
      </c>
      <c r="C136" s="17">
        <f>19.6314 * CHOOSE(CONTROL!$C$15, $E$9, 100%, $G$9) + CHOOSE(CONTROL!$C$38, 0.0354, 0)</f>
        <v>19.666799999999999</v>
      </c>
      <c r="D136" s="17">
        <f>19.6236 * CHOOSE(CONTROL!$C$15, $E$9, 100%, $G$9) + CHOOSE(CONTROL!$C$38, 0.0354, 0)</f>
        <v>19.658999999999999</v>
      </c>
      <c r="E136" s="17">
        <f>19.6236 * CHOOSE(CONTROL!$C$15, $E$9, 100%, $G$9) + CHOOSE(CONTROL!$C$38, 0.0354, 0)</f>
        <v>19.658999999999999</v>
      </c>
      <c r="F136" s="45">
        <f>20.8888 * CHOOSE(CONTROL!$C$15, $E$9, 100%, $G$9) + CHOOSE(CONTROL!$C$38, 0.0353, 0)</f>
        <v>20.924099999999999</v>
      </c>
      <c r="G136" s="17">
        <f>19.6299 * CHOOSE(CONTROL!$C$15, $E$9, 100%, $G$9) + CHOOSE(CONTROL!$C$38, 0.0354, 0)</f>
        <v>19.665299999999998</v>
      </c>
      <c r="H136" s="17">
        <f>19.6299 * CHOOSE(CONTROL!$C$15, $E$9, 100%, $G$9) + CHOOSE(CONTROL!$C$38, 0.0354, 0)</f>
        <v>19.665299999999998</v>
      </c>
      <c r="I136" s="17">
        <f>19.6314 * CHOOSE(CONTROL!$C$15, $E$9, 100%, $G$9) + CHOOSE(CONTROL!$C$38, 0.0354, 0)</f>
        <v>19.666799999999999</v>
      </c>
      <c r="J136" s="44">
        <f>142.8534</f>
        <v>142.85339999999999</v>
      </c>
    </row>
    <row r="137" spans="1:10" ht="15" x14ac:dyDescent="0.2">
      <c r="A137" s="16">
        <v>45078</v>
      </c>
      <c r="B137" s="17">
        <f>20.4568 * CHOOSE(CONTROL!$C$15, $E$9, 100%, $G$9) + CHOOSE(CONTROL!$C$38, 0.0353, 0)</f>
        <v>20.492100000000001</v>
      </c>
      <c r="C137" s="17">
        <f>19.1971 * CHOOSE(CONTROL!$C$15, $E$9, 100%, $G$9) + CHOOSE(CONTROL!$C$38, 0.0354, 0)</f>
        <v>19.232499999999998</v>
      </c>
      <c r="D137" s="17">
        <f>19.1893 * CHOOSE(CONTROL!$C$15, $E$9, 100%, $G$9) + CHOOSE(CONTROL!$C$38, 0.0354, 0)</f>
        <v>19.224699999999999</v>
      </c>
      <c r="E137" s="17">
        <f>19.1893 * CHOOSE(CONTROL!$C$15, $E$9, 100%, $G$9) + CHOOSE(CONTROL!$C$38, 0.0354, 0)</f>
        <v>19.224699999999999</v>
      </c>
      <c r="F137" s="45">
        <f>20.4568 * CHOOSE(CONTROL!$C$15, $E$9, 100%, $G$9) + CHOOSE(CONTROL!$C$38, 0.0353, 0)</f>
        <v>20.492100000000001</v>
      </c>
      <c r="G137" s="17">
        <f>19.1956 * CHOOSE(CONTROL!$C$15, $E$9, 100%, $G$9) + CHOOSE(CONTROL!$C$38, 0.0354, 0)</f>
        <v>19.230999999999998</v>
      </c>
      <c r="H137" s="17">
        <f>19.1956 * CHOOSE(CONTROL!$C$15, $E$9, 100%, $G$9) + CHOOSE(CONTROL!$C$38, 0.0354, 0)</f>
        <v>19.230999999999998</v>
      </c>
      <c r="I137" s="17">
        <f>19.1971 * CHOOSE(CONTROL!$C$15, $E$9, 100%, $G$9) + CHOOSE(CONTROL!$C$38, 0.0354, 0)</f>
        <v>19.232499999999998</v>
      </c>
      <c r="J137" s="44">
        <f>145.2103</f>
        <v>145.21029999999999</v>
      </c>
    </row>
    <row r="138" spans="1:10" ht="15" x14ac:dyDescent="0.2">
      <c r="A138" s="16">
        <v>45108</v>
      </c>
      <c r="B138" s="17">
        <f>20.2267 * CHOOSE(CONTROL!$C$15, $E$9, 100%, $G$9) + CHOOSE(CONTROL!$C$38, 0.0353, 0)</f>
        <v>20.262</v>
      </c>
      <c r="C138" s="17">
        <f>18.9648 * CHOOSE(CONTROL!$C$15, $E$9, 100%, $G$9) + CHOOSE(CONTROL!$C$38, 0.0354, 0)</f>
        <v>19.0002</v>
      </c>
      <c r="D138" s="17">
        <f>18.957 * CHOOSE(CONTROL!$C$15, $E$9, 100%, $G$9) + CHOOSE(CONTROL!$C$38, 0.0354, 0)</f>
        <v>18.9924</v>
      </c>
      <c r="E138" s="17">
        <f>18.957 * CHOOSE(CONTROL!$C$15, $E$9, 100%, $G$9) + CHOOSE(CONTROL!$C$38, 0.0354, 0)</f>
        <v>18.9924</v>
      </c>
      <c r="F138" s="45">
        <f>20.2267 * CHOOSE(CONTROL!$C$15, $E$9, 100%, $G$9) + CHOOSE(CONTROL!$C$38, 0.0353, 0)</f>
        <v>20.262</v>
      </c>
      <c r="G138" s="17">
        <f>18.9632 * CHOOSE(CONTROL!$C$15, $E$9, 100%, $G$9) + CHOOSE(CONTROL!$C$38, 0.0354, 0)</f>
        <v>18.9986</v>
      </c>
      <c r="H138" s="17">
        <f>18.9632 * CHOOSE(CONTROL!$C$15, $E$9, 100%, $G$9) + CHOOSE(CONTROL!$C$38, 0.0354, 0)</f>
        <v>18.9986</v>
      </c>
      <c r="I138" s="17">
        <f>18.9648 * CHOOSE(CONTROL!$C$15, $E$9, 100%, $G$9) + CHOOSE(CONTROL!$C$38, 0.0354, 0)</f>
        <v>19.0002</v>
      </c>
      <c r="J138" s="44">
        <f>144.8289</f>
        <v>144.8289</v>
      </c>
    </row>
    <row r="139" spans="1:10" ht="15" x14ac:dyDescent="0.2">
      <c r="A139" s="16">
        <v>45139</v>
      </c>
      <c r="B139" s="17">
        <f>20.4011 * CHOOSE(CONTROL!$C$15, $E$9, 100%, $G$9) + CHOOSE(CONTROL!$C$38, 0.0353, 0)</f>
        <v>20.436399999999999</v>
      </c>
      <c r="C139" s="17">
        <f>19.1369 * CHOOSE(CONTROL!$C$15, $E$9, 100%, $G$9) + CHOOSE(CONTROL!$C$38, 0.0354, 0)</f>
        <v>19.1723</v>
      </c>
      <c r="D139" s="17">
        <f>19.1291 * CHOOSE(CONTROL!$C$15, $E$9, 100%, $G$9) + CHOOSE(CONTROL!$C$38, 0.0354, 0)</f>
        <v>19.1645</v>
      </c>
      <c r="E139" s="17">
        <f>19.1291 * CHOOSE(CONTROL!$C$15, $E$9, 100%, $G$9) + CHOOSE(CONTROL!$C$38, 0.0354, 0)</f>
        <v>19.1645</v>
      </c>
      <c r="F139" s="45">
        <f>20.4011 * CHOOSE(CONTROL!$C$15, $E$9, 100%, $G$9) + CHOOSE(CONTROL!$C$38, 0.0353, 0)</f>
        <v>20.436399999999999</v>
      </c>
      <c r="G139" s="17">
        <f>19.1353 * CHOOSE(CONTROL!$C$15, $E$9, 100%, $G$9) + CHOOSE(CONTROL!$C$38, 0.0354, 0)</f>
        <v>19.1707</v>
      </c>
      <c r="H139" s="17">
        <f>19.1353 * CHOOSE(CONTROL!$C$15, $E$9, 100%, $G$9) + CHOOSE(CONTROL!$C$38, 0.0354, 0)</f>
        <v>19.1707</v>
      </c>
      <c r="I139" s="17">
        <f>19.1369 * CHOOSE(CONTROL!$C$15, $E$9, 100%, $G$9) + CHOOSE(CONTROL!$C$38, 0.0354, 0)</f>
        <v>19.1723</v>
      </c>
      <c r="J139" s="44">
        <f>141.7487</f>
        <v>141.74870000000001</v>
      </c>
    </row>
    <row r="140" spans="1:10" ht="15" x14ac:dyDescent="0.2">
      <c r="A140" s="16">
        <v>45170</v>
      </c>
      <c r="B140" s="17">
        <f>20.8065 * CHOOSE(CONTROL!$C$15, $E$9, 100%, $G$9) + CHOOSE(CONTROL!$C$38, 0.0353, 0)</f>
        <v>20.841799999999999</v>
      </c>
      <c r="C140" s="17">
        <f>19.54 * CHOOSE(CONTROL!$C$15, $E$9, 100%, $G$9) + CHOOSE(CONTROL!$C$38, 0.0354, 0)</f>
        <v>19.575399999999998</v>
      </c>
      <c r="D140" s="17">
        <f>19.5322 * CHOOSE(CONTROL!$C$15, $E$9, 100%, $G$9) + CHOOSE(CONTROL!$C$38, 0.0354, 0)</f>
        <v>19.567599999999999</v>
      </c>
      <c r="E140" s="17">
        <f>19.5322 * CHOOSE(CONTROL!$C$15, $E$9, 100%, $G$9) + CHOOSE(CONTROL!$C$38, 0.0354, 0)</f>
        <v>19.567599999999999</v>
      </c>
      <c r="F140" s="45">
        <f>20.8065 * CHOOSE(CONTROL!$C$15, $E$9, 100%, $G$9) + CHOOSE(CONTROL!$C$38, 0.0353, 0)</f>
        <v>20.841799999999999</v>
      </c>
      <c r="G140" s="17">
        <f>19.5385 * CHOOSE(CONTROL!$C$15, $E$9, 100%, $G$9) + CHOOSE(CONTROL!$C$38, 0.0354, 0)</f>
        <v>19.573899999999998</v>
      </c>
      <c r="H140" s="17">
        <f>19.5385 * CHOOSE(CONTROL!$C$15, $E$9, 100%, $G$9) + CHOOSE(CONTROL!$C$38, 0.0354, 0)</f>
        <v>19.573899999999998</v>
      </c>
      <c r="I140" s="17">
        <f>19.54 * CHOOSE(CONTROL!$C$15, $E$9, 100%, $G$9) + CHOOSE(CONTROL!$C$38, 0.0354, 0)</f>
        <v>19.575399999999998</v>
      </c>
      <c r="J140" s="44">
        <f>137.3195</f>
        <v>137.31950000000001</v>
      </c>
    </row>
    <row r="141" spans="1:10" ht="15" x14ac:dyDescent="0.2">
      <c r="A141" s="16">
        <v>45200</v>
      </c>
      <c r="B141" s="17">
        <f>21.1542 * CHOOSE(CONTROL!$C$15, $E$9, 100%, $G$9) + CHOOSE(CONTROL!$C$38, 0.034, 0)</f>
        <v>21.188199999999998</v>
      </c>
      <c r="C141" s="17">
        <f>19.8854 * CHOOSE(CONTROL!$C$15, $E$9, 100%, $G$9) + CHOOSE(CONTROL!$C$38, 0.0342, 0)</f>
        <v>19.919599999999999</v>
      </c>
      <c r="D141" s="17">
        <f>19.8776 * CHOOSE(CONTROL!$C$15, $E$9, 100%, $G$9) + CHOOSE(CONTROL!$C$38, 0.0342, 0)</f>
        <v>19.911799999999999</v>
      </c>
      <c r="E141" s="17">
        <f>19.8776 * CHOOSE(CONTROL!$C$15, $E$9, 100%, $G$9) + CHOOSE(CONTROL!$C$38, 0.0342, 0)</f>
        <v>19.911799999999999</v>
      </c>
      <c r="F141" s="45">
        <f>21.1542 * CHOOSE(CONTROL!$C$15, $E$9, 100%, $G$9) + CHOOSE(CONTROL!$C$38, 0.034, 0)</f>
        <v>21.188199999999998</v>
      </c>
      <c r="G141" s="17">
        <f>19.8838 * CHOOSE(CONTROL!$C$15, $E$9, 100%, $G$9) + CHOOSE(CONTROL!$C$38, 0.0342, 0)</f>
        <v>19.917999999999999</v>
      </c>
      <c r="H141" s="17">
        <f>19.8838 * CHOOSE(CONTROL!$C$15, $E$9, 100%, $G$9) + CHOOSE(CONTROL!$C$38, 0.0342, 0)</f>
        <v>19.917999999999999</v>
      </c>
      <c r="I141" s="17">
        <f>19.8854 * CHOOSE(CONTROL!$C$15, $E$9, 100%, $G$9) + CHOOSE(CONTROL!$C$38, 0.0342, 0)</f>
        <v>19.919599999999999</v>
      </c>
      <c r="J141" s="44">
        <f>132.8439</f>
        <v>132.84389999999999</v>
      </c>
    </row>
    <row r="142" spans="1:10" ht="15" x14ac:dyDescent="0.2">
      <c r="A142" s="16">
        <v>45231</v>
      </c>
      <c r="B142" s="17">
        <f>21.4524 * CHOOSE(CONTROL!$C$15, $E$9, 100%, $G$9) + CHOOSE(CONTROL!$C$38, 0.034, 0)</f>
        <v>21.4864</v>
      </c>
      <c r="C142" s="17">
        <f>20.1813 * CHOOSE(CONTROL!$C$15, $E$9, 100%, $G$9) + CHOOSE(CONTROL!$C$38, 0.0342, 0)</f>
        <v>20.215499999999999</v>
      </c>
      <c r="D142" s="17">
        <f>20.1735 * CHOOSE(CONTROL!$C$15, $E$9, 100%, $G$9) + CHOOSE(CONTROL!$C$38, 0.0342, 0)</f>
        <v>20.207699999999999</v>
      </c>
      <c r="E142" s="17">
        <f>20.1735 * CHOOSE(CONTROL!$C$15, $E$9, 100%, $G$9) + CHOOSE(CONTROL!$C$38, 0.0342, 0)</f>
        <v>20.207699999999999</v>
      </c>
      <c r="F142" s="45">
        <f>21.4524 * CHOOSE(CONTROL!$C$15, $E$9, 100%, $G$9) + CHOOSE(CONTROL!$C$38, 0.034, 0)</f>
        <v>21.4864</v>
      </c>
      <c r="G142" s="17">
        <f>20.1798 * CHOOSE(CONTROL!$C$15, $E$9, 100%, $G$9) + CHOOSE(CONTROL!$C$38, 0.0342, 0)</f>
        <v>20.213999999999999</v>
      </c>
      <c r="H142" s="17">
        <f>20.1798 * CHOOSE(CONTROL!$C$15, $E$9, 100%, $G$9) + CHOOSE(CONTROL!$C$38, 0.0342, 0)</f>
        <v>20.213999999999999</v>
      </c>
      <c r="I142" s="17">
        <f>20.1813 * CHOOSE(CONTROL!$C$15, $E$9, 100%, $G$9) + CHOOSE(CONTROL!$C$38, 0.0342, 0)</f>
        <v>20.215499999999999</v>
      </c>
      <c r="J142" s="44">
        <f>132.1691</f>
        <v>132.16909999999999</v>
      </c>
    </row>
    <row r="143" spans="1:10" ht="15" x14ac:dyDescent="0.2">
      <c r="A143" s="16">
        <v>45261</v>
      </c>
      <c r="B143" s="17">
        <f>22.2855 * CHOOSE(CONTROL!$C$15, $E$9, 100%, $G$9) + CHOOSE(CONTROL!$C$38, 0.034, 0)</f>
        <v>22.319499999999998</v>
      </c>
      <c r="C143" s="17">
        <f>21.0121 * CHOOSE(CONTROL!$C$15, $E$9, 100%, $G$9) + CHOOSE(CONTROL!$C$38, 0.0342, 0)</f>
        <v>21.046299999999999</v>
      </c>
      <c r="D143" s="17">
        <f>21.0043 * CHOOSE(CONTROL!$C$15, $E$9, 100%, $G$9) + CHOOSE(CONTROL!$C$38, 0.0342, 0)</f>
        <v>21.038499999999999</v>
      </c>
      <c r="E143" s="17">
        <f>21.0043 * CHOOSE(CONTROL!$C$15, $E$9, 100%, $G$9) + CHOOSE(CONTROL!$C$38, 0.0342, 0)</f>
        <v>21.038499999999999</v>
      </c>
      <c r="F143" s="45">
        <f>22.2855 * CHOOSE(CONTROL!$C$15, $E$9, 100%, $G$9) + CHOOSE(CONTROL!$C$38, 0.034, 0)</f>
        <v>22.319499999999998</v>
      </c>
      <c r="G143" s="17">
        <f>21.0106 * CHOOSE(CONTROL!$C$15, $E$9, 100%, $G$9) + CHOOSE(CONTROL!$C$38, 0.0342, 0)</f>
        <v>21.044799999999999</v>
      </c>
      <c r="H143" s="17">
        <f>21.0106 * CHOOSE(CONTROL!$C$15, $E$9, 100%, $G$9) + CHOOSE(CONTROL!$C$38, 0.0342, 0)</f>
        <v>21.044799999999999</v>
      </c>
      <c r="I143" s="17">
        <f>21.0121 * CHOOSE(CONTROL!$C$15, $E$9, 100%, $G$9) + CHOOSE(CONTROL!$C$38, 0.0342, 0)</f>
        <v>21.046299999999999</v>
      </c>
      <c r="J143" s="44">
        <f>128.5111</f>
        <v>128.5111</v>
      </c>
    </row>
    <row r="144" spans="1:10" ht="15" x14ac:dyDescent="0.2">
      <c r="A144" s="16">
        <v>45292</v>
      </c>
      <c r="B144" s="17">
        <f>23.5709 * CHOOSE(CONTROL!$C$15, $E$9, 100%, $G$9) + CHOOSE(CONTROL!$C$38, 0.034, 0)</f>
        <v>23.604900000000001</v>
      </c>
      <c r="C144" s="17">
        <f>22.1445 * CHOOSE(CONTROL!$C$15, $E$9, 100%, $G$9) + CHOOSE(CONTROL!$C$38, 0.0342, 0)</f>
        <v>22.178699999999999</v>
      </c>
      <c r="D144" s="17">
        <f>22.1367 * CHOOSE(CONTROL!$C$15, $E$9, 100%, $G$9) + CHOOSE(CONTROL!$C$38, 0.0342, 0)</f>
        <v>22.1709</v>
      </c>
      <c r="E144" s="17">
        <f>22.1367 * CHOOSE(CONTROL!$C$15, $E$9, 100%, $G$9) + CHOOSE(CONTROL!$C$38, 0.0342, 0)</f>
        <v>22.1709</v>
      </c>
      <c r="F144" s="45">
        <f>23.5709 * CHOOSE(CONTROL!$C$15, $E$9, 100%, $G$9) + CHOOSE(CONTROL!$C$38, 0.034, 0)</f>
        <v>23.604900000000001</v>
      </c>
      <c r="G144" s="17">
        <f>22.143 * CHOOSE(CONTROL!$C$15, $E$9, 100%, $G$9) + CHOOSE(CONTROL!$C$38, 0.0342, 0)</f>
        <v>22.177199999999999</v>
      </c>
      <c r="H144" s="17">
        <f>22.143 * CHOOSE(CONTROL!$C$15, $E$9, 100%, $G$9) + CHOOSE(CONTROL!$C$38, 0.0342, 0)</f>
        <v>22.177199999999999</v>
      </c>
      <c r="I144" s="17">
        <f>22.1445 * CHOOSE(CONTROL!$C$15, $E$9, 100%, $G$9) + CHOOSE(CONTROL!$C$38, 0.0342, 0)</f>
        <v>22.178699999999999</v>
      </c>
      <c r="J144" s="44">
        <f>128.8679</f>
        <v>128.86789999999999</v>
      </c>
    </row>
    <row r="145" spans="1:10" ht="15" x14ac:dyDescent="0.2">
      <c r="A145" s="16">
        <v>45323</v>
      </c>
      <c r="B145" s="17">
        <f>23.9121 * CHOOSE(CONTROL!$C$15, $E$9, 100%, $G$9) + CHOOSE(CONTROL!$C$38, 0.034, 0)</f>
        <v>23.946099999999998</v>
      </c>
      <c r="C145" s="17">
        <f>22.483 * CHOOSE(CONTROL!$C$15, $E$9, 100%, $G$9) + CHOOSE(CONTROL!$C$38, 0.0342, 0)</f>
        <v>22.517199999999999</v>
      </c>
      <c r="D145" s="17">
        <f>22.4752 * CHOOSE(CONTROL!$C$15, $E$9, 100%, $G$9) + CHOOSE(CONTROL!$C$38, 0.0342, 0)</f>
        <v>22.509399999999999</v>
      </c>
      <c r="E145" s="17">
        <f>22.4752 * CHOOSE(CONTROL!$C$15, $E$9, 100%, $G$9) + CHOOSE(CONTROL!$C$38, 0.0342, 0)</f>
        <v>22.509399999999999</v>
      </c>
      <c r="F145" s="45">
        <f>23.9121 * CHOOSE(CONTROL!$C$15, $E$9, 100%, $G$9) + CHOOSE(CONTROL!$C$38, 0.034, 0)</f>
        <v>23.946099999999998</v>
      </c>
      <c r="G145" s="17">
        <f>22.4815 * CHOOSE(CONTROL!$C$15, $E$9, 100%, $G$9) + CHOOSE(CONTROL!$C$38, 0.0342, 0)</f>
        <v>22.515699999999999</v>
      </c>
      <c r="H145" s="17">
        <f>22.4815 * CHOOSE(CONTROL!$C$15, $E$9, 100%, $G$9) + CHOOSE(CONTROL!$C$38, 0.0342, 0)</f>
        <v>22.515699999999999</v>
      </c>
      <c r="I145" s="17">
        <f>22.483 * CHOOSE(CONTROL!$C$15, $E$9, 100%, $G$9) + CHOOSE(CONTROL!$C$38, 0.0342, 0)</f>
        <v>22.517199999999999</v>
      </c>
      <c r="J145" s="44">
        <f>128.7744</f>
        <v>128.77440000000001</v>
      </c>
    </row>
    <row r="146" spans="1:10" ht="15" x14ac:dyDescent="0.2">
      <c r="A146" s="16">
        <v>45352</v>
      </c>
      <c r="B146" s="17">
        <f>23.2784 * CHOOSE(CONTROL!$C$15, $E$9, 100%, $G$9) + CHOOSE(CONTROL!$C$38, 0.034, 0)</f>
        <v>23.3124</v>
      </c>
      <c r="C146" s="17">
        <f>21.8468 * CHOOSE(CONTROL!$C$15, $E$9, 100%, $G$9) + CHOOSE(CONTROL!$C$38, 0.0342, 0)</f>
        <v>21.881</v>
      </c>
      <c r="D146" s="17">
        <f>21.8389 * CHOOSE(CONTROL!$C$15, $E$9, 100%, $G$9) + CHOOSE(CONTROL!$C$38, 0.0342, 0)</f>
        <v>21.873099999999997</v>
      </c>
      <c r="E146" s="17">
        <f>21.8389 * CHOOSE(CONTROL!$C$15, $E$9, 100%, $G$9) + CHOOSE(CONTROL!$C$38, 0.0342, 0)</f>
        <v>21.873099999999997</v>
      </c>
      <c r="F146" s="45">
        <f>23.2784 * CHOOSE(CONTROL!$C$15, $E$9, 100%, $G$9) + CHOOSE(CONTROL!$C$38, 0.034, 0)</f>
        <v>23.3124</v>
      </c>
      <c r="G146" s="17">
        <f>21.8452 * CHOOSE(CONTROL!$C$15, $E$9, 100%, $G$9) + CHOOSE(CONTROL!$C$38, 0.0342, 0)</f>
        <v>21.879399999999997</v>
      </c>
      <c r="H146" s="17">
        <f>21.8452 * CHOOSE(CONTROL!$C$15, $E$9, 100%, $G$9) + CHOOSE(CONTROL!$C$38, 0.0342, 0)</f>
        <v>21.879399999999997</v>
      </c>
      <c r="I146" s="17">
        <f>21.8468 * CHOOSE(CONTROL!$C$15, $E$9, 100%, $G$9) + CHOOSE(CONTROL!$C$38, 0.0342, 0)</f>
        <v>21.881</v>
      </c>
      <c r="J146" s="44">
        <f>135.8408</f>
        <v>135.8408</v>
      </c>
    </row>
    <row r="147" spans="1:10" ht="15" x14ac:dyDescent="0.2">
      <c r="A147" s="16">
        <v>45383</v>
      </c>
      <c r="B147" s="17">
        <f>22.6632 * CHOOSE(CONTROL!$C$15, $E$9, 100%, $G$9) + CHOOSE(CONTROL!$C$38, 0.034, 0)</f>
        <v>22.697199999999999</v>
      </c>
      <c r="C147" s="17">
        <f>21.2289 * CHOOSE(CONTROL!$C$15, $E$9, 100%, $G$9) + CHOOSE(CONTROL!$C$38, 0.0342, 0)</f>
        <v>21.263099999999998</v>
      </c>
      <c r="D147" s="17">
        <f>21.2211 * CHOOSE(CONTROL!$C$15, $E$9, 100%, $G$9) + CHOOSE(CONTROL!$C$38, 0.0342, 0)</f>
        <v>21.255299999999998</v>
      </c>
      <c r="E147" s="17">
        <f>21.2211 * CHOOSE(CONTROL!$C$15, $E$9, 100%, $G$9) + CHOOSE(CONTROL!$C$38, 0.0342, 0)</f>
        <v>21.255299999999998</v>
      </c>
      <c r="F147" s="45">
        <f>22.6632 * CHOOSE(CONTROL!$C$15, $E$9, 100%, $G$9) + CHOOSE(CONTROL!$C$38, 0.034, 0)</f>
        <v>22.697199999999999</v>
      </c>
      <c r="G147" s="17">
        <f>21.2274 * CHOOSE(CONTROL!$C$15, $E$9, 100%, $G$9) + CHOOSE(CONTROL!$C$38, 0.0342, 0)</f>
        <v>21.261599999999998</v>
      </c>
      <c r="H147" s="17">
        <f>21.2274 * CHOOSE(CONTROL!$C$15, $E$9, 100%, $G$9) + CHOOSE(CONTROL!$C$38, 0.0342, 0)</f>
        <v>21.261599999999998</v>
      </c>
      <c r="I147" s="17">
        <f>21.2289 * CHOOSE(CONTROL!$C$15, $E$9, 100%, $G$9) + CHOOSE(CONTROL!$C$38, 0.0342, 0)</f>
        <v>21.263099999999998</v>
      </c>
      <c r="J147" s="44">
        <f>144.9582</f>
        <v>144.95820000000001</v>
      </c>
    </row>
    <row r="148" spans="1:10" ht="15" x14ac:dyDescent="0.2">
      <c r="A148" s="16">
        <v>45413</v>
      </c>
      <c r="B148" s="17">
        <f>22.0174 * CHOOSE(CONTROL!$C$15, $E$9, 100%, $G$9) + CHOOSE(CONTROL!$C$38, 0.0353, 0)</f>
        <v>22.052699999999998</v>
      </c>
      <c r="C148" s="17">
        <f>20.5805 * CHOOSE(CONTROL!$C$15, $E$9, 100%, $G$9) + CHOOSE(CONTROL!$C$38, 0.0354, 0)</f>
        <v>20.6159</v>
      </c>
      <c r="D148" s="17">
        <f>20.5726 * CHOOSE(CONTROL!$C$15, $E$9, 100%, $G$9) + CHOOSE(CONTROL!$C$38, 0.0354, 0)</f>
        <v>20.608000000000001</v>
      </c>
      <c r="E148" s="17">
        <f>20.5726 * CHOOSE(CONTROL!$C$15, $E$9, 100%, $G$9) + CHOOSE(CONTROL!$C$38, 0.0354, 0)</f>
        <v>20.608000000000001</v>
      </c>
      <c r="F148" s="45">
        <f>22.0174 * CHOOSE(CONTROL!$C$15, $E$9, 100%, $G$9) + CHOOSE(CONTROL!$C$38, 0.0353, 0)</f>
        <v>22.052699999999998</v>
      </c>
      <c r="G148" s="17">
        <f>20.5789 * CHOOSE(CONTROL!$C$15, $E$9, 100%, $G$9) + CHOOSE(CONTROL!$C$38, 0.0354, 0)</f>
        <v>20.6143</v>
      </c>
      <c r="H148" s="17">
        <f>20.5789 * CHOOSE(CONTROL!$C$15, $E$9, 100%, $G$9) + CHOOSE(CONTROL!$C$38, 0.0354, 0)</f>
        <v>20.6143</v>
      </c>
      <c r="I148" s="17">
        <f>20.5805 * CHOOSE(CONTROL!$C$15, $E$9, 100%, $G$9) + CHOOSE(CONTROL!$C$38, 0.0354, 0)</f>
        <v>20.6159</v>
      </c>
      <c r="J148" s="44">
        <f>150.1314</f>
        <v>150.13140000000001</v>
      </c>
    </row>
    <row r="149" spans="1:10" ht="15" x14ac:dyDescent="0.2">
      <c r="A149" s="16">
        <v>45444</v>
      </c>
      <c r="B149" s="17">
        <f>21.5758 * CHOOSE(CONTROL!$C$15, $E$9, 100%, $G$9) + CHOOSE(CONTROL!$C$38, 0.0353, 0)</f>
        <v>21.6111</v>
      </c>
      <c r="C149" s="17">
        <f>20.1363 * CHOOSE(CONTROL!$C$15, $E$9, 100%, $G$9) + CHOOSE(CONTROL!$C$38, 0.0354, 0)</f>
        <v>20.171699999999998</v>
      </c>
      <c r="D149" s="17">
        <f>20.1285 * CHOOSE(CONTROL!$C$15, $E$9, 100%, $G$9) + CHOOSE(CONTROL!$C$38, 0.0354, 0)</f>
        <v>20.163899999999998</v>
      </c>
      <c r="E149" s="17">
        <f>20.1285 * CHOOSE(CONTROL!$C$15, $E$9, 100%, $G$9) + CHOOSE(CONTROL!$C$38, 0.0354, 0)</f>
        <v>20.163899999999998</v>
      </c>
      <c r="F149" s="45">
        <f>21.5758 * CHOOSE(CONTROL!$C$15, $E$9, 100%, $G$9) + CHOOSE(CONTROL!$C$38, 0.0353, 0)</f>
        <v>21.6111</v>
      </c>
      <c r="G149" s="17">
        <f>20.1347 * CHOOSE(CONTROL!$C$15, $E$9, 100%, $G$9) + CHOOSE(CONTROL!$C$38, 0.0354, 0)</f>
        <v>20.170099999999998</v>
      </c>
      <c r="H149" s="17">
        <f>20.1347 * CHOOSE(CONTROL!$C$15, $E$9, 100%, $G$9) + CHOOSE(CONTROL!$C$38, 0.0354, 0)</f>
        <v>20.170099999999998</v>
      </c>
      <c r="I149" s="17">
        <f>20.1363 * CHOOSE(CONTROL!$C$15, $E$9, 100%, $G$9) + CHOOSE(CONTROL!$C$38, 0.0354, 0)</f>
        <v>20.171699999999998</v>
      </c>
      <c r="J149" s="44">
        <f>152.6083</f>
        <v>152.60830000000001</v>
      </c>
    </row>
    <row r="150" spans="1:10" ht="15" x14ac:dyDescent="0.2">
      <c r="A150" s="16">
        <v>45474</v>
      </c>
      <c r="B150" s="17">
        <f>21.3413 * CHOOSE(CONTROL!$C$15, $E$9, 100%, $G$9) + CHOOSE(CONTROL!$C$38, 0.0353, 0)</f>
        <v>21.3766</v>
      </c>
      <c r="C150" s="17">
        <f>19.8991 * CHOOSE(CONTROL!$C$15, $E$9, 100%, $G$9) + CHOOSE(CONTROL!$C$38, 0.0354, 0)</f>
        <v>19.9345</v>
      </c>
      <c r="D150" s="17">
        <f>19.8913 * CHOOSE(CONTROL!$C$15, $E$9, 100%, $G$9) + CHOOSE(CONTROL!$C$38, 0.0354, 0)</f>
        <v>19.9267</v>
      </c>
      <c r="E150" s="17">
        <f>19.8913 * CHOOSE(CONTROL!$C$15, $E$9, 100%, $G$9) + CHOOSE(CONTROL!$C$38, 0.0354, 0)</f>
        <v>19.9267</v>
      </c>
      <c r="F150" s="45">
        <f>21.3413 * CHOOSE(CONTROL!$C$15, $E$9, 100%, $G$9) + CHOOSE(CONTROL!$C$38, 0.0353, 0)</f>
        <v>21.3766</v>
      </c>
      <c r="G150" s="17">
        <f>19.8975 * CHOOSE(CONTROL!$C$15, $E$9, 100%, $G$9) + CHOOSE(CONTROL!$C$38, 0.0354, 0)</f>
        <v>19.9329</v>
      </c>
      <c r="H150" s="17">
        <f>19.8975 * CHOOSE(CONTROL!$C$15, $E$9, 100%, $G$9) + CHOOSE(CONTROL!$C$38, 0.0354, 0)</f>
        <v>19.9329</v>
      </c>
      <c r="I150" s="17">
        <f>19.8991 * CHOOSE(CONTROL!$C$15, $E$9, 100%, $G$9) + CHOOSE(CONTROL!$C$38, 0.0354, 0)</f>
        <v>19.9345</v>
      </c>
      <c r="J150" s="44">
        <f>152.2075</f>
        <v>152.20750000000001</v>
      </c>
    </row>
    <row r="151" spans="1:10" ht="15" x14ac:dyDescent="0.2">
      <c r="A151" s="16">
        <v>45505</v>
      </c>
      <c r="B151" s="17">
        <f>21.5213 * CHOOSE(CONTROL!$C$15, $E$9, 100%, $G$9) + CHOOSE(CONTROL!$C$38, 0.0353, 0)</f>
        <v>21.5566</v>
      </c>
      <c r="C151" s="17">
        <f>20.0765 * CHOOSE(CONTROL!$C$15, $E$9, 100%, $G$9) + CHOOSE(CONTROL!$C$38, 0.0354, 0)</f>
        <v>20.111899999999999</v>
      </c>
      <c r="D151" s="17">
        <f>20.0687 * CHOOSE(CONTROL!$C$15, $E$9, 100%, $G$9) + CHOOSE(CONTROL!$C$38, 0.0354, 0)</f>
        <v>20.104099999999999</v>
      </c>
      <c r="E151" s="17">
        <f>20.0687 * CHOOSE(CONTROL!$C$15, $E$9, 100%, $G$9) + CHOOSE(CONTROL!$C$38, 0.0354, 0)</f>
        <v>20.104099999999999</v>
      </c>
      <c r="F151" s="45">
        <f>21.5213 * CHOOSE(CONTROL!$C$15, $E$9, 100%, $G$9) + CHOOSE(CONTROL!$C$38, 0.0353, 0)</f>
        <v>21.5566</v>
      </c>
      <c r="G151" s="17">
        <f>20.0749 * CHOOSE(CONTROL!$C$15, $E$9, 100%, $G$9) + CHOOSE(CONTROL!$C$38, 0.0354, 0)</f>
        <v>20.110299999999999</v>
      </c>
      <c r="H151" s="17">
        <f>20.0749 * CHOOSE(CONTROL!$C$15, $E$9, 100%, $G$9) + CHOOSE(CONTROL!$C$38, 0.0354, 0)</f>
        <v>20.110299999999999</v>
      </c>
      <c r="I151" s="17">
        <f>20.0765 * CHOOSE(CONTROL!$C$15, $E$9, 100%, $G$9) + CHOOSE(CONTROL!$C$38, 0.0354, 0)</f>
        <v>20.111899999999999</v>
      </c>
      <c r="J151" s="44">
        <f>148.9704</f>
        <v>148.97040000000001</v>
      </c>
    </row>
    <row r="152" spans="1:10" ht="15" x14ac:dyDescent="0.2">
      <c r="A152" s="16">
        <v>45536</v>
      </c>
      <c r="B152" s="17">
        <f>21.9382 * CHOOSE(CONTROL!$C$15, $E$9, 100%, $G$9) + CHOOSE(CONTROL!$C$38, 0.0353, 0)</f>
        <v>21.973499999999998</v>
      </c>
      <c r="C152" s="17">
        <f>20.4907 * CHOOSE(CONTROL!$C$15, $E$9, 100%, $G$9) + CHOOSE(CONTROL!$C$38, 0.0354, 0)</f>
        <v>20.5261</v>
      </c>
      <c r="D152" s="17">
        <f>20.4829 * CHOOSE(CONTROL!$C$15, $E$9, 100%, $G$9) + CHOOSE(CONTROL!$C$38, 0.0354, 0)</f>
        <v>20.5183</v>
      </c>
      <c r="E152" s="17">
        <f>20.4829 * CHOOSE(CONTROL!$C$15, $E$9, 100%, $G$9) + CHOOSE(CONTROL!$C$38, 0.0354, 0)</f>
        <v>20.5183</v>
      </c>
      <c r="F152" s="45">
        <f>21.9382 * CHOOSE(CONTROL!$C$15, $E$9, 100%, $G$9) + CHOOSE(CONTROL!$C$38, 0.0353, 0)</f>
        <v>21.973499999999998</v>
      </c>
      <c r="G152" s="17">
        <f>20.4891 * CHOOSE(CONTROL!$C$15, $E$9, 100%, $G$9) + CHOOSE(CONTROL!$C$38, 0.0354, 0)</f>
        <v>20.5245</v>
      </c>
      <c r="H152" s="17">
        <f>20.4891 * CHOOSE(CONTROL!$C$15, $E$9, 100%, $G$9) + CHOOSE(CONTROL!$C$38, 0.0354, 0)</f>
        <v>20.5245</v>
      </c>
      <c r="I152" s="17">
        <f>20.4907 * CHOOSE(CONTROL!$C$15, $E$9, 100%, $G$9) + CHOOSE(CONTROL!$C$38, 0.0354, 0)</f>
        <v>20.5261</v>
      </c>
      <c r="J152" s="44">
        <f>144.3155</f>
        <v>144.31549999999999</v>
      </c>
    </row>
    <row r="153" spans="1:10" ht="15" x14ac:dyDescent="0.2">
      <c r="A153" s="16">
        <v>45566</v>
      </c>
      <c r="B153" s="17">
        <f>22.2958 * CHOOSE(CONTROL!$C$15, $E$9, 100%, $G$9) + CHOOSE(CONTROL!$C$38, 0.034, 0)</f>
        <v>22.329799999999999</v>
      </c>
      <c r="C153" s="17">
        <f>20.8456 * CHOOSE(CONTROL!$C$15, $E$9, 100%, $G$9) + CHOOSE(CONTROL!$C$38, 0.0342, 0)</f>
        <v>20.879799999999999</v>
      </c>
      <c r="D153" s="17">
        <f>20.8378 * CHOOSE(CONTROL!$C$15, $E$9, 100%, $G$9) + CHOOSE(CONTROL!$C$38, 0.0342, 0)</f>
        <v>20.872</v>
      </c>
      <c r="E153" s="17">
        <f>20.8378 * CHOOSE(CONTROL!$C$15, $E$9, 100%, $G$9) + CHOOSE(CONTROL!$C$38, 0.0342, 0)</f>
        <v>20.872</v>
      </c>
      <c r="F153" s="45">
        <f>22.2958 * CHOOSE(CONTROL!$C$15, $E$9, 100%, $G$9) + CHOOSE(CONTROL!$C$38, 0.034, 0)</f>
        <v>22.329799999999999</v>
      </c>
      <c r="G153" s="17">
        <f>20.8441 * CHOOSE(CONTROL!$C$15, $E$9, 100%, $G$9) + CHOOSE(CONTROL!$C$38, 0.0342, 0)</f>
        <v>20.878299999999999</v>
      </c>
      <c r="H153" s="17">
        <f>20.8441 * CHOOSE(CONTROL!$C$15, $E$9, 100%, $G$9) + CHOOSE(CONTROL!$C$38, 0.0342, 0)</f>
        <v>20.878299999999999</v>
      </c>
      <c r="I153" s="17">
        <f>20.8456 * CHOOSE(CONTROL!$C$15, $E$9, 100%, $G$9) + CHOOSE(CONTROL!$C$38, 0.0342, 0)</f>
        <v>20.879799999999999</v>
      </c>
      <c r="J153" s="44">
        <f>139.6119</f>
        <v>139.61189999999999</v>
      </c>
    </row>
    <row r="154" spans="1:10" ht="15" x14ac:dyDescent="0.2">
      <c r="A154" s="16">
        <v>45597</v>
      </c>
      <c r="B154" s="17">
        <f>22.6028 * CHOOSE(CONTROL!$C$15, $E$9, 100%, $G$9) + CHOOSE(CONTROL!$C$38, 0.034, 0)</f>
        <v>22.636799999999997</v>
      </c>
      <c r="C154" s="17">
        <f>21.1499 * CHOOSE(CONTROL!$C$15, $E$9, 100%, $G$9) + CHOOSE(CONTROL!$C$38, 0.0342, 0)</f>
        <v>21.184099999999997</v>
      </c>
      <c r="D154" s="17">
        <f>21.1421 * CHOOSE(CONTROL!$C$15, $E$9, 100%, $G$9) + CHOOSE(CONTROL!$C$38, 0.0342, 0)</f>
        <v>21.176299999999998</v>
      </c>
      <c r="E154" s="17">
        <f>21.1421 * CHOOSE(CONTROL!$C$15, $E$9, 100%, $G$9) + CHOOSE(CONTROL!$C$38, 0.0342, 0)</f>
        <v>21.176299999999998</v>
      </c>
      <c r="F154" s="45">
        <f>22.6028 * CHOOSE(CONTROL!$C$15, $E$9, 100%, $G$9) + CHOOSE(CONTROL!$C$38, 0.034, 0)</f>
        <v>22.636799999999997</v>
      </c>
      <c r="G154" s="17">
        <f>21.1484 * CHOOSE(CONTROL!$C$15, $E$9, 100%, $G$9) + CHOOSE(CONTROL!$C$38, 0.0342, 0)</f>
        <v>21.182599999999997</v>
      </c>
      <c r="H154" s="17">
        <f>21.1484 * CHOOSE(CONTROL!$C$15, $E$9, 100%, $G$9) + CHOOSE(CONTROL!$C$38, 0.0342, 0)</f>
        <v>21.182599999999997</v>
      </c>
      <c r="I154" s="17">
        <f>21.1499 * CHOOSE(CONTROL!$C$15, $E$9, 100%, $G$9) + CHOOSE(CONTROL!$C$38, 0.0342, 0)</f>
        <v>21.184099999999997</v>
      </c>
      <c r="J154" s="44">
        <f>138.9027</f>
        <v>138.90270000000001</v>
      </c>
    </row>
    <row r="155" spans="1:10" ht="15" x14ac:dyDescent="0.2">
      <c r="A155" s="16">
        <v>45627</v>
      </c>
      <c r="B155" s="17">
        <f>23.458 * CHOOSE(CONTROL!$C$15, $E$9, 100%, $G$9) + CHOOSE(CONTROL!$C$38, 0.034, 0)</f>
        <v>23.491999999999997</v>
      </c>
      <c r="C155" s="17">
        <f>22.0025 * CHOOSE(CONTROL!$C$15, $E$9, 100%, $G$9) + CHOOSE(CONTROL!$C$38, 0.0342, 0)</f>
        <v>22.0367</v>
      </c>
      <c r="D155" s="17">
        <f>21.9947 * CHOOSE(CONTROL!$C$15, $E$9, 100%, $G$9) + CHOOSE(CONTROL!$C$38, 0.0342, 0)</f>
        <v>22.0289</v>
      </c>
      <c r="E155" s="17">
        <f>21.9947 * CHOOSE(CONTROL!$C$15, $E$9, 100%, $G$9) + CHOOSE(CONTROL!$C$38, 0.0342, 0)</f>
        <v>22.0289</v>
      </c>
      <c r="F155" s="45">
        <f>23.458 * CHOOSE(CONTROL!$C$15, $E$9, 100%, $G$9) + CHOOSE(CONTROL!$C$38, 0.034, 0)</f>
        <v>23.491999999999997</v>
      </c>
      <c r="G155" s="17">
        <f>22.0009 * CHOOSE(CONTROL!$C$15, $E$9, 100%, $G$9) + CHOOSE(CONTROL!$C$38, 0.0342, 0)</f>
        <v>22.0351</v>
      </c>
      <c r="H155" s="17">
        <f>22.0009 * CHOOSE(CONTROL!$C$15, $E$9, 100%, $G$9) + CHOOSE(CONTROL!$C$38, 0.0342, 0)</f>
        <v>22.0351</v>
      </c>
      <c r="I155" s="17">
        <f>22.0025 * CHOOSE(CONTROL!$C$15, $E$9, 100%, $G$9) + CHOOSE(CONTROL!$C$38, 0.0342, 0)</f>
        <v>22.0367</v>
      </c>
      <c r="J155" s="44">
        <f>135.0583</f>
        <v>135.0583</v>
      </c>
    </row>
    <row r="156" spans="1:10" ht="15" x14ac:dyDescent="0.2">
      <c r="A156" s="16">
        <v>45658</v>
      </c>
      <c r="B156" s="17">
        <f>24.7396 * CHOOSE(CONTROL!$C$15, $E$9, 100%, $G$9) + CHOOSE(CONTROL!$C$38, 0.034, 0)</f>
        <v>24.773599999999998</v>
      </c>
      <c r="C156" s="17">
        <f>23.1424 * CHOOSE(CONTROL!$C$15, $E$9, 100%, $G$9) + CHOOSE(CONTROL!$C$38, 0.0342, 0)</f>
        <v>23.176599999999997</v>
      </c>
      <c r="D156" s="17">
        <f>23.1346 * CHOOSE(CONTROL!$C$15, $E$9, 100%, $G$9) + CHOOSE(CONTROL!$C$38, 0.0342, 0)</f>
        <v>23.168799999999997</v>
      </c>
      <c r="E156" s="17">
        <f>23.1346 * CHOOSE(CONTROL!$C$15, $E$9, 100%, $G$9) + CHOOSE(CONTROL!$C$38, 0.0342, 0)</f>
        <v>23.168799999999997</v>
      </c>
      <c r="F156" s="45">
        <f>24.7396 * CHOOSE(CONTROL!$C$15, $E$9, 100%, $G$9) + CHOOSE(CONTROL!$C$38, 0.034, 0)</f>
        <v>24.773599999999998</v>
      </c>
      <c r="G156" s="17">
        <f>23.1408 * CHOOSE(CONTROL!$C$15, $E$9, 100%, $G$9) + CHOOSE(CONTROL!$C$38, 0.0342, 0)</f>
        <v>23.174999999999997</v>
      </c>
      <c r="H156" s="17">
        <f>23.1408 * CHOOSE(CONTROL!$C$15, $E$9, 100%, $G$9) + CHOOSE(CONTROL!$C$38, 0.0342, 0)</f>
        <v>23.174999999999997</v>
      </c>
      <c r="I156" s="17">
        <f>23.1424 * CHOOSE(CONTROL!$C$15, $E$9, 100%, $G$9) + CHOOSE(CONTROL!$C$38, 0.0342, 0)</f>
        <v>23.176599999999997</v>
      </c>
      <c r="J156" s="44">
        <f>135.4278</f>
        <v>135.42779999999999</v>
      </c>
    </row>
    <row r="157" spans="1:10" ht="15" x14ac:dyDescent="0.2">
      <c r="A157" s="16">
        <v>45689</v>
      </c>
      <c r="B157" s="17">
        <f>25.0905 * CHOOSE(CONTROL!$C$15, $E$9, 100%, $G$9) + CHOOSE(CONTROL!$C$38, 0.034, 0)</f>
        <v>25.124499999999998</v>
      </c>
      <c r="C157" s="17">
        <f>23.4903 * CHOOSE(CONTROL!$C$15, $E$9, 100%, $G$9) + CHOOSE(CONTROL!$C$38, 0.0342, 0)</f>
        <v>23.5245</v>
      </c>
      <c r="D157" s="17">
        <f>23.4825 * CHOOSE(CONTROL!$C$15, $E$9, 100%, $G$9) + CHOOSE(CONTROL!$C$38, 0.0342, 0)</f>
        <v>23.5167</v>
      </c>
      <c r="E157" s="17">
        <f>23.4825 * CHOOSE(CONTROL!$C$15, $E$9, 100%, $G$9) + CHOOSE(CONTROL!$C$38, 0.0342, 0)</f>
        <v>23.5167</v>
      </c>
      <c r="F157" s="45">
        <f>25.0905 * CHOOSE(CONTROL!$C$15, $E$9, 100%, $G$9) + CHOOSE(CONTROL!$C$38, 0.034, 0)</f>
        <v>25.124499999999998</v>
      </c>
      <c r="G157" s="17">
        <f>23.4887 * CHOOSE(CONTROL!$C$15, $E$9, 100%, $G$9) + CHOOSE(CONTROL!$C$38, 0.0342, 0)</f>
        <v>23.5229</v>
      </c>
      <c r="H157" s="17">
        <f>23.4887 * CHOOSE(CONTROL!$C$15, $E$9, 100%, $G$9) + CHOOSE(CONTROL!$C$38, 0.0342, 0)</f>
        <v>23.5229</v>
      </c>
      <c r="I157" s="17">
        <f>23.4903 * CHOOSE(CONTROL!$C$15, $E$9, 100%, $G$9) + CHOOSE(CONTROL!$C$38, 0.0342, 0)</f>
        <v>23.5245</v>
      </c>
      <c r="J157" s="44">
        <f>135.3295</f>
        <v>135.3295</v>
      </c>
    </row>
    <row r="158" spans="1:10" ht="15" x14ac:dyDescent="0.2">
      <c r="A158" s="16">
        <v>45717</v>
      </c>
      <c r="B158" s="17">
        <f>24.4422 * CHOOSE(CONTROL!$C$15, $E$9, 100%, $G$9) + CHOOSE(CONTROL!$C$38, 0.034, 0)</f>
        <v>24.476199999999999</v>
      </c>
      <c r="C158" s="17">
        <f>22.839 * CHOOSE(CONTROL!$C$15, $E$9, 100%, $G$9) + CHOOSE(CONTROL!$C$38, 0.0342, 0)</f>
        <v>22.873199999999997</v>
      </c>
      <c r="D158" s="17">
        <f>22.8312 * CHOOSE(CONTROL!$C$15, $E$9, 100%, $G$9) + CHOOSE(CONTROL!$C$38, 0.0342, 0)</f>
        <v>22.865399999999998</v>
      </c>
      <c r="E158" s="17">
        <f>22.8312 * CHOOSE(CONTROL!$C$15, $E$9, 100%, $G$9) + CHOOSE(CONTROL!$C$38, 0.0342, 0)</f>
        <v>22.865399999999998</v>
      </c>
      <c r="F158" s="45">
        <f>24.4422 * CHOOSE(CONTROL!$C$15, $E$9, 100%, $G$9) + CHOOSE(CONTROL!$C$38, 0.034, 0)</f>
        <v>24.476199999999999</v>
      </c>
      <c r="G158" s="17">
        <f>22.8375 * CHOOSE(CONTROL!$C$15, $E$9, 100%, $G$9) + CHOOSE(CONTROL!$C$38, 0.0342, 0)</f>
        <v>22.871699999999997</v>
      </c>
      <c r="H158" s="17">
        <f>22.8375 * CHOOSE(CONTROL!$C$15, $E$9, 100%, $G$9) + CHOOSE(CONTROL!$C$38, 0.0342, 0)</f>
        <v>22.871699999999997</v>
      </c>
      <c r="I158" s="17">
        <f>22.839 * CHOOSE(CONTROL!$C$15, $E$9, 100%, $G$9) + CHOOSE(CONTROL!$C$38, 0.0342, 0)</f>
        <v>22.873199999999997</v>
      </c>
      <c r="J158" s="44">
        <f>142.7556</f>
        <v>142.75559999999999</v>
      </c>
    </row>
    <row r="159" spans="1:10" ht="15" x14ac:dyDescent="0.2">
      <c r="A159" s="16">
        <v>45748</v>
      </c>
      <c r="B159" s="17">
        <f>23.8129 * CHOOSE(CONTROL!$C$15, $E$9, 100%, $G$9) + CHOOSE(CONTROL!$C$38, 0.034, 0)</f>
        <v>23.846899999999998</v>
      </c>
      <c r="C159" s="17">
        <f>22.2067 * CHOOSE(CONTROL!$C$15, $E$9, 100%, $G$9) + CHOOSE(CONTROL!$C$38, 0.0342, 0)</f>
        <v>22.2409</v>
      </c>
      <c r="D159" s="17">
        <f>22.1989 * CHOOSE(CONTROL!$C$15, $E$9, 100%, $G$9) + CHOOSE(CONTROL!$C$38, 0.0342, 0)</f>
        <v>22.233099999999997</v>
      </c>
      <c r="E159" s="17">
        <f>22.1989 * CHOOSE(CONTROL!$C$15, $E$9, 100%, $G$9) + CHOOSE(CONTROL!$C$38, 0.0342, 0)</f>
        <v>22.233099999999997</v>
      </c>
      <c r="F159" s="45">
        <f>23.8129 * CHOOSE(CONTROL!$C$15, $E$9, 100%, $G$9) + CHOOSE(CONTROL!$C$38, 0.034, 0)</f>
        <v>23.846899999999998</v>
      </c>
      <c r="G159" s="17">
        <f>22.2052 * CHOOSE(CONTROL!$C$15, $E$9, 100%, $G$9) + CHOOSE(CONTROL!$C$38, 0.0342, 0)</f>
        <v>22.2394</v>
      </c>
      <c r="H159" s="17">
        <f>22.2052 * CHOOSE(CONTROL!$C$15, $E$9, 100%, $G$9) + CHOOSE(CONTROL!$C$38, 0.0342, 0)</f>
        <v>22.2394</v>
      </c>
      <c r="I159" s="17">
        <f>22.2067 * CHOOSE(CONTROL!$C$15, $E$9, 100%, $G$9) + CHOOSE(CONTROL!$C$38, 0.0342, 0)</f>
        <v>22.2409</v>
      </c>
      <c r="J159" s="44">
        <f>152.3372</f>
        <v>152.3372</v>
      </c>
    </row>
    <row r="160" spans="1:10" ht="15" x14ac:dyDescent="0.2">
      <c r="A160" s="16">
        <v>45778</v>
      </c>
      <c r="B160" s="17">
        <f>23.1521 * CHOOSE(CONTROL!$C$15, $E$9, 100%, $G$9) + CHOOSE(CONTROL!$C$38, 0.0353, 0)</f>
        <v>23.1874</v>
      </c>
      <c r="C160" s="17">
        <f>21.543 * CHOOSE(CONTROL!$C$15, $E$9, 100%, $G$9) + CHOOSE(CONTROL!$C$38, 0.0354, 0)</f>
        <v>21.578399999999998</v>
      </c>
      <c r="D160" s="17">
        <f>21.5352 * CHOOSE(CONTROL!$C$15, $E$9, 100%, $G$9) + CHOOSE(CONTROL!$C$38, 0.0354, 0)</f>
        <v>21.570599999999999</v>
      </c>
      <c r="E160" s="17">
        <f>21.5352 * CHOOSE(CONTROL!$C$15, $E$9, 100%, $G$9) + CHOOSE(CONTROL!$C$38, 0.0354, 0)</f>
        <v>21.570599999999999</v>
      </c>
      <c r="F160" s="45">
        <f>23.1521 * CHOOSE(CONTROL!$C$15, $E$9, 100%, $G$9) + CHOOSE(CONTROL!$C$38, 0.0353, 0)</f>
        <v>23.1874</v>
      </c>
      <c r="G160" s="17">
        <f>21.5414 * CHOOSE(CONTROL!$C$15, $E$9, 100%, $G$9) + CHOOSE(CONTROL!$C$38, 0.0354, 0)</f>
        <v>21.576799999999999</v>
      </c>
      <c r="H160" s="17">
        <f>21.5414 * CHOOSE(CONTROL!$C$15, $E$9, 100%, $G$9) + CHOOSE(CONTROL!$C$38, 0.0354, 0)</f>
        <v>21.576799999999999</v>
      </c>
      <c r="I160" s="17">
        <f>21.543 * CHOOSE(CONTROL!$C$15, $E$9, 100%, $G$9) + CHOOSE(CONTROL!$C$38, 0.0354, 0)</f>
        <v>21.578399999999998</v>
      </c>
      <c r="J160" s="44">
        <f>157.7736</f>
        <v>157.77359999999999</v>
      </c>
    </row>
    <row r="161" spans="1:10" ht="15" x14ac:dyDescent="0.2">
      <c r="A161" s="16">
        <v>45809</v>
      </c>
      <c r="B161" s="17">
        <f>22.7008 * CHOOSE(CONTROL!$C$15, $E$9, 100%, $G$9) + CHOOSE(CONTROL!$C$38, 0.0353, 0)</f>
        <v>22.7361</v>
      </c>
      <c r="C161" s="17">
        <f>21.0886 * CHOOSE(CONTROL!$C$15, $E$9, 100%, $G$9) + CHOOSE(CONTROL!$C$38, 0.0354, 0)</f>
        <v>21.123999999999999</v>
      </c>
      <c r="D161" s="17">
        <f>21.0808 * CHOOSE(CONTROL!$C$15, $E$9, 100%, $G$9) + CHOOSE(CONTROL!$C$38, 0.0354, 0)</f>
        <v>21.116199999999999</v>
      </c>
      <c r="E161" s="17">
        <f>21.0808 * CHOOSE(CONTROL!$C$15, $E$9, 100%, $G$9) + CHOOSE(CONTROL!$C$38, 0.0354, 0)</f>
        <v>21.116199999999999</v>
      </c>
      <c r="F161" s="45">
        <f>22.7008 * CHOOSE(CONTROL!$C$15, $E$9, 100%, $G$9) + CHOOSE(CONTROL!$C$38, 0.0353, 0)</f>
        <v>22.7361</v>
      </c>
      <c r="G161" s="17">
        <f>21.0871 * CHOOSE(CONTROL!$C$15, $E$9, 100%, $G$9) + CHOOSE(CONTROL!$C$38, 0.0354, 0)</f>
        <v>21.122499999999999</v>
      </c>
      <c r="H161" s="17">
        <f>21.0871 * CHOOSE(CONTROL!$C$15, $E$9, 100%, $G$9) + CHOOSE(CONTROL!$C$38, 0.0354, 0)</f>
        <v>21.122499999999999</v>
      </c>
      <c r="I161" s="17">
        <f>21.0886 * CHOOSE(CONTROL!$C$15, $E$9, 100%, $G$9) + CHOOSE(CONTROL!$C$38, 0.0354, 0)</f>
        <v>21.123999999999999</v>
      </c>
      <c r="J161" s="44">
        <f>160.3767</f>
        <v>160.3767</v>
      </c>
    </row>
    <row r="162" spans="1:10" ht="15" x14ac:dyDescent="0.2">
      <c r="A162" s="16">
        <v>45839</v>
      </c>
      <c r="B162" s="17">
        <f>22.4616 * CHOOSE(CONTROL!$C$15, $E$9, 100%, $G$9) + CHOOSE(CONTROL!$C$38, 0.0353, 0)</f>
        <v>22.4969</v>
      </c>
      <c r="C162" s="17">
        <f>20.8465 * CHOOSE(CONTROL!$C$15, $E$9, 100%, $G$9) + CHOOSE(CONTROL!$C$38, 0.0354, 0)</f>
        <v>20.881899999999998</v>
      </c>
      <c r="D162" s="17">
        <f>20.8387 * CHOOSE(CONTROL!$C$15, $E$9, 100%, $G$9) + CHOOSE(CONTROL!$C$38, 0.0354, 0)</f>
        <v>20.874099999999999</v>
      </c>
      <c r="E162" s="17">
        <f>20.8387 * CHOOSE(CONTROL!$C$15, $E$9, 100%, $G$9) + CHOOSE(CONTROL!$C$38, 0.0354, 0)</f>
        <v>20.874099999999999</v>
      </c>
      <c r="F162" s="45">
        <f>22.4616 * CHOOSE(CONTROL!$C$15, $E$9, 100%, $G$9) + CHOOSE(CONTROL!$C$38, 0.0353, 0)</f>
        <v>22.4969</v>
      </c>
      <c r="G162" s="17">
        <f>20.8449 * CHOOSE(CONTROL!$C$15, $E$9, 100%, $G$9) + CHOOSE(CONTROL!$C$38, 0.0354, 0)</f>
        <v>20.880299999999998</v>
      </c>
      <c r="H162" s="17">
        <f>20.8449 * CHOOSE(CONTROL!$C$15, $E$9, 100%, $G$9) + CHOOSE(CONTROL!$C$38, 0.0354, 0)</f>
        <v>20.880299999999998</v>
      </c>
      <c r="I162" s="17">
        <f>20.8465 * CHOOSE(CONTROL!$C$15, $E$9, 100%, $G$9) + CHOOSE(CONTROL!$C$38, 0.0354, 0)</f>
        <v>20.881899999999998</v>
      </c>
      <c r="J162" s="44">
        <f>159.9554</f>
        <v>159.9554</v>
      </c>
    </row>
    <row r="163" spans="1:10" ht="15" x14ac:dyDescent="0.2">
      <c r="A163" s="16">
        <v>45870</v>
      </c>
      <c r="B163" s="17">
        <f>22.6474 * CHOOSE(CONTROL!$C$15, $E$9, 100%, $G$9) + CHOOSE(CONTROL!$C$38, 0.0353, 0)</f>
        <v>22.682700000000001</v>
      </c>
      <c r="C163" s="17">
        <f>21.0292 * CHOOSE(CONTROL!$C$15, $E$9, 100%, $G$9) + CHOOSE(CONTROL!$C$38, 0.0354, 0)</f>
        <v>21.064599999999999</v>
      </c>
      <c r="D163" s="17">
        <f>21.0214 * CHOOSE(CONTROL!$C$15, $E$9, 100%, $G$9) + CHOOSE(CONTROL!$C$38, 0.0354, 0)</f>
        <v>21.056799999999999</v>
      </c>
      <c r="E163" s="17">
        <f>21.0214 * CHOOSE(CONTROL!$C$15, $E$9, 100%, $G$9) + CHOOSE(CONTROL!$C$38, 0.0354, 0)</f>
        <v>21.056799999999999</v>
      </c>
      <c r="F163" s="45">
        <f>22.6474 * CHOOSE(CONTROL!$C$15, $E$9, 100%, $G$9) + CHOOSE(CONTROL!$C$38, 0.0353, 0)</f>
        <v>22.682700000000001</v>
      </c>
      <c r="G163" s="17">
        <f>21.0277 * CHOOSE(CONTROL!$C$15, $E$9, 100%, $G$9) + CHOOSE(CONTROL!$C$38, 0.0354, 0)</f>
        <v>21.063099999999999</v>
      </c>
      <c r="H163" s="17">
        <f>21.0277 * CHOOSE(CONTROL!$C$15, $E$9, 100%, $G$9) + CHOOSE(CONTROL!$C$38, 0.0354, 0)</f>
        <v>21.063099999999999</v>
      </c>
      <c r="I163" s="17">
        <f>21.0292 * CHOOSE(CONTROL!$C$15, $E$9, 100%, $G$9) + CHOOSE(CONTROL!$C$38, 0.0354, 0)</f>
        <v>21.064599999999999</v>
      </c>
      <c r="J163" s="44">
        <f>156.5535</f>
        <v>156.55350000000001</v>
      </c>
    </row>
    <row r="164" spans="1:10" ht="15" x14ac:dyDescent="0.2">
      <c r="A164" s="16">
        <v>45901</v>
      </c>
      <c r="B164" s="17">
        <f>23.0759 * CHOOSE(CONTROL!$C$15, $E$9, 100%, $G$9) + CHOOSE(CONTROL!$C$38, 0.0353, 0)</f>
        <v>23.1112</v>
      </c>
      <c r="C164" s="17">
        <f>21.4547 * CHOOSE(CONTROL!$C$15, $E$9, 100%, $G$9) + CHOOSE(CONTROL!$C$38, 0.0354, 0)</f>
        <v>21.490099999999998</v>
      </c>
      <c r="D164" s="17">
        <f>21.4469 * CHOOSE(CONTROL!$C$15, $E$9, 100%, $G$9) + CHOOSE(CONTROL!$C$38, 0.0354, 0)</f>
        <v>21.482299999999999</v>
      </c>
      <c r="E164" s="17">
        <f>21.4469 * CHOOSE(CONTROL!$C$15, $E$9, 100%, $G$9) + CHOOSE(CONTROL!$C$38, 0.0354, 0)</f>
        <v>21.482299999999999</v>
      </c>
      <c r="F164" s="45">
        <f>23.0759 * CHOOSE(CONTROL!$C$15, $E$9, 100%, $G$9) + CHOOSE(CONTROL!$C$38, 0.0353, 0)</f>
        <v>23.1112</v>
      </c>
      <c r="G164" s="17">
        <f>21.4532 * CHOOSE(CONTROL!$C$15, $E$9, 100%, $G$9) + CHOOSE(CONTROL!$C$38, 0.0354, 0)</f>
        <v>21.488599999999998</v>
      </c>
      <c r="H164" s="17">
        <f>21.4532 * CHOOSE(CONTROL!$C$15, $E$9, 100%, $G$9) + CHOOSE(CONTROL!$C$38, 0.0354, 0)</f>
        <v>21.488599999999998</v>
      </c>
      <c r="I164" s="17">
        <f>21.4547 * CHOOSE(CONTROL!$C$15, $E$9, 100%, $G$9) + CHOOSE(CONTROL!$C$38, 0.0354, 0)</f>
        <v>21.490099999999998</v>
      </c>
      <c r="J164" s="44">
        <f>151.6617</f>
        <v>151.6617</v>
      </c>
    </row>
    <row r="165" spans="1:10" ht="15" x14ac:dyDescent="0.2">
      <c r="A165" s="16">
        <v>45931</v>
      </c>
      <c r="B165" s="17">
        <f>23.4437 * CHOOSE(CONTROL!$C$15, $E$9, 100%, $G$9) + CHOOSE(CONTROL!$C$38, 0.034, 0)</f>
        <v>23.477699999999999</v>
      </c>
      <c r="C165" s="17">
        <f>21.8195 * CHOOSE(CONTROL!$C$15, $E$9, 100%, $G$9) + CHOOSE(CONTROL!$C$38, 0.0342, 0)</f>
        <v>21.8537</v>
      </c>
      <c r="D165" s="17">
        <f>21.8117 * CHOOSE(CONTROL!$C$15, $E$9, 100%, $G$9) + CHOOSE(CONTROL!$C$38, 0.0342, 0)</f>
        <v>21.845899999999997</v>
      </c>
      <c r="E165" s="17">
        <f>21.8117 * CHOOSE(CONTROL!$C$15, $E$9, 100%, $G$9) + CHOOSE(CONTROL!$C$38, 0.0342, 0)</f>
        <v>21.845899999999997</v>
      </c>
      <c r="F165" s="45">
        <f>23.4437 * CHOOSE(CONTROL!$C$15, $E$9, 100%, $G$9) + CHOOSE(CONTROL!$C$38, 0.034, 0)</f>
        <v>23.477699999999999</v>
      </c>
      <c r="G165" s="17">
        <f>21.818 * CHOOSE(CONTROL!$C$15, $E$9, 100%, $G$9) + CHOOSE(CONTROL!$C$38, 0.0342, 0)</f>
        <v>21.8522</v>
      </c>
      <c r="H165" s="17">
        <f>21.818 * CHOOSE(CONTROL!$C$15, $E$9, 100%, $G$9) + CHOOSE(CONTROL!$C$38, 0.0342, 0)</f>
        <v>21.8522</v>
      </c>
      <c r="I165" s="17">
        <f>21.8195 * CHOOSE(CONTROL!$C$15, $E$9, 100%, $G$9) + CHOOSE(CONTROL!$C$38, 0.0342, 0)</f>
        <v>21.8537</v>
      </c>
      <c r="J165" s="44">
        <f>146.7187</f>
        <v>146.71870000000001</v>
      </c>
    </row>
    <row r="166" spans="1:10" ht="15" x14ac:dyDescent="0.2">
      <c r="A166" s="16">
        <v>45962</v>
      </c>
      <c r="B166" s="17">
        <f>23.7596 * CHOOSE(CONTROL!$C$15, $E$9, 100%, $G$9) + CHOOSE(CONTROL!$C$38, 0.034, 0)</f>
        <v>23.793599999999998</v>
      </c>
      <c r="C166" s="17">
        <f>22.1324 * CHOOSE(CONTROL!$C$15, $E$9, 100%, $G$9) + CHOOSE(CONTROL!$C$38, 0.0342, 0)</f>
        <v>22.166599999999999</v>
      </c>
      <c r="D166" s="17">
        <f>22.1246 * CHOOSE(CONTROL!$C$15, $E$9, 100%, $G$9) + CHOOSE(CONTROL!$C$38, 0.0342, 0)</f>
        <v>22.158799999999999</v>
      </c>
      <c r="E166" s="17">
        <f>22.1246 * CHOOSE(CONTROL!$C$15, $E$9, 100%, $G$9) + CHOOSE(CONTROL!$C$38, 0.0342, 0)</f>
        <v>22.158799999999999</v>
      </c>
      <c r="F166" s="45">
        <f>23.7596 * CHOOSE(CONTROL!$C$15, $E$9, 100%, $G$9) + CHOOSE(CONTROL!$C$38, 0.034, 0)</f>
        <v>23.793599999999998</v>
      </c>
      <c r="G166" s="17">
        <f>22.1308 * CHOOSE(CONTROL!$C$15, $E$9, 100%, $G$9) + CHOOSE(CONTROL!$C$38, 0.0342, 0)</f>
        <v>22.164999999999999</v>
      </c>
      <c r="H166" s="17">
        <f>22.1308 * CHOOSE(CONTROL!$C$15, $E$9, 100%, $G$9) + CHOOSE(CONTROL!$C$38, 0.0342, 0)</f>
        <v>22.164999999999999</v>
      </c>
      <c r="I166" s="17">
        <f>22.1324 * CHOOSE(CONTROL!$C$15, $E$9, 100%, $G$9) + CHOOSE(CONTROL!$C$38, 0.0342, 0)</f>
        <v>22.166599999999999</v>
      </c>
      <c r="J166" s="44">
        <f>145.9734</f>
        <v>145.9734</v>
      </c>
    </row>
    <row r="167" spans="1:10" ht="15" x14ac:dyDescent="0.2">
      <c r="A167" s="16">
        <v>45992</v>
      </c>
      <c r="B167" s="17">
        <f>24.6375 * CHOOSE(CONTROL!$C$15, $E$9, 100%, $G$9) + CHOOSE(CONTROL!$C$38, 0.034, 0)</f>
        <v>24.671499999999998</v>
      </c>
      <c r="C167" s="17">
        <f>23.0072 * CHOOSE(CONTROL!$C$15, $E$9, 100%, $G$9) + CHOOSE(CONTROL!$C$38, 0.0342, 0)</f>
        <v>23.041399999999999</v>
      </c>
      <c r="D167" s="17">
        <f>22.9994 * CHOOSE(CONTROL!$C$15, $E$9, 100%, $G$9) + CHOOSE(CONTROL!$C$38, 0.0342, 0)</f>
        <v>23.0336</v>
      </c>
      <c r="E167" s="17">
        <f>22.9994 * CHOOSE(CONTROL!$C$15, $E$9, 100%, $G$9) + CHOOSE(CONTROL!$C$38, 0.0342, 0)</f>
        <v>23.0336</v>
      </c>
      <c r="F167" s="45">
        <f>24.6375 * CHOOSE(CONTROL!$C$15, $E$9, 100%, $G$9) + CHOOSE(CONTROL!$C$38, 0.034, 0)</f>
        <v>24.671499999999998</v>
      </c>
      <c r="G167" s="17">
        <f>23.0057 * CHOOSE(CONTROL!$C$15, $E$9, 100%, $G$9) + CHOOSE(CONTROL!$C$38, 0.0342, 0)</f>
        <v>23.039899999999999</v>
      </c>
      <c r="H167" s="17">
        <f>23.0057 * CHOOSE(CONTROL!$C$15, $E$9, 100%, $G$9) + CHOOSE(CONTROL!$C$38, 0.0342, 0)</f>
        <v>23.039899999999999</v>
      </c>
      <c r="I167" s="17">
        <f>23.0072 * CHOOSE(CONTROL!$C$15, $E$9, 100%, $G$9) + CHOOSE(CONTROL!$C$38, 0.0342, 0)</f>
        <v>23.041399999999999</v>
      </c>
      <c r="J167" s="44">
        <f>141.9334</f>
        <v>141.93340000000001</v>
      </c>
    </row>
    <row r="168" spans="1:10" ht="15" x14ac:dyDescent="0.2">
      <c r="A168" s="16">
        <v>46023</v>
      </c>
      <c r="B168" s="17">
        <f>25.3155 * CHOOSE(CONTROL!$C$15, $E$9, 100%, $G$9) + CHOOSE(CONTROL!$C$38, 0.034, 0)</f>
        <v>25.349499999999999</v>
      </c>
      <c r="C168" s="17">
        <f>23.6982 * CHOOSE(CONTROL!$C$15, $E$9, 100%, $G$9) + CHOOSE(CONTROL!$C$38, 0.0342, 0)</f>
        <v>23.732399999999998</v>
      </c>
      <c r="D168" s="17">
        <f>23.6904 * CHOOSE(CONTROL!$C$15, $E$9, 100%, $G$9) + CHOOSE(CONTROL!$C$38, 0.0342, 0)</f>
        <v>23.724599999999999</v>
      </c>
      <c r="E168" s="17">
        <f>23.6904 * CHOOSE(CONTROL!$C$15, $E$9, 100%, $G$9) + CHOOSE(CONTROL!$C$38, 0.0342, 0)</f>
        <v>23.724599999999999</v>
      </c>
      <c r="F168" s="45">
        <f>25.3155 * CHOOSE(CONTROL!$C$15, $E$9, 100%, $G$9) + CHOOSE(CONTROL!$C$38, 0.034, 0)</f>
        <v>25.349499999999999</v>
      </c>
      <c r="G168" s="17">
        <f>23.6967 * CHOOSE(CONTROL!$C$15, $E$9, 100%, $G$9) + CHOOSE(CONTROL!$C$38, 0.0342, 0)</f>
        <v>23.730899999999998</v>
      </c>
      <c r="H168" s="17">
        <f>23.6967 * CHOOSE(CONTROL!$C$15, $E$9, 100%, $G$9) + CHOOSE(CONTROL!$C$38, 0.0342, 0)</f>
        <v>23.730899999999998</v>
      </c>
      <c r="I168" s="17">
        <f>23.6982 * CHOOSE(CONTROL!$C$15, $E$9, 100%, $G$9) + CHOOSE(CONTROL!$C$38, 0.0342, 0)</f>
        <v>23.732399999999998</v>
      </c>
      <c r="J168" s="44">
        <f>138.8398</f>
        <v>138.8398</v>
      </c>
    </row>
    <row r="169" spans="1:10" ht="15" x14ac:dyDescent="0.2">
      <c r="A169" s="16">
        <v>46054</v>
      </c>
      <c r="B169" s="17">
        <f>25.6751 * CHOOSE(CONTROL!$C$15, $E$9, 100%, $G$9) + CHOOSE(CONTROL!$C$38, 0.034, 0)</f>
        <v>25.709099999999999</v>
      </c>
      <c r="C169" s="17">
        <f>24.0548 * CHOOSE(CONTROL!$C$15, $E$9, 100%, $G$9) + CHOOSE(CONTROL!$C$38, 0.0342, 0)</f>
        <v>24.088999999999999</v>
      </c>
      <c r="D169" s="17">
        <f>24.047 * CHOOSE(CONTROL!$C$15, $E$9, 100%, $G$9) + CHOOSE(CONTROL!$C$38, 0.0342, 0)</f>
        <v>24.081199999999999</v>
      </c>
      <c r="E169" s="17">
        <f>24.047 * CHOOSE(CONTROL!$C$15, $E$9, 100%, $G$9) + CHOOSE(CONTROL!$C$38, 0.0342, 0)</f>
        <v>24.081199999999999</v>
      </c>
      <c r="F169" s="45">
        <f>25.6751 * CHOOSE(CONTROL!$C$15, $E$9, 100%, $G$9) + CHOOSE(CONTROL!$C$38, 0.034, 0)</f>
        <v>25.709099999999999</v>
      </c>
      <c r="G169" s="17">
        <f>24.0533 * CHOOSE(CONTROL!$C$15, $E$9, 100%, $G$9) + CHOOSE(CONTROL!$C$38, 0.0342, 0)</f>
        <v>24.087499999999999</v>
      </c>
      <c r="H169" s="17">
        <f>24.0533 * CHOOSE(CONTROL!$C$15, $E$9, 100%, $G$9) + CHOOSE(CONTROL!$C$38, 0.0342, 0)</f>
        <v>24.087499999999999</v>
      </c>
      <c r="I169" s="17">
        <f>24.0548 * CHOOSE(CONTROL!$C$15, $E$9, 100%, $G$9) + CHOOSE(CONTROL!$C$38, 0.0342, 0)</f>
        <v>24.088999999999999</v>
      </c>
      <c r="J169" s="44">
        <f>138.7391</f>
        <v>138.73910000000001</v>
      </c>
    </row>
    <row r="170" spans="1:10" ht="15" x14ac:dyDescent="0.2">
      <c r="A170" s="16">
        <v>46082</v>
      </c>
      <c r="B170" s="17">
        <f>25.0106 * CHOOSE(CONTROL!$C$15, $E$9, 100%, $G$9) + CHOOSE(CONTROL!$C$38, 0.034, 0)</f>
        <v>25.044599999999999</v>
      </c>
      <c r="C170" s="17">
        <f>23.3873 * CHOOSE(CONTROL!$C$15, $E$9, 100%, $G$9) + CHOOSE(CONTROL!$C$38, 0.0342, 0)</f>
        <v>23.421499999999998</v>
      </c>
      <c r="D170" s="17">
        <f>23.3795 * CHOOSE(CONTROL!$C$15, $E$9, 100%, $G$9) + CHOOSE(CONTROL!$C$38, 0.0342, 0)</f>
        <v>23.413699999999999</v>
      </c>
      <c r="E170" s="17">
        <f>23.3795 * CHOOSE(CONTROL!$C$15, $E$9, 100%, $G$9) + CHOOSE(CONTROL!$C$38, 0.0342, 0)</f>
        <v>23.413699999999999</v>
      </c>
      <c r="F170" s="45">
        <f>25.0106 * CHOOSE(CONTROL!$C$15, $E$9, 100%, $G$9) + CHOOSE(CONTROL!$C$38, 0.034, 0)</f>
        <v>25.044599999999999</v>
      </c>
      <c r="G170" s="17">
        <f>23.3857 * CHOOSE(CONTROL!$C$15, $E$9, 100%, $G$9) + CHOOSE(CONTROL!$C$38, 0.0342, 0)</f>
        <v>23.419899999999998</v>
      </c>
      <c r="H170" s="17">
        <f>23.3857 * CHOOSE(CONTROL!$C$15, $E$9, 100%, $G$9) + CHOOSE(CONTROL!$C$38, 0.0342, 0)</f>
        <v>23.419899999999998</v>
      </c>
      <c r="I170" s="17">
        <f>23.3873 * CHOOSE(CONTROL!$C$15, $E$9, 100%, $G$9) + CHOOSE(CONTROL!$C$38, 0.0342, 0)</f>
        <v>23.421499999999998</v>
      </c>
      <c r="J170" s="44">
        <f>146.3523</f>
        <v>146.35230000000001</v>
      </c>
    </row>
    <row r="171" spans="1:10" ht="15" x14ac:dyDescent="0.2">
      <c r="A171" s="16">
        <v>46113</v>
      </c>
      <c r="B171" s="17">
        <f>24.3654 * CHOOSE(CONTROL!$C$15, $E$9, 100%, $G$9) + CHOOSE(CONTROL!$C$38, 0.034, 0)</f>
        <v>24.3994</v>
      </c>
      <c r="C171" s="17">
        <f>22.7391 * CHOOSE(CONTROL!$C$15, $E$9, 100%, $G$9) + CHOOSE(CONTROL!$C$38, 0.0342, 0)</f>
        <v>22.773299999999999</v>
      </c>
      <c r="D171" s="17">
        <f>22.7313 * CHOOSE(CONTROL!$C$15, $E$9, 100%, $G$9) + CHOOSE(CONTROL!$C$38, 0.0342, 0)</f>
        <v>22.765499999999999</v>
      </c>
      <c r="E171" s="17">
        <f>22.7313 * CHOOSE(CONTROL!$C$15, $E$9, 100%, $G$9) + CHOOSE(CONTROL!$C$38, 0.0342, 0)</f>
        <v>22.765499999999999</v>
      </c>
      <c r="F171" s="45">
        <f>24.3654 * CHOOSE(CONTROL!$C$15, $E$9, 100%, $G$9) + CHOOSE(CONTROL!$C$38, 0.034, 0)</f>
        <v>24.3994</v>
      </c>
      <c r="G171" s="17">
        <f>22.7376 * CHOOSE(CONTROL!$C$15, $E$9, 100%, $G$9) + CHOOSE(CONTROL!$C$38, 0.0342, 0)</f>
        <v>22.771799999999999</v>
      </c>
      <c r="H171" s="17">
        <f>22.7376 * CHOOSE(CONTROL!$C$15, $E$9, 100%, $G$9) + CHOOSE(CONTROL!$C$38, 0.0342, 0)</f>
        <v>22.771799999999999</v>
      </c>
      <c r="I171" s="17">
        <f>22.7391 * CHOOSE(CONTROL!$C$15, $E$9, 100%, $G$9) + CHOOSE(CONTROL!$C$38, 0.0342, 0)</f>
        <v>22.773299999999999</v>
      </c>
      <c r="J171" s="44">
        <f>156.1752</f>
        <v>156.17519999999999</v>
      </c>
    </row>
    <row r="172" spans="1:10" ht="15" x14ac:dyDescent="0.2">
      <c r="A172" s="16">
        <v>46143</v>
      </c>
      <c r="B172" s="17">
        <f>23.6881 * CHOOSE(CONTROL!$C$15, $E$9, 100%, $G$9) + CHOOSE(CONTROL!$C$38, 0.0353, 0)</f>
        <v>23.723399999999998</v>
      </c>
      <c r="C172" s="17">
        <f>22.0588 * CHOOSE(CONTROL!$C$15, $E$9, 100%, $G$9) + CHOOSE(CONTROL!$C$38, 0.0354, 0)</f>
        <v>22.094200000000001</v>
      </c>
      <c r="D172" s="17">
        <f>22.0509 * CHOOSE(CONTROL!$C$15, $E$9, 100%, $G$9) + CHOOSE(CONTROL!$C$38, 0.0354, 0)</f>
        <v>22.086299999999998</v>
      </c>
      <c r="E172" s="17">
        <f>22.0509 * CHOOSE(CONTROL!$C$15, $E$9, 100%, $G$9) + CHOOSE(CONTROL!$C$38, 0.0354, 0)</f>
        <v>22.086299999999998</v>
      </c>
      <c r="F172" s="45">
        <f>23.6881 * CHOOSE(CONTROL!$C$15, $E$9, 100%, $G$9) + CHOOSE(CONTROL!$C$38, 0.0353, 0)</f>
        <v>23.723399999999998</v>
      </c>
      <c r="G172" s="17">
        <f>22.0572 * CHOOSE(CONTROL!$C$15, $E$9, 100%, $G$9) + CHOOSE(CONTROL!$C$38, 0.0354, 0)</f>
        <v>22.092600000000001</v>
      </c>
      <c r="H172" s="17">
        <f>22.0572 * CHOOSE(CONTROL!$C$15, $E$9, 100%, $G$9) + CHOOSE(CONTROL!$C$38, 0.0354, 0)</f>
        <v>22.092600000000001</v>
      </c>
      <c r="I172" s="17">
        <f>22.0588 * CHOOSE(CONTROL!$C$15, $E$9, 100%, $G$9) + CHOOSE(CONTROL!$C$38, 0.0354, 0)</f>
        <v>22.094200000000001</v>
      </c>
      <c r="J172" s="44">
        <f>161.7486</f>
        <v>161.74860000000001</v>
      </c>
    </row>
    <row r="173" spans="1:10" ht="15" x14ac:dyDescent="0.2">
      <c r="A173" s="16">
        <v>46174</v>
      </c>
      <c r="B173" s="17">
        <f>23.2254 * CHOOSE(CONTROL!$C$15, $E$9, 100%, $G$9) + CHOOSE(CONTROL!$C$38, 0.0353, 0)</f>
        <v>23.2607</v>
      </c>
      <c r="C173" s="17">
        <f>21.593 * CHOOSE(CONTROL!$C$15, $E$9, 100%, $G$9) + CHOOSE(CONTROL!$C$38, 0.0354, 0)</f>
        <v>21.628399999999999</v>
      </c>
      <c r="D173" s="17">
        <f>21.5852 * CHOOSE(CONTROL!$C$15, $E$9, 100%, $G$9) + CHOOSE(CONTROL!$C$38, 0.0354, 0)</f>
        <v>21.6206</v>
      </c>
      <c r="E173" s="17">
        <f>21.5852 * CHOOSE(CONTROL!$C$15, $E$9, 100%, $G$9) + CHOOSE(CONTROL!$C$38, 0.0354, 0)</f>
        <v>21.6206</v>
      </c>
      <c r="F173" s="45">
        <f>23.2254 * CHOOSE(CONTROL!$C$15, $E$9, 100%, $G$9) + CHOOSE(CONTROL!$C$38, 0.0353, 0)</f>
        <v>23.2607</v>
      </c>
      <c r="G173" s="17">
        <f>21.5915 * CHOOSE(CONTROL!$C$15, $E$9, 100%, $G$9) + CHOOSE(CONTROL!$C$38, 0.0354, 0)</f>
        <v>21.626899999999999</v>
      </c>
      <c r="H173" s="17">
        <f>21.5915 * CHOOSE(CONTROL!$C$15, $E$9, 100%, $G$9) + CHOOSE(CONTROL!$C$38, 0.0354, 0)</f>
        <v>21.626899999999999</v>
      </c>
      <c r="I173" s="17">
        <f>21.593 * CHOOSE(CONTROL!$C$15, $E$9, 100%, $G$9) + CHOOSE(CONTROL!$C$38, 0.0354, 0)</f>
        <v>21.628399999999999</v>
      </c>
      <c r="J173" s="44">
        <f>164.4172</f>
        <v>164.41720000000001</v>
      </c>
    </row>
    <row r="174" spans="1:10" ht="15" x14ac:dyDescent="0.2">
      <c r="A174" s="16">
        <v>46204</v>
      </c>
      <c r="B174" s="17">
        <f>22.9802 * CHOOSE(CONTROL!$C$15, $E$9, 100%, $G$9) + CHOOSE(CONTROL!$C$38, 0.0353, 0)</f>
        <v>23.015499999999999</v>
      </c>
      <c r="C174" s="17">
        <f>21.3448 * CHOOSE(CONTROL!$C$15, $E$9, 100%, $G$9) + CHOOSE(CONTROL!$C$38, 0.0354, 0)</f>
        <v>21.380199999999999</v>
      </c>
      <c r="D174" s="17">
        <f>21.337 * CHOOSE(CONTROL!$C$15, $E$9, 100%, $G$9) + CHOOSE(CONTROL!$C$38, 0.0354, 0)</f>
        <v>21.372399999999999</v>
      </c>
      <c r="E174" s="17">
        <f>21.337 * CHOOSE(CONTROL!$C$15, $E$9, 100%, $G$9) + CHOOSE(CONTROL!$C$38, 0.0354, 0)</f>
        <v>21.372399999999999</v>
      </c>
      <c r="F174" s="45">
        <f>22.9802 * CHOOSE(CONTROL!$C$15, $E$9, 100%, $G$9) + CHOOSE(CONTROL!$C$38, 0.0353, 0)</f>
        <v>23.015499999999999</v>
      </c>
      <c r="G174" s="17">
        <f>21.3432 * CHOOSE(CONTROL!$C$15, $E$9, 100%, $G$9) + CHOOSE(CONTROL!$C$38, 0.0354, 0)</f>
        <v>21.378599999999999</v>
      </c>
      <c r="H174" s="17">
        <f>21.3432 * CHOOSE(CONTROL!$C$15, $E$9, 100%, $G$9) + CHOOSE(CONTROL!$C$38, 0.0354, 0)</f>
        <v>21.378599999999999</v>
      </c>
      <c r="I174" s="17">
        <f>21.3448 * CHOOSE(CONTROL!$C$15, $E$9, 100%, $G$9) + CHOOSE(CONTROL!$C$38, 0.0354, 0)</f>
        <v>21.380199999999999</v>
      </c>
      <c r="J174" s="44">
        <f>163.9854</f>
        <v>163.9854</v>
      </c>
    </row>
    <row r="175" spans="1:10" ht="15" x14ac:dyDescent="0.2">
      <c r="A175" s="16">
        <v>46235</v>
      </c>
      <c r="B175" s="17">
        <f>23.1706 * CHOOSE(CONTROL!$C$15, $E$9, 100%, $G$9) + CHOOSE(CONTROL!$C$38, 0.0353, 0)</f>
        <v>23.2059</v>
      </c>
      <c r="C175" s="17">
        <f>21.5321 * CHOOSE(CONTROL!$C$15, $E$9, 100%, $G$9) + CHOOSE(CONTROL!$C$38, 0.0354, 0)</f>
        <v>21.567499999999999</v>
      </c>
      <c r="D175" s="17">
        <f>21.5243 * CHOOSE(CONTROL!$C$15, $E$9, 100%, $G$9) + CHOOSE(CONTROL!$C$38, 0.0354, 0)</f>
        <v>21.559699999999999</v>
      </c>
      <c r="E175" s="17">
        <f>21.5243 * CHOOSE(CONTROL!$C$15, $E$9, 100%, $G$9) + CHOOSE(CONTROL!$C$38, 0.0354, 0)</f>
        <v>21.559699999999999</v>
      </c>
      <c r="F175" s="45">
        <f>23.1706 * CHOOSE(CONTROL!$C$15, $E$9, 100%, $G$9) + CHOOSE(CONTROL!$C$38, 0.0353, 0)</f>
        <v>23.2059</v>
      </c>
      <c r="G175" s="17">
        <f>21.5305 * CHOOSE(CONTROL!$C$15, $E$9, 100%, $G$9) + CHOOSE(CONTROL!$C$38, 0.0354, 0)</f>
        <v>21.565899999999999</v>
      </c>
      <c r="H175" s="17">
        <f>21.5305 * CHOOSE(CONTROL!$C$15, $E$9, 100%, $G$9) + CHOOSE(CONTROL!$C$38, 0.0354, 0)</f>
        <v>21.565899999999999</v>
      </c>
      <c r="I175" s="17">
        <f>21.5321 * CHOOSE(CONTROL!$C$15, $E$9, 100%, $G$9) + CHOOSE(CONTROL!$C$38, 0.0354, 0)</f>
        <v>21.567499999999999</v>
      </c>
      <c r="J175" s="44">
        <f>160.4978</f>
        <v>160.49780000000001</v>
      </c>
    </row>
    <row r="176" spans="1:10" ht="15" x14ac:dyDescent="0.2">
      <c r="A176" s="16">
        <v>46266</v>
      </c>
      <c r="B176" s="17">
        <f>23.6097 * CHOOSE(CONTROL!$C$15, $E$9, 100%, $G$9) + CHOOSE(CONTROL!$C$38, 0.0353, 0)</f>
        <v>23.645</v>
      </c>
      <c r="C176" s="17">
        <f>21.9682 * CHOOSE(CONTROL!$C$15, $E$9, 100%, $G$9) + CHOOSE(CONTROL!$C$38, 0.0354, 0)</f>
        <v>22.003599999999999</v>
      </c>
      <c r="D176" s="17">
        <f>21.9604 * CHOOSE(CONTROL!$C$15, $E$9, 100%, $G$9) + CHOOSE(CONTROL!$C$38, 0.0354, 0)</f>
        <v>21.995799999999999</v>
      </c>
      <c r="E176" s="17">
        <f>21.9604 * CHOOSE(CONTROL!$C$15, $E$9, 100%, $G$9) + CHOOSE(CONTROL!$C$38, 0.0354, 0)</f>
        <v>21.995799999999999</v>
      </c>
      <c r="F176" s="45">
        <f>23.6097 * CHOOSE(CONTROL!$C$15, $E$9, 100%, $G$9) + CHOOSE(CONTROL!$C$38, 0.0353, 0)</f>
        <v>23.645</v>
      </c>
      <c r="G176" s="17">
        <f>21.9667 * CHOOSE(CONTROL!$C$15, $E$9, 100%, $G$9) + CHOOSE(CONTROL!$C$38, 0.0354, 0)</f>
        <v>22.002099999999999</v>
      </c>
      <c r="H176" s="17">
        <f>21.9667 * CHOOSE(CONTROL!$C$15, $E$9, 100%, $G$9) + CHOOSE(CONTROL!$C$38, 0.0354, 0)</f>
        <v>22.002099999999999</v>
      </c>
      <c r="I176" s="17">
        <f>21.9682 * CHOOSE(CONTROL!$C$15, $E$9, 100%, $G$9) + CHOOSE(CONTROL!$C$38, 0.0354, 0)</f>
        <v>22.003599999999999</v>
      </c>
      <c r="J176" s="44">
        <f>155.4828</f>
        <v>155.4828</v>
      </c>
    </row>
    <row r="177" spans="1:10" ht="15" x14ac:dyDescent="0.2">
      <c r="A177" s="16">
        <v>46296</v>
      </c>
      <c r="B177" s="17">
        <f>23.9867 * CHOOSE(CONTROL!$C$15, $E$9, 100%, $G$9) + CHOOSE(CONTROL!$C$38, 0.034, 0)</f>
        <v>24.020699999999998</v>
      </c>
      <c r="C177" s="17">
        <f>22.3421 * CHOOSE(CONTROL!$C$15, $E$9, 100%, $G$9) + CHOOSE(CONTROL!$C$38, 0.0342, 0)</f>
        <v>22.376299999999997</v>
      </c>
      <c r="D177" s="17">
        <f>22.3343 * CHOOSE(CONTROL!$C$15, $E$9, 100%, $G$9) + CHOOSE(CONTROL!$C$38, 0.0342, 0)</f>
        <v>22.368499999999997</v>
      </c>
      <c r="E177" s="17">
        <f>22.3343 * CHOOSE(CONTROL!$C$15, $E$9, 100%, $G$9) + CHOOSE(CONTROL!$C$38, 0.0342, 0)</f>
        <v>22.368499999999997</v>
      </c>
      <c r="F177" s="45">
        <f>23.9867 * CHOOSE(CONTROL!$C$15, $E$9, 100%, $G$9) + CHOOSE(CONTROL!$C$38, 0.034, 0)</f>
        <v>24.020699999999998</v>
      </c>
      <c r="G177" s="17">
        <f>22.3406 * CHOOSE(CONTROL!$C$15, $E$9, 100%, $G$9) + CHOOSE(CONTROL!$C$38, 0.0342, 0)</f>
        <v>22.374799999999997</v>
      </c>
      <c r="H177" s="17">
        <f>22.3406 * CHOOSE(CONTROL!$C$15, $E$9, 100%, $G$9) + CHOOSE(CONTROL!$C$38, 0.0342, 0)</f>
        <v>22.374799999999997</v>
      </c>
      <c r="I177" s="17">
        <f>22.3421 * CHOOSE(CONTROL!$C$15, $E$9, 100%, $G$9) + CHOOSE(CONTROL!$C$38, 0.0342, 0)</f>
        <v>22.376299999999997</v>
      </c>
      <c r="J177" s="44">
        <f>150.4152</f>
        <v>150.4152</v>
      </c>
    </row>
    <row r="178" spans="1:10" ht="15" x14ac:dyDescent="0.2">
      <c r="A178" s="16">
        <v>46327</v>
      </c>
      <c r="B178" s="17">
        <f>24.3104 * CHOOSE(CONTROL!$C$15, $E$9, 100%, $G$9) + CHOOSE(CONTROL!$C$38, 0.034, 0)</f>
        <v>24.3444</v>
      </c>
      <c r="C178" s="17">
        <f>22.6628 * CHOOSE(CONTROL!$C$15, $E$9, 100%, $G$9) + CHOOSE(CONTROL!$C$38, 0.0342, 0)</f>
        <v>22.696999999999999</v>
      </c>
      <c r="D178" s="17">
        <f>22.655 * CHOOSE(CONTROL!$C$15, $E$9, 100%, $G$9) + CHOOSE(CONTROL!$C$38, 0.0342, 0)</f>
        <v>22.6892</v>
      </c>
      <c r="E178" s="17">
        <f>22.655 * CHOOSE(CONTROL!$C$15, $E$9, 100%, $G$9) + CHOOSE(CONTROL!$C$38, 0.0342, 0)</f>
        <v>22.6892</v>
      </c>
      <c r="F178" s="45">
        <f>24.3104 * CHOOSE(CONTROL!$C$15, $E$9, 100%, $G$9) + CHOOSE(CONTROL!$C$38, 0.034, 0)</f>
        <v>24.3444</v>
      </c>
      <c r="G178" s="17">
        <f>22.6612 * CHOOSE(CONTROL!$C$15, $E$9, 100%, $G$9) + CHOOSE(CONTROL!$C$38, 0.0342, 0)</f>
        <v>22.695399999999999</v>
      </c>
      <c r="H178" s="17">
        <f>22.6612 * CHOOSE(CONTROL!$C$15, $E$9, 100%, $G$9) + CHOOSE(CONTROL!$C$38, 0.0342, 0)</f>
        <v>22.695399999999999</v>
      </c>
      <c r="I178" s="17">
        <f>22.6628 * CHOOSE(CONTROL!$C$15, $E$9, 100%, $G$9) + CHOOSE(CONTROL!$C$38, 0.0342, 0)</f>
        <v>22.696999999999999</v>
      </c>
      <c r="J178" s="44">
        <f>149.6511</f>
        <v>149.65110000000001</v>
      </c>
    </row>
    <row r="179" spans="1:10" ht="15" x14ac:dyDescent="0.2">
      <c r="A179" s="16">
        <v>46357</v>
      </c>
      <c r="B179" s="17">
        <f>25.2101 * CHOOSE(CONTROL!$C$15, $E$9, 100%, $G$9) + CHOOSE(CONTROL!$C$38, 0.034, 0)</f>
        <v>25.2441</v>
      </c>
      <c r="C179" s="17">
        <f>23.5594 * CHOOSE(CONTROL!$C$15, $E$9, 100%, $G$9) + CHOOSE(CONTROL!$C$38, 0.0342, 0)</f>
        <v>23.593599999999999</v>
      </c>
      <c r="D179" s="17">
        <f>23.5516 * CHOOSE(CONTROL!$C$15, $E$9, 100%, $G$9) + CHOOSE(CONTROL!$C$38, 0.0342, 0)</f>
        <v>23.585799999999999</v>
      </c>
      <c r="E179" s="17">
        <f>23.5516 * CHOOSE(CONTROL!$C$15, $E$9, 100%, $G$9) + CHOOSE(CONTROL!$C$38, 0.0342, 0)</f>
        <v>23.585799999999999</v>
      </c>
      <c r="F179" s="45">
        <f>25.2101 * CHOOSE(CONTROL!$C$15, $E$9, 100%, $G$9) + CHOOSE(CONTROL!$C$38, 0.034, 0)</f>
        <v>25.2441</v>
      </c>
      <c r="G179" s="17">
        <f>23.5579 * CHOOSE(CONTROL!$C$15, $E$9, 100%, $G$9) + CHOOSE(CONTROL!$C$38, 0.0342, 0)</f>
        <v>23.592099999999999</v>
      </c>
      <c r="H179" s="17">
        <f>23.5579 * CHOOSE(CONTROL!$C$15, $E$9, 100%, $G$9) + CHOOSE(CONTROL!$C$38, 0.0342, 0)</f>
        <v>23.592099999999999</v>
      </c>
      <c r="I179" s="17">
        <f>23.5594 * CHOOSE(CONTROL!$C$15, $E$9, 100%, $G$9) + CHOOSE(CONTROL!$C$38, 0.0342, 0)</f>
        <v>23.593599999999999</v>
      </c>
      <c r="J179" s="44">
        <f>145.5093</f>
        <v>145.5093</v>
      </c>
    </row>
    <row r="180" spans="1:10" ht="15" x14ac:dyDescent="0.2">
      <c r="A180" s="16">
        <v>46388</v>
      </c>
      <c r="B180" s="17">
        <f>25.9487 * CHOOSE(CONTROL!$C$15, $E$9, 100%, $G$9) + CHOOSE(CONTROL!$C$38, 0.034, 0)</f>
        <v>25.982699999999998</v>
      </c>
      <c r="C180" s="17">
        <f>24.3112 * CHOOSE(CONTROL!$C$15, $E$9, 100%, $G$9) + CHOOSE(CONTROL!$C$38, 0.0342, 0)</f>
        <v>24.345399999999998</v>
      </c>
      <c r="D180" s="17">
        <f>24.3034 * CHOOSE(CONTROL!$C$15, $E$9, 100%, $G$9) + CHOOSE(CONTROL!$C$38, 0.0342, 0)</f>
        <v>24.337599999999998</v>
      </c>
      <c r="E180" s="17">
        <f>24.3034 * CHOOSE(CONTROL!$C$15, $E$9, 100%, $G$9) + CHOOSE(CONTROL!$C$38, 0.0342, 0)</f>
        <v>24.337599999999998</v>
      </c>
      <c r="F180" s="45">
        <f>25.9487 * CHOOSE(CONTROL!$C$15, $E$9, 100%, $G$9) + CHOOSE(CONTROL!$C$38, 0.034, 0)</f>
        <v>25.982699999999998</v>
      </c>
      <c r="G180" s="17">
        <f>24.3097 * CHOOSE(CONTROL!$C$15, $E$9, 100%, $G$9) + CHOOSE(CONTROL!$C$38, 0.0342, 0)</f>
        <v>24.343899999999998</v>
      </c>
      <c r="H180" s="17">
        <f>24.3097 * CHOOSE(CONTROL!$C$15, $E$9, 100%, $G$9) + CHOOSE(CONTROL!$C$38, 0.0342, 0)</f>
        <v>24.343899999999998</v>
      </c>
      <c r="I180" s="17">
        <f>24.3112 * CHOOSE(CONTROL!$C$15, $E$9, 100%, $G$9) + CHOOSE(CONTROL!$C$38, 0.0342, 0)</f>
        <v>24.345399999999998</v>
      </c>
      <c r="J180" s="44">
        <f>142.3378</f>
        <v>142.33779999999999</v>
      </c>
    </row>
    <row r="181" spans="1:10" ht="15" x14ac:dyDescent="0.2">
      <c r="A181" s="16">
        <v>46419</v>
      </c>
      <c r="B181" s="17">
        <f>26.3173 * CHOOSE(CONTROL!$C$15, $E$9, 100%, $G$9) + CHOOSE(CONTROL!$C$38, 0.034, 0)</f>
        <v>26.351299999999998</v>
      </c>
      <c r="C181" s="17">
        <f>24.6768 * CHOOSE(CONTROL!$C$15, $E$9, 100%, $G$9) + CHOOSE(CONTROL!$C$38, 0.0342, 0)</f>
        <v>24.710999999999999</v>
      </c>
      <c r="D181" s="17">
        <f>24.669 * CHOOSE(CONTROL!$C$15, $E$9, 100%, $G$9) + CHOOSE(CONTROL!$C$38, 0.0342, 0)</f>
        <v>24.703199999999999</v>
      </c>
      <c r="E181" s="17">
        <f>24.669 * CHOOSE(CONTROL!$C$15, $E$9, 100%, $G$9) + CHOOSE(CONTROL!$C$38, 0.0342, 0)</f>
        <v>24.703199999999999</v>
      </c>
      <c r="F181" s="45">
        <f>26.3173 * CHOOSE(CONTROL!$C$15, $E$9, 100%, $G$9) + CHOOSE(CONTROL!$C$38, 0.034, 0)</f>
        <v>26.351299999999998</v>
      </c>
      <c r="G181" s="17">
        <f>24.6753 * CHOOSE(CONTROL!$C$15, $E$9, 100%, $G$9) + CHOOSE(CONTROL!$C$38, 0.0342, 0)</f>
        <v>24.709499999999998</v>
      </c>
      <c r="H181" s="17">
        <f>24.6753 * CHOOSE(CONTROL!$C$15, $E$9, 100%, $G$9) + CHOOSE(CONTROL!$C$38, 0.0342, 0)</f>
        <v>24.709499999999998</v>
      </c>
      <c r="I181" s="17">
        <f>24.6768 * CHOOSE(CONTROL!$C$15, $E$9, 100%, $G$9) + CHOOSE(CONTROL!$C$38, 0.0342, 0)</f>
        <v>24.710999999999999</v>
      </c>
      <c r="J181" s="44">
        <f>142.2345</f>
        <v>142.2345</v>
      </c>
    </row>
    <row r="182" spans="1:10" ht="15" x14ac:dyDescent="0.2">
      <c r="A182" s="16">
        <v>46447</v>
      </c>
      <c r="B182" s="17">
        <f>25.6362 * CHOOSE(CONTROL!$C$15, $E$9, 100%, $G$9) + CHOOSE(CONTROL!$C$38, 0.034, 0)</f>
        <v>25.670199999999998</v>
      </c>
      <c r="C182" s="17">
        <f>23.9926 * CHOOSE(CONTROL!$C$15, $E$9, 100%, $G$9) + CHOOSE(CONTROL!$C$38, 0.0342, 0)</f>
        <v>24.026799999999998</v>
      </c>
      <c r="D182" s="17">
        <f>23.9848 * CHOOSE(CONTROL!$C$15, $E$9, 100%, $G$9) + CHOOSE(CONTROL!$C$38, 0.0342, 0)</f>
        <v>24.018999999999998</v>
      </c>
      <c r="E182" s="17">
        <f>23.9848 * CHOOSE(CONTROL!$C$15, $E$9, 100%, $G$9) + CHOOSE(CONTROL!$C$38, 0.0342, 0)</f>
        <v>24.018999999999998</v>
      </c>
      <c r="F182" s="45">
        <f>25.6362 * CHOOSE(CONTROL!$C$15, $E$9, 100%, $G$9) + CHOOSE(CONTROL!$C$38, 0.034, 0)</f>
        <v>25.670199999999998</v>
      </c>
      <c r="G182" s="17">
        <f>23.9911 * CHOOSE(CONTROL!$C$15, $E$9, 100%, $G$9) + CHOOSE(CONTROL!$C$38, 0.0342, 0)</f>
        <v>24.025299999999998</v>
      </c>
      <c r="H182" s="17">
        <f>23.9911 * CHOOSE(CONTROL!$C$15, $E$9, 100%, $G$9) + CHOOSE(CONTROL!$C$38, 0.0342, 0)</f>
        <v>24.025299999999998</v>
      </c>
      <c r="I182" s="17">
        <f>23.9926 * CHOOSE(CONTROL!$C$15, $E$9, 100%, $G$9) + CHOOSE(CONTROL!$C$38, 0.0342, 0)</f>
        <v>24.026799999999998</v>
      </c>
      <c r="J182" s="44">
        <f>150.0395</f>
        <v>150.0395</v>
      </c>
    </row>
    <row r="183" spans="1:10" ht="15" x14ac:dyDescent="0.2">
      <c r="A183" s="16">
        <v>46478</v>
      </c>
      <c r="B183" s="17">
        <f>24.975 * CHOOSE(CONTROL!$C$15, $E$9, 100%, $G$9) + CHOOSE(CONTROL!$C$38, 0.034, 0)</f>
        <v>25.009</v>
      </c>
      <c r="C183" s="17">
        <f>23.3284 * CHOOSE(CONTROL!$C$15, $E$9, 100%, $G$9) + CHOOSE(CONTROL!$C$38, 0.0342, 0)</f>
        <v>23.362599999999997</v>
      </c>
      <c r="D183" s="17">
        <f>23.3205 * CHOOSE(CONTROL!$C$15, $E$9, 100%, $G$9) + CHOOSE(CONTROL!$C$38, 0.0342, 0)</f>
        <v>23.354699999999998</v>
      </c>
      <c r="E183" s="17">
        <f>23.3205 * CHOOSE(CONTROL!$C$15, $E$9, 100%, $G$9) + CHOOSE(CONTROL!$C$38, 0.0342, 0)</f>
        <v>23.354699999999998</v>
      </c>
      <c r="F183" s="45">
        <f>24.975 * CHOOSE(CONTROL!$C$15, $E$9, 100%, $G$9) + CHOOSE(CONTROL!$C$38, 0.034, 0)</f>
        <v>25.009</v>
      </c>
      <c r="G183" s="17">
        <f>23.3268 * CHOOSE(CONTROL!$C$15, $E$9, 100%, $G$9) + CHOOSE(CONTROL!$C$38, 0.0342, 0)</f>
        <v>23.360999999999997</v>
      </c>
      <c r="H183" s="17">
        <f>23.3268 * CHOOSE(CONTROL!$C$15, $E$9, 100%, $G$9) + CHOOSE(CONTROL!$C$38, 0.0342, 0)</f>
        <v>23.360999999999997</v>
      </c>
      <c r="I183" s="17">
        <f>23.3284 * CHOOSE(CONTROL!$C$15, $E$9, 100%, $G$9) + CHOOSE(CONTROL!$C$38, 0.0342, 0)</f>
        <v>23.362599999999997</v>
      </c>
      <c r="J183" s="44">
        <f>160.11</f>
        <v>160.11000000000001</v>
      </c>
    </row>
    <row r="184" spans="1:10" ht="15" x14ac:dyDescent="0.2">
      <c r="A184" s="16">
        <v>46508</v>
      </c>
      <c r="B184" s="17">
        <f>24.2808 * CHOOSE(CONTROL!$C$15, $E$9, 100%, $G$9) + CHOOSE(CONTROL!$C$38, 0.0353, 0)</f>
        <v>24.316099999999999</v>
      </c>
      <c r="C184" s="17">
        <f>22.631 * CHOOSE(CONTROL!$C$15, $E$9, 100%, $G$9) + CHOOSE(CONTROL!$C$38, 0.0354, 0)</f>
        <v>22.666399999999999</v>
      </c>
      <c r="D184" s="17">
        <f>22.6232 * CHOOSE(CONTROL!$C$15, $E$9, 100%, $G$9) + CHOOSE(CONTROL!$C$38, 0.0354, 0)</f>
        <v>22.6586</v>
      </c>
      <c r="E184" s="17">
        <f>22.6232 * CHOOSE(CONTROL!$C$15, $E$9, 100%, $G$9) + CHOOSE(CONTROL!$C$38, 0.0354, 0)</f>
        <v>22.6586</v>
      </c>
      <c r="F184" s="45">
        <f>24.2808 * CHOOSE(CONTROL!$C$15, $E$9, 100%, $G$9) + CHOOSE(CONTROL!$C$38, 0.0353, 0)</f>
        <v>24.316099999999999</v>
      </c>
      <c r="G184" s="17">
        <f>22.6295 * CHOOSE(CONTROL!$C$15, $E$9, 100%, $G$9) + CHOOSE(CONTROL!$C$38, 0.0354, 0)</f>
        <v>22.664899999999999</v>
      </c>
      <c r="H184" s="17">
        <f>22.6295 * CHOOSE(CONTROL!$C$15, $E$9, 100%, $G$9) + CHOOSE(CONTROL!$C$38, 0.0354, 0)</f>
        <v>22.664899999999999</v>
      </c>
      <c r="I184" s="17">
        <f>22.631 * CHOOSE(CONTROL!$C$15, $E$9, 100%, $G$9) + CHOOSE(CONTROL!$C$38, 0.0354, 0)</f>
        <v>22.666399999999999</v>
      </c>
      <c r="J184" s="44">
        <f>165.8238</f>
        <v>165.82380000000001</v>
      </c>
    </row>
    <row r="185" spans="1:10" ht="15" x14ac:dyDescent="0.2">
      <c r="A185" s="16">
        <v>46539</v>
      </c>
      <c r="B185" s="17">
        <f>23.8065 * CHOOSE(CONTROL!$C$15, $E$9, 100%, $G$9) + CHOOSE(CONTROL!$C$38, 0.0353, 0)</f>
        <v>23.841799999999999</v>
      </c>
      <c r="C185" s="17">
        <f>22.1537 * CHOOSE(CONTROL!$C$15, $E$9, 100%, $G$9) + CHOOSE(CONTROL!$C$38, 0.0354, 0)</f>
        <v>22.1891</v>
      </c>
      <c r="D185" s="17">
        <f>22.1459 * CHOOSE(CONTROL!$C$15, $E$9, 100%, $G$9) + CHOOSE(CONTROL!$C$38, 0.0354, 0)</f>
        <v>22.1813</v>
      </c>
      <c r="E185" s="17">
        <f>22.1459 * CHOOSE(CONTROL!$C$15, $E$9, 100%, $G$9) + CHOOSE(CONTROL!$C$38, 0.0354, 0)</f>
        <v>22.1813</v>
      </c>
      <c r="F185" s="45">
        <f>23.8065 * CHOOSE(CONTROL!$C$15, $E$9, 100%, $G$9) + CHOOSE(CONTROL!$C$38, 0.0353, 0)</f>
        <v>23.841799999999999</v>
      </c>
      <c r="G185" s="17">
        <f>22.1522 * CHOOSE(CONTROL!$C$15, $E$9, 100%, $G$9) + CHOOSE(CONTROL!$C$38, 0.0354, 0)</f>
        <v>22.1876</v>
      </c>
      <c r="H185" s="17">
        <f>22.1522 * CHOOSE(CONTROL!$C$15, $E$9, 100%, $G$9) + CHOOSE(CONTROL!$C$38, 0.0354, 0)</f>
        <v>22.1876</v>
      </c>
      <c r="I185" s="17">
        <f>22.1537 * CHOOSE(CONTROL!$C$15, $E$9, 100%, $G$9) + CHOOSE(CONTROL!$C$38, 0.0354, 0)</f>
        <v>22.1891</v>
      </c>
      <c r="J185" s="44">
        <f>168.5596</f>
        <v>168.55959999999999</v>
      </c>
    </row>
    <row r="186" spans="1:10" ht="15" x14ac:dyDescent="0.2">
      <c r="A186" s="16">
        <v>46569</v>
      </c>
      <c r="B186" s="17">
        <f>23.5552 * CHOOSE(CONTROL!$C$15, $E$9, 100%, $G$9) + CHOOSE(CONTROL!$C$38, 0.0353, 0)</f>
        <v>23.590499999999999</v>
      </c>
      <c r="C186" s="17">
        <f>21.8994 * CHOOSE(CONTROL!$C$15, $E$9, 100%, $G$9) + CHOOSE(CONTROL!$C$38, 0.0354, 0)</f>
        <v>21.934799999999999</v>
      </c>
      <c r="D186" s="17">
        <f>21.8916 * CHOOSE(CONTROL!$C$15, $E$9, 100%, $G$9) + CHOOSE(CONTROL!$C$38, 0.0354, 0)</f>
        <v>21.927</v>
      </c>
      <c r="E186" s="17">
        <f>21.8916 * CHOOSE(CONTROL!$C$15, $E$9, 100%, $G$9) + CHOOSE(CONTROL!$C$38, 0.0354, 0)</f>
        <v>21.927</v>
      </c>
      <c r="F186" s="45">
        <f>23.5552 * CHOOSE(CONTROL!$C$15, $E$9, 100%, $G$9) + CHOOSE(CONTROL!$C$38, 0.0353, 0)</f>
        <v>23.590499999999999</v>
      </c>
      <c r="G186" s="17">
        <f>21.8978 * CHOOSE(CONTROL!$C$15, $E$9, 100%, $G$9) + CHOOSE(CONTROL!$C$38, 0.0354, 0)</f>
        <v>21.933199999999999</v>
      </c>
      <c r="H186" s="17">
        <f>21.8978 * CHOOSE(CONTROL!$C$15, $E$9, 100%, $G$9) + CHOOSE(CONTROL!$C$38, 0.0354, 0)</f>
        <v>21.933199999999999</v>
      </c>
      <c r="I186" s="17">
        <f>21.8994 * CHOOSE(CONTROL!$C$15, $E$9, 100%, $G$9) + CHOOSE(CONTROL!$C$38, 0.0354, 0)</f>
        <v>21.934799999999999</v>
      </c>
      <c r="J186" s="44">
        <f>168.1169</f>
        <v>168.11689999999999</v>
      </c>
    </row>
    <row r="187" spans="1:10" ht="15" x14ac:dyDescent="0.2">
      <c r="A187" s="16">
        <v>46600</v>
      </c>
      <c r="B187" s="17">
        <f>23.7504 * CHOOSE(CONTROL!$C$15, $E$9, 100%, $G$9) + CHOOSE(CONTROL!$C$38, 0.0353, 0)</f>
        <v>23.785699999999999</v>
      </c>
      <c r="C187" s="17">
        <f>22.0914 * CHOOSE(CONTROL!$C$15, $E$9, 100%, $G$9) + CHOOSE(CONTROL!$C$38, 0.0354, 0)</f>
        <v>22.126799999999999</v>
      </c>
      <c r="D187" s="17">
        <f>22.0836 * CHOOSE(CONTROL!$C$15, $E$9, 100%, $G$9) + CHOOSE(CONTROL!$C$38, 0.0354, 0)</f>
        <v>22.119</v>
      </c>
      <c r="E187" s="17">
        <f>22.0836 * CHOOSE(CONTROL!$C$15, $E$9, 100%, $G$9) + CHOOSE(CONTROL!$C$38, 0.0354, 0)</f>
        <v>22.119</v>
      </c>
      <c r="F187" s="45">
        <f>23.7504 * CHOOSE(CONTROL!$C$15, $E$9, 100%, $G$9) + CHOOSE(CONTROL!$C$38, 0.0353, 0)</f>
        <v>23.785699999999999</v>
      </c>
      <c r="G187" s="17">
        <f>22.0899 * CHOOSE(CONTROL!$C$15, $E$9, 100%, $G$9) + CHOOSE(CONTROL!$C$38, 0.0354, 0)</f>
        <v>22.125299999999999</v>
      </c>
      <c r="H187" s="17">
        <f>22.0899 * CHOOSE(CONTROL!$C$15, $E$9, 100%, $G$9) + CHOOSE(CONTROL!$C$38, 0.0354, 0)</f>
        <v>22.125299999999999</v>
      </c>
      <c r="I187" s="17">
        <f>22.0914 * CHOOSE(CONTROL!$C$15, $E$9, 100%, $G$9) + CHOOSE(CONTROL!$C$38, 0.0354, 0)</f>
        <v>22.126799999999999</v>
      </c>
      <c r="J187" s="44">
        <f>164.5414</f>
        <v>164.54140000000001</v>
      </c>
    </row>
    <row r="188" spans="1:10" ht="15" x14ac:dyDescent="0.2">
      <c r="A188" s="16">
        <v>46631</v>
      </c>
      <c r="B188" s="17">
        <f>24.2006 * CHOOSE(CONTROL!$C$15, $E$9, 100%, $G$9) + CHOOSE(CONTROL!$C$38, 0.0353, 0)</f>
        <v>24.235900000000001</v>
      </c>
      <c r="C188" s="17">
        <f>22.5385 * CHOOSE(CONTROL!$C$15, $E$9, 100%, $G$9) + CHOOSE(CONTROL!$C$38, 0.0354, 0)</f>
        <v>22.573899999999998</v>
      </c>
      <c r="D188" s="17">
        <f>22.5307 * CHOOSE(CONTROL!$C$15, $E$9, 100%, $G$9) + CHOOSE(CONTROL!$C$38, 0.0354, 0)</f>
        <v>22.566099999999999</v>
      </c>
      <c r="E188" s="17">
        <f>22.5307 * CHOOSE(CONTROL!$C$15, $E$9, 100%, $G$9) + CHOOSE(CONTROL!$C$38, 0.0354, 0)</f>
        <v>22.566099999999999</v>
      </c>
      <c r="F188" s="45">
        <f>24.2006 * CHOOSE(CONTROL!$C$15, $E$9, 100%, $G$9) + CHOOSE(CONTROL!$C$38, 0.0353, 0)</f>
        <v>24.235900000000001</v>
      </c>
      <c r="G188" s="17">
        <f>22.537 * CHOOSE(CONTROL!$C$15, $E$9, 100%, $G$9) + CHOOSE(CONTROL!$C$38, 0.0354, 0)</f>
        <v>22.572399999999998</v>
      </c>
      <c r="H188" s="17">
        <f>22.537 * CHOOSE(CONTROL!$C$15, $E$9, 100%, $G$9) + CHOOSE(CONTROL!$C$38, 0.0354, 0)</f>
        <v>22.572399999999998</v>
      </c>
      <c r="I188" s="17">
        <f>22.5385 * CHOOSE(CONTROL!$C$15, $E$9, 100%, $G$9) + CHOOSE(CONTROL!$C$38, 0.0354, 0)</f>
        <v>22.573899999999998</v>
      </c>
      <c r="J188" s="44">
        <f>159.4</f>
        <v>159.4</v>
      </c>
    </row>
    <row r="189" spans="1:10" ht="15" x14ac:dyDescent="0.2">
      <c r="A189" s="16">
        <v>46661</v>
      </c>
      <c r="B189" s="17">
        <f>24.587 * CHOOSE(CONTROL!$C$15, $E$9, 100%, $G$9) + CHOOSE(CONTROL!$C$38, 0.034, 0)</f>
        <v>24.620999999999999</v>
      </c>
      <c r="C189" s="17">
        <f>22.9218 * CHOOSE(CONTROL!$C$15, $E$9, 100%, $G$9) + CHOOSE(CONTROL!$C$38, 0.0342, 0)</f>
        <v>22.956</v>
      </c>
      <c r="D189" s="17">
        <f>22.914 * CHOOSE(CONTROL!$C$15, $E$9, 100%, $G$9) + CHOOSE(CONTROL!$C$38, 0.0342, 0)</f>
        <v>22.9482</v>
      </c>
      <c r="E189" s="17">
        <f>22.914 * CHOOSE(CONTROL!$C$15, $E$9, 100%, $G$9) + CHOOSE(CONTROL!$C$38, 0.0342, 0)</f>
        <v>22.9482</v>
      </c>
      <c r="F189" s="45">
        <f>24.587 * CHOOSE(CONTROL!$C$15, $E$9, 100%, $G$9) + CHOOSE(CONTROL!$C$38, 0.034, 0)</f>
        <v>24.620999999999999</v>
      </c>
      <c r="G189" s="17">
        <f>22.9203 * CHOOSE(CONTROL!$C$15, $E$9, 100%, $G$9) + CHOOSE(CONTROL!$C$38, 0.0342, 0)</f>
        <v>22.954499999999999</v>
      </c>
      <c r="H189" s="17">
        <f>22.9203 * CHOOSE(CONTROL!$C$15, $E$9, 100%, $G$9) + CHOOSE(CONTROL!$C$38, 0.0342, 0)</f>
        <v>22.954499999999999</v>
      </c>
      <c r="I189" s="17">
        <f>22.9218 * CHOOSE(CONTROL!$C$15, $E$9, 100%, $G$9) + CHOOSE(CONTROL!$C$38, 0.0342, 0)</f>
        <v>22.956</v>
      </c>
      <c r="J189" s="44">
        <f>154.2048</f>
        <v>154.20480000000001</v>
      </c>
    </row>
    <row r="190" spans="1:10" ht="15" x14ac:dyDescent="0.2">
      <c r="A190" s="16">
        <v>46692</v>
      </c>
      <c r="B190" s="17">
        <f>24.9188 * CHOOSE(CONTROL!$C$15, $E$9, 100%, $G$9) + CHOOSE(CONTROL!$C$38, 0.034, 0)</f>
        <v>24.9528</v>
      </c>
      <c r="C190" s="17">
        <f>23.2506 * CHOOSE(CONTROL!$C$15, $E$9, 100%, $G$9) + CHOOSE(CONTROL!$C$38, 0.0342, 0)</f>
        <v>23.284799999999997</v>
      </c>
      <c r="D190" s="17">
        <f>23.2428 * CHOOSE(CONTROL!$C$15, $E$9, 100%, $G$9) + CHOOSE(CONTROL!$C$38, 0.0342, 0)</f>
        <v>23.276999999999997</v>
      </c>
      <c r="E190" s="17">
        <f>23.2428 * CHOOSE(CONTROL!$C$15, $E$9, 100%, $G$9) + CHOOSE(CONTROL!$C$38, 0.0342, 0)</f>
        <v>23.276999999999997</v>
      </c>
      <c r="F190" s="45">
        <f>24.9188 * CHOOSE(CONTROL!$C$15, $E$9, 100%, $G$9) + CHOOSE(CONTROL!$C$38, 0.034, 0)</f>
        <v>24.9528</v>
      </c>
      <c r="G190" s="17">
        <f>23.249 * CHOOSE(CONTROL!$C$15, $E$9, 100%, $G$9) + CHOOSE(CONTROL!$C$38, 0.0342, 0)</f>
        <v>23.283199999999997</v>
      </c>
      <c r="H190" s="17">
        <f>23.249 * CHOOSE(CONTROL!$C$15, $E$9, 100%, $G$9) + CHOOSE(CONTROL!$C$38, 0.0342, 0)</f>
        <v>23.283199999999997</v>
      </c>
      <c r="I190" s="17">
        <f>23.2506 * CHOOSE(CONTROL!$C$15, $E$9, 100%, $G$9) + CHOOSE(CONTROL!$C$38, 0.0342, 0)</f>
        <v>23.284799999999997</v>
      </c>
      <c r="J190" s="44">
        <f>153.4214</f>
        <v>153.42140000000001</v>
      </c>
    </row>
    <row r="191" spans="1:10" ht="15" x14ac:dyDescent="0.2">
      <c r="A191" s="16">
        <v>46722</v>
      </c>
      <c r="B191" s="17">
        <f>25.8411 * CHOOSE(CONTROL!$C$15, $E$9, 100%, $G$9) + CHOOSE(CONTROL!$C$38, 0.034, 0)</f>
        <v>25.8751</v>
      </c>
      <c r="C191" s="17">
        <f>24.1697 * CHOOSE(CONTROL!$C$15, $E$9, 100%, $G$9) + CHOOSE(CONTROL!$C$38, 0.0342, 0)</f>
        <v>24.203899999999997</v>
      </c>
      <c r="D191" s="17">
        <f>24.1619 * CHOOSE(CONTROL!$C$15, $E$9, 100%, $G$9) + CHOOSE(CONTROL!$C$38, 0.0342, 0)</f>
        <v>24.196099999999998</v>
      </c>
      <c r="E191" s="17">
        <f>24.1619 * CHOOSE(CONTROL!$C$15, $E$9, 100%, $G$9) + CHOOSE(CONTROL!$C$38, 0.0342, 0)</f>
        <v>24.196099999999998</v>
      </c>
      <c r="F191" s="45">
        <f>25.8411 * CHOOSE(CONTROL!$C$15, $E$9, 100%, $G$9) + CHOOSE(CONTROL!$C$38, 0.034, 0)</f>
        <v>25.8751</v>
      </c>
      <c r="G191" s="17">
        <f>24.1682 * CHOOSE(CONTROL!$C$15, $E$9, 100%, $G$9) + CHOOSE(CONTROL!$C$38, 0.0342, 0)</f>
        <v>24.202399999999997</v>
      </c>
      <c r="H191" s="17">
        <f>24.1682 * CHOOSE(CONTROL!$C$15, $E$9, 100%, $G$9) + CHOOSE(CONTROL!$C$38, 0.0342, 0)</f>
        <v>24.202399999999997</v>
      </c>
      <c r="I191" s="17">
        <f>24.1697 * CHOOSE(CONTROL!$C$15, $E$9, 100%, $G$9) + CHOOSE(CONTROL!$C$38, 0.0342, 0)</f>
        <v>24.203899999999997</v>
      </c>
      <c r="J191" s="44">
        <f>149.1753</f>
        <v>149.17529999999999</v>
      </c>
    </row>
    <row r="192" spans="1:10" ht="15" x14ac:dyDescent="0.2">
      <c r="A192" s="16">
        <v>46753</v>
      </c>
      <c r="B192" s="17">
        <f>26.5331 * CHOOSE(CONTROL!$C$15, $E$9, 100%, $G$9) + CHOOSE(CONTROL!$C$38, 0.034, 0)</f>
        <v>26.5671</v>
      </c>
      <c r="C192" s="17">
        <f>24.877 * CHOOSE(CONTROL!$C$15, $E$9, 100%, $G$9) + CHOOSE(CONTROL!$C$38, 0.0342, 0)</f>
        <v>24.911199999999997</v>
      </c>
      <c r="D192" s="17">
        <f>24.8691 * CHOOSE(CONTROL!$C$15, $E$9, 100%, $G$9) + CHOOSE(CONTROL!$C$38, 0.0342, 0)</f>
        <v>24.903299999999998</v>
      </c>
      <c r="E192" s="17">
        <f>24.8691 * CHOOSE(CONTROL!$C$15, $E$9, 100%, $G$9) + CHOOSE(CONTROL!$C$38, 0.0342, 0)</f>
        <v>24.903299999999998</v>
      </c>
      <c r="F192" s="45">
        <f>26.5331 * CHOOSE(CONTROL!$C$15, $E$9, 100%, $G$9) + CHOOSE(CONTROL!$C$38, 0.034, 0)</f>
        <v>26.5671</v>
      </c>
      <c r="G192" s="17">
        <f>24.8754 * CHOOSE(CONTROL!$C$15, $E$9, 100%, $G$9) + CHOOSE(CONTROL!$C$38, 0.0342, 0)</f>
        <v>24.909599999999998</v>
      </c>
      <c r="H192" s="17">
        <f>24.8754 * CHOOSE(CONTROL!$C$15, $E$9, 100%, $G$9) + CHOOSE(CONTROL!$C$38, 0.0342, 0)</f>
        <v>24.909599999999998</v>
      </c>
      <c r="I192" s="17">
        <f>24.877 * CHOOSE(CONTROL!$C$15, $E$9, 100%, $G$9) + CHOOSE(CONTROL!$C$38, 0.0342, 0)</f>
        <v>24.911199999999997</v>
      </c>
      <c r="J192" s="44">
        <f>145.9239</f>
        <v>145.9239</v>
      </c>
    </row>
    <row r="193" spans="1:10" ht="15" x14ac:dyDescent="0.2">
      <c r="A193" s="16">
        <v>46784</v>
      </c>
      <c r="B193" s="17">
        <f>26.9109 * CHOOSE(CONTROL!$C$15, $E$9, 100%, $G$9) + CHOOSE(CONTROL!$C$38, 0.034, 0)</f>
        <v>26.944900000000001</v>
      </c>
      <c r="C193" s="17">
        <f>25.2516 * CHOOSE(CONTROL!$C$15, $E$9, 100%, $G$9) + CHOOSE(CONTROL!$C$38, 0.0342, 0)</f>
        <v>25.285799999999998</v>
      </c>
      <c r="D193" s="17">
        <f>25.2438 * CHOOSE(CONTROL!$C$15, $E$9, 100%, $G$9) + CHOOSE(CONTROL!$C$38, 0.0342, 0)</f>
        <v>25.277999999999999</v>
      </c>
      <c r="E193" s="17">
        <f>25.2438 * CHOOSE(CONTROL!$C$15, $E$9, 100%, $G$9) + CHOOSE(CONTROL!$C$38, 0.0342, 0)</f>
        <v>25.277999999999999</v>
      </c>
      <c r="F193" s="45">
        <f>26.9109 * CHOOSE(CONTROL!$C$15, $E$9, 100%, $G$9) + CHOOSE(CONTROL!$C$38, 0.034, 0)</f>
        <v>26.944900000000001</v>
      </c>
      <c r="G193" s="17">
        <f>25.2501 * CHOOSE(CONTROL!$C$15, $E$9, 100%, $G$9) + CHOOSE(CONTROL!$C$38, 0.0342, 0)</f>
        <v>25.284299999999998</v>
      </c>
      <c r="H193" s="17">
        <f>25.2501 * CHOOSE(CONTROL!$C$15, $E$9, 100%, $G$9) + CHOOSE(CONTROL!$C$38, 0.0342, 0)</f>
        <v>25.284299999999998</v>
      </c>
      <c r="I193" s="17">
        <f>25.2516 * CHOOSE(CONTROL!$C$15, $E$9, 100%, $G$9) + CHOOSE(CONTROL!$C$38, 0.0342, 0)</f>
        <v>25.285799999999998</v>
      </c>
      <c r="J193" s="44">
        <f>145.818</f>
        <v>145.81800000000001</v>
      </c>
    </row>
    <row r="194" spans="1:10" ht="15" x14ac:dyDescent="0.2">
      <c r="A194" s="16">
        <v>46813</v>
      </c>
      <c r="B194" s="17">
        <f>26.2126 * CHOOSE(CONTROL!$C$15, $E$9, 100%, $G$9) + CHOOSE(CONTROL!$C$38, 0.034, 0)</f>
        <v>26.246599999999997</v>
      </c>
      <c r="C194" s="17">
        <f>24.5503 * CHOOSE(CONTROL!$C$15, $E$9, 100%, $G$9) + CHOOSE(CONTROL!$C$38, 0.0342, 0)</f>
        <v>24.584499999999998</v>
      </c>
      <c r="D194" s="17">
        <f>24.5425 * CHOOSE(CONTROL!$C$15, $E$9, 100%, $G$9) + CHOOSE(CONTROL!$C$38, 0.0342, 0)</f>
        <v>24.576699999999999</v>
      </c>
      <c r="E194" s="17">
        <f>24.5425 * CHOOSE(CONTROL!$C$15, $E$9, 100%, $G$9) + CHOOSE(CONTROL!$C$38, 0.0342, 0)</f>
        <v>24.576699999999999</v>
      </c>
      <c r="F194" s="45">
        <f>26.2126 * CHOOSE(CONTROL!$C$15, $E$9, 100%, $G$9) + CHOOSE(CONTROL!$C$38, 0.034, 0)</f>
        <v>26.246599999999997</v>
      </c>
      <c r="G194" s="17">
        <f>24.5487 * CHOOSE(CONTROL!$C$15, $E$9, 100%, $G$9) + CHOOSE(CONTROL!$C$38, 0.0342, 0)</f>
        <v>24.582899999999999</v>
      </c>
      <c r="H194" s="17">
        <f>24.5487 * CHOOSE(CONTROL!$C$15, $E$9, 100%, $G$9) + CHOOSE(CONTROL!$C$38, 0.0342, 0)</f>
        <v>24.582899999999999</v>
      </c>
      <c r="I194" s="17">
        <f>24.5503 * CHOOSE(CONTROL!$C$15, $E$9, 100%, $G$9) + CHOOSE(CONTROL!$C$38, 0.0342, 0)</f>
        <v>24.584499999999998</v>
      </c>
      <c r="J194" s="44">
        <f>153.8197</f>
        <v>153.81970000000001</v>
      </c>
    </row>
    <row r="195" spans="1:10" ht="15" x14ac:dyDescent="0.2">
      <c r="A195" s="16">
        <v>46844</v>
      </c>
      <c r="B195" s="17">
        <f>25.5348 * CHOOSE(CONTROL!$C$15, $E$9, 100%, $G$9) + CHOOSE(CONTROL!$C$38, 0.034, 0)</f>
        <v>25.5688</v>
      </c>
      <c r="C195" s="17">
        <f>23.8693 * CHOOSE(CONTROL!$C$15, $E$9, 100%, $G$9) + CHOOSE(CONTROL!$C$38, 0.0342, 0)</f>
        <v>23.903499999999998</v>
      </c>
      <c r="D195" s="17">
        <f>23.8615 * CHOOSE(CONTROL!$C$15, $E$9, 100%, $G$9) + CHOOSE(CONTROL!$C$38, 0.0342, 0)</f>
        <v>23.895699999999998</v>
      </c>
      <c r="E195" s="17">
        <f>23.8615 * CHOOSE(CONTROL!$C$15, $E$9, 100%, $G$9) + CHOOSE(CONTROL!$C$38, 0.0342, 0)</f>
        <v>23.895699999999998</v>
      </c>
      <c r="F195" s="45">
        <f>25.5348 * CHOOSE(CONTROL!$C$15, $E$9, 100%, $G$9) + CHOOSE(CONTROL!$C$38, 0.034, 0)</f>
        <v>25.5688</v>
      </c>
      <c r="G195" s="17">
        <f>23.8678 * CHOOSE(CONTROL!$C$15, $E$9, 100%, $G$9) + CHOOSE(CONTROL!$C$38, 0.0342, 0)</f>
        <v>23.901999999999997</v>
      </c>
      <c r="H195" s="17">
        <f>23.8678 * CHOOSE(CONTROL!$C$15, $E$9, 100%, $G$9) + CHOOSE(CONTROL!$C$38, 0.0342, 0)</f>
        <v>23.901999999999997</v>
      </c>
      <c r="I195" s="17">
        <f>23.8693 * CHOOSE(CONTROL!$C$15, $E$9, 100%, $G$9) + CHOOSE(CONTROL!$C$38, 0.0342, 0)</f>
        <v>23.903499999999998</v>
      </c>
      <c r="J195" s="44">
        <f>164.1438</f>
        <v>164.1438</v>
      </c>
    </row>
    <row r="196" spans="1:10" ht="15" x14ac:dyDescent="0.2">
      <c r="A196" s="16">
        <v>46874</v>
      </c>
      <c r="B196" s="17">
        <f>24.8231 * CHOOSE(CONTROL!$C$15, $E$9, 100%, $G$9) + CHOOSE(CONTROL!$C$38, 0.0353, 0)</f>
        <v>24.8584</v>
      </c>
      <c r="C196" s="17">
        <f>23.1545 * CHOOSE(CONTROL!$C$15, $E$9, 100%, $G$9) + CHOOSE(CONTROL!$C$38, 0.0354, 0)</f>
        <v>23.189899999999998</v>
      </c>
      <c r="D196" s="17">
        <f>23.1467 * CHOOSE(CONTROL!$C$15, $E$9, 100%, $G$9) + CHOOSE(CONTROL!$C$38, 0.0354, 0)</f>
        <v>23.182099999999998</v>
      </c>
      <c r="E196" s="17">
        <f>23.1467 * CHOOSE(CONTROL!$C$15, $E$9, 100%, $G$9) + CHOOSE(CONTROL!$C$38, 0.0354, 0)</f>
        <v>23.182099999999998</v>
      </c>
      <c r="F196" s="45">
        <f>24.8231 * CHOOSE(CONTROL!$C$15, $E$9, 100%, $G$9) + CHOOSE(CONTROL!$C$38, 0.0353, 0)</f>
        <v>24.8584</v>
      </c>
      <c r="G196" s="17">
        <f>23.153 * CHOOSE(CONTROL!$C$15, $E$9, 100%, $G$9) + CHOOSE(CONTROL!$C$38, 0.0354, 0)</f>
        <v>23.188399999999998</v>
      </c>
      <c r="H196" s="17">
        <f>23.153 * CHOOSE(CONTROL!$C$15, $E$9, 100%, $G$9) + CHOOSE(CONTROL!$C$38, 0.0354, 0)</f>
        <v>23.188399999999998</v>
      </c>
      <c r="I196" s="17">
        <f>23.1545 * CHOOSE(CONTROL!$C$15, $E$9, 100%, $G$9) + CHOOSE(CONTROL!$C$38, 0.0354, 0)</f>
        <v>23.189899999999998</v>
      </c>
      <c r="J196" s="44">
        <f>170.0016</f>
        <v>170.0016</v>
      </c>
    </row>
    <row r="197" spans="1:10" ht="15" x14ac:dyDescent="0.2">
      <c r="A197" s="16">
        <v>46905</v>
      </c>
      <c r="B197" s="17">
        <f>24.3369 * CHOOSE(CONTROL!$C$15, $E$9, 100%, $G$9) + CHOOSE(CONTROL!$C$38, 0.0353, 0)</f>
        <v>24.372199999999999</v>
      </c>
      <c r="C197" s="17">
        <f>22.6652 * CHOOSE(CONTROL!$C$15, $E$9, 100%, $G$9) + CHOOSE(CONTROL!$C$38, 0.0354, 0)</f>
        <v>22.700599999999998</v>
      </c>
      <c r="D197" s="17">
        <f>22.6574 * CHOOSE(CONTROL!$C$15, $E$9, 100%, $G$9) + CHOOSE(CONTROL!$C$38, 0.0354, 0)</f>
        <v>22.692799999999998</v>
      </c>
      <c r="E197" s="17">
        <f>22.6574 * CHOOSE(CONTROL!$C$15, $E$9, 100%, $G$9) + CHOOSE(CONTROL!$C$38, 0.0354, 0)</f>
        <v>22.692799999999998</v>
      </c>
      <c r="F197" s="45">
        <f>24.3369 * CHOOSE(CONTROL!$C$15, $E$9, 100%, $G$9) + CHOOSE(CONTROL!$C$38, 0.0353, 0)</f>
        <v>24.372199999999999</v>
      </c>
      <c r="G197" s="17">
        <f>22.6637 * CHOOSE(CONTROL!$C$15, $E$9, 100%, $G$9) + CHOOSE(CONTROL!$C$38, 0.0354, 0)</f>
        <v>22.699099999999998</v>
      </c>
      <c r="H197" s="17">
        <f>22.6637 * CHOOSE(CONTROL!$C$15, $E$9, 100%, $G$9) + CHOOSE(CONTROL!$C$38, 0.0354, 0)</f>
        <v>22.699099999999998</v>
      </c>
      <c r="I197" s="17">
        <f>22.6652 * CHOOSE(CONTROL!$C$15, $E$9, 100%, $G$9) + CHOOSE(CONTROL!$C$38, 0.0354, 0)</f>
        <v>22.700599999999998</v>
      </c>
      <c r="J197" s="44">
        <f>172.8064</f>
        <v>172.8064</v>
      </c>
    </row>
    <row r="198" spans="1:10" ht="15" x14ac:dyDescent="0.2">
      <c r="A198" s="16">
        <v>46935</v>
      </c>
      <c r="B198" s="17">
        <f>24.0792 * CHOOSE(CONTROL!$C$15, $E$9, 100%, $G$9) + CHOOSE(CONTROL!$C$38, 0.0353, 0)</f>
        <v>24.1145</v>
      </c>
      <c r="C198" s="17">
        <f>22.4044 * CHOOSE(CONTROL!$C$15, $E$9, 100%, $G$9) + CHOOSE(CONTROL!$C$38, 0.0354, 0)</f>
        <v>22.439799999999998</v>
      </c>
      <c r="D198" s="17">
        <f>22.3966 * CHOOSE(CONTROL!$C$15, $E$9, 100%, $G$9) + CHOOSE(CONTROL!$C$38, 0.0354, 0)</f>
        <v>22.431999999999999</v>
      </c>
      <c r="E198" s="17">
        <f>22.3966 * CHOOSE(CONTROL!$C$15, $E$9, 100%, $G$9) + CHOOSE(CONTROL!$C$38, 0.0354, 0)</f>
        <v>22.431999999999999</v>
      </c>
      <c r="F198" s="45">
        <f>24.0792 * CHOOSE(CONTROL!$C$15, $E$9, 100%, $G$9) + CHOOSE(CONTROL!$C$38, 0.0353, 0)</f>
        <v>24.1145</v>
      </c>
      <c r="G198" s="17">
        <f>22.4029 * CHOOSE(CONTROL!$C$15, $E$9, 100%, $G$9) + CHOOSE(CONTROL!$C$38, 0.0354, 0)</f>
        <v>22.438299999999998</v>
      </c>
      <c r="H198" s="17">
        <f>22.4029 * CHOOSE(CONTROL!$C$15, $E$9, 100%, $G$9) + CHOOSE(CONTROL!$C$38, 0.0354, 0)</f>
        <v>22.438299999999998</v>
      </c>
      <c r="I198" s="17">
        <f>22.4044 * CHOOSE(CONTROL!$C$15, $E$9, 100%, $G$9) + CHOOSE(CONTROL!$C$38, 0.0354, 0)</f>
        <v>22.439799999999998</v>
      </c>
      <c r="J198" s="44">
        <f>172.3525</f>
        <v>172.35249999999999</v>
      </c>
    </row>
    <row r="199" spans="1:10" ht="15" x14ac:dyDescent="0.2">
      <c r="A199" s="16">
        <v>46966</v>
      </c>
      <c r="B199" s="17">
        <f>24.2791 * CHOOSE(CONTROL!$C$15, $E$9, 100%, $G$9) + CHOOSE(CONTROL!$C$38, 0.0353, 0)</f>
        <v>24.314399999999999</v>
      </c>
      <c r="C199" s="17">
        <f>22.6012 * CHOOSE(CONTROL!$C$15, $E$9, 100%, $G$9) + CHOOSE(CONTROL!$C$38, 0.0354, 0)</f>
        <v>22.636599999999998</v>
      </c>
      <c r="D199" s="17">
        <f>22.5934 * CHOOSE(CONTROL!$C$15, $E$9, 100%, $G$9) + CHOOSE(CONTROL!$C$38, 0.0354, 0)</f>
        <v>22.628799999999998</v>
      </c>
      <c r="E199" s="17">
        <f>22.5934 * CHOOSE(CONTROL!$C$15, $E$9, 100%, $G$9) + CHOOSE(CONTROL!$C$38, 0.0354, 0)</f>
        <v>22.628799999999998</v>
      </c>
      <c r="F199" s="45">
        <f>24.2791 * CHOOSE(CONTROL!$C$15, $E$9, 100%, $G$9) + CHOOSE(CONTROL!$C$38, 0.0353, 0)</f>
        <v>24.314399999999999</v>
      </c>
      <c r="G199" s="17">
        <f>22.5997 * CHOOSE(CONTROL!$C$15, $E$9, 100%, $G$9) + CHOOSE(CONTROL!$C$38, 0.0354, 0)</f>
        <v>22.635099999999998</v>
      </c>
      <c r="H199" s="17">
        <f>22.5997 * CHOOSE(CONTROL!$C$15, $E$9, 100%, $G$9) + CHOOSE(CONTROL!$C$38, 0.0354, 0)</f>
        <v>22.635099999999998</v>
      </c>
      <c r="I199" s="17">
        <f>22.6012 * CHOOSE(CONTROL!$C$15, $E$9, 100%, $G$9) + CHOOSE(CONTROL!$C$38, 0.0354, 0)</f>
        <v>22.636599999999998</v>
      </c>
      <c r="J199" s="44">
        <f>168.6869</f>
        <v>168.68690000000001</v>
      </c>
    </row>
    <row r="200" spans="1:10" ht="15" x14ac:dyDescent="0.2">
      <c r="A200" s="16">
        <v>46997</v>
      </c>
      <c r="B200" s="17">
        <f>24.7405 * CHOOSE(CONTROL!$C$15, $E$9, 100%, $G$9) + CHOOSE(CONTROL!$C$38, 0.0353, 0)</f>
        <v>24.7758</v>
      </c>
      <c r="C200" s="17">
        <f>23.0594 * CHOOSE(CONTROL!$C$15, $E$9, 100%, $G$9) + CHOOSE(CONTROL!$C$38, 0.0354, 0)</f>
        <v>23.094799999999999</v>
      </c>
      <c r="D200" s="17">
        <f>23.0516 * CHOOSE(CONTROL!$C$15, $E$9, 100%, $G$9) + CHOOSE(CONTROL!$C$38, 0.0354, 0)</f>
        <v>23.087</v>
      </c>
      <c r="E200" s="17">
        <f>23.0516 * CHOOSE(CONTROL!$C$15, $E$9, 100%, $G$9) + CHOOSE(CONTROL!$C$38, 0.0354, 0)</f>
        <v>23.087</v>
      </c>
      <c r="F200" s="45">
        <f>24.7405 * CHOOSE(CONTROL!$C$15, $E$9, 100%, $G$9) + CHOOSE(CONTROL!$C$38, 0.0353, 0)</f>
        <v>24.7758</v>
      </c>
      <c r="G200" s="17">
        <f>23.0579 * CHOOSE(CONTROL!$C$15, $E$9, 100%, $G$9) + CHOOSE(CONTROL!$C$38, 0.0354, 0)</f>
        <v>23.093299999999999</v>
      </c>
      <c r="H200" s="17">
        <f>23.0579 * CHOOSE(CONTROL!$C$15, $E$9, 100%, $G$9) + CHOOSE(CONTROL!$C$38, 0.0354, 0)</f>
        <v>23.093299999999999</v>
      </c>
      <c r="I200" s="17">
        <f>23.0594 * CHOOSE(CONTROL!$C$15, $E$9, 100%, $G$9) + CHOOSE(CONTROL!$C$38, 0.0354, 0)</f>
        <v>23.094799999999999</v>
      </c>
      <c r="J200" s="44">
        <f>163.416</f>
        <v>163.416</v>
      </c>
    </row>
    <row r="201" spans="1:10" ht="15" x14ac:dyDescent="0.2">
      <c r="A201" s="16">
        <v>47027</v>
      </c>
      <c r="B201" s="17">
        <f>25.1364 * CHOOSE(CONTROL!$C$15, $E$9, 100%, $G$9) + CHOOSE(CONTROL!$C$38, 0.034, 0)</f>
        <v>25.170399999999997</v>
      </c>
      <c r="C201" s="17">
        <f>23.4522 * CHOOSE(CONTROL!$C$15, $E$9, 100%, $G$9) + CHOOSE(CONTROL!$C$38, 0.0342, 0)</f>
        <v>23.4864</v>
      </c>
      <c r="D201" s="17">
        <f>23.4444 * CHOOSE(CONTROL!$C$15, $E$9, 100%, $G$9) + CHOOSE(CONTROL!$C$38, 0.0342, 0)</f>
        <v>23.4786</v>
      </c>
      <c r="E201" s="17">
        <f>23.4444 * CHOOSE(CONTROL!$C$15, $E$9, 100%, $G$9) + CHOOSE(CONTROL!$C$38, 0.0342, 0)</f>
        <v>23.4786</v>
      </c>
      <c r="F201" s="45">
        <f>25.1364 * CHOOSE(CONTROL!$C$15, $E$9, 100%, $G$9) + CHOOSE(CONTROL!$C$38, 0.034, 0)</f>
        <v>25.170399999999997</v>
      </c>
      <c r="G201" s="17">
        <f>23.4507 * CHOOSE(CONTROL!$C$15, $E$9, 100%, $G$9) + CHOOSE(CONTROL!$C$38, 0.0342, 0)</f>
        <v>23.4849</v>
      </c>
      <c r="H201" s="17">
        <f>23.4507 * CHOOSE(CONTROL!$C$15, $E$9, 100%, $G$9) + CHOOSE(CONTROL!$C$38, 0.0342, 0)</f>
        <v>23.4849</v>
      </c>
      <c r="I201" s="17">
        <f>23.4522 * CHOOSE(CONTROL!$C$15, $E$9, 100%, $G$9) + CHOOSE(CONTROL!$C$38, 0.0342, 0)</f>
        <v>23.4864</v>
      </c>
      <c r="J201" s="44">
        <f>158.0899</f>
        <v>158.0899</v>
      </c>
    </row>
    <row r="202" spans="1:10" ht="15" x14ac:dyDescent="0.2">
      <c r="A202" s="16">
        <v>47058</v>
      </c>
      <c r="B202" s="17">
        <f>25.4765 * CHOOSE(CONTROL!$C$15, $E$9, 100%, $G$9) + CHOOSE(CONTROL!$C$38, 0.034, 0)</f>
        <v>25.5105</v>
      </c>
      <c r="C202" s="17">
        <f>23.7891 * CHOOSE(CONTROL!$C$15, $E$9, 100%, $G$9) + CHOOSE(CONTROL!$C$38, 0.0342, 0)</f>
        <v>23.8233</v>
      </c>
      <c r="D202" s="17">
        <f>23.7813 * CHOOSE(CONTROL!$C$15, $E$9, 100%, $G$9) + CHOOSE(CONTROL!$C$38, 0.0342, 0)</f>
        <v>23.8155</v>
      </c>
      <c r="E202" s="17">
        <f>23.7813 * CHOOSE(CONTROL!$C$15, $E$9, 100%, $G$9) + CHOOSE(CONTROL!$C$38, 0.0342, 0)</f>
        <v>23.8155</v>
      </c>
      <c r="F202" s="45">
        <f>25.4765 * CHOOSE(CONTROL!$C$15, $E$9, 100%, $G$9) + CHOOSE(CONTROL!$C$38, 0.034, 0)</f>
        <v>25.5105</v>
      </c>
      <c r="G202" s="17">
        <f>23.7876 * CHOOSE(CONTROL!$C$15, $E$9, 100%, $G$9) + CHOOSE(CONTROL!$C$38, 0.0342, 0)</f>
        <v>23.8218</v>
      </c>
      <c r="H202" s="17">
        <f>23.7876 * CHOOSE(CONTROL!$C$15, $E$9, 100%, $G$9) + CHOOSE(CONTROL!$C$38, 0.0342, 0)</f>
        <v>23.8218</v>
      </c>
      <c r="I202" s="17">
        <f>23.7891 * CHOOSE(CONTROL!$C$15, $E$9, 100%, $G$9) + CHOOSE(CONTROL!$C$38, 0.0342, 0)</f>
        <v>23.8233</v>
      </c>
      <c r="J202" s="44">
        <f>157.2868</f>
        <v>157.2868</v>
      </c>
    </row>
    <row r="203" spans="1:10" ht="15" x14ac:dyDescent="0.2">
      <c r="A203" s="16">
        <v>47088</v>
      </c>
      <c r="B203" s="17">
        <f>26.4217 * CHOOSE(CONTROL!$C$15, $E$9, 100%, $G$9) + CHOOSE(CONTROL!$C$38, 0.034, 0)</f>
        <v>26.4557</v>
      </c>
      <c r="C203" s="17">
        <f>24.7312 * CHOOSE(CONTROL!$C$15, $E$9, 100%, $G$9) + CHOOSE(CONTROL!$C$38, 0.0342, 0)</f>
        <v>24.7654</v>
      </c>
      <c r="D203" s="17">
        <f>24.7234 * CHOOSE(CONTROL!$C$15, $E$9, 100%, $G$9) + CHOOSE(CONTROL!$C$38, 0.0342, 0)</f>
        <v>24.7576</v>
      </c>
      <c r="E203" s="17">
        <f>24.7234 * CHOOSE(CONTROL!$C$15, $E$9, 100%, $G$9) + CHOOSE(CONTROL!$C$38, 0.0342, 0)</f>
        <v>24.7576</v>
      </c>
      <c r="F203" s="45">
        <f>26.4217 * CHOOSE(CONTROL!$C$15, $E$9, 100%, $G$9) + CHOOSE(CONTROL!$C$38, 0.034, 0)</f>
        <v>26.4557</v>
      </c>
      <c r="G203" s="17">
        <f>24.7297 * CHOOSE(CONTROL!$C$15, $E$9, 100%, $G$9) + CHOOSE(CONTROL!$C$38, 0.0342, 0)</f>
        <v>24.7639</v>
      </c>
      <c r="H203" s="17">
        <f>24.7297 * CHOOSE(CONTROL!$C$15, $E$9, 100%, $G$9) + CHOOSE(CONTROL!$C$38, 0.0342, 0)</f>
        <v>24.7639</v>
      </c>
      <c r="I203" s="17">
        <f>24.7312 * CHOOSE(CONTROL!$C$15, $E$9, 100%, $G$9) + CHOOSE(CONTROL!$C$38, 0.0342, 0)</f>
        <v>24.7654</v>
      </c>
      <c r="J203" s="44">
        <f>152.9336</f>
        <v>152.93360000000001</v>
      </c>
    </row>
    <row r="204" spans="1:10" ht="15" x14ac:dyDescent="0.2">
      <c r="A204" s="16">
        <v>47119</v>
      </c>
      <c r="B204" s="17">
        <f>27.2009 * CHOOSE(CONTROL!$C$15, $E$9, 100%, $G$9) + CHOOSE(CONTROL!$C$38, 0.034, 0)</f>
        <v>27.2349</v>
      </c>
      <c r="C204" s="17">
        <f>25.5235 * CHOOSE(CONTROL!$C$15, $E$9, 100%, $G$9) + CHOOSE(CONTROL!$C$38, 0.0342, 0)</f>
        <v>25.557699999999997</v>
      </c>
      <c r="D204" s="17">
        <f>25.5157 * CHOOSE(CONTROL!$C$15, $E$9, 100%, $G$9) + CHOOSE(CONTROL!$C$38, 0.0342, 0)</f>
        <v>25.549899999999997</v>
      </c>
      <c r="E204" s="17">
        <f>25.5157 * CHOOSE(CONTROL!$C$15, $E$9, 100%, $G$9) + CHOOSE(CONTROL!$C$38, 0.0342, 0)</f>
        <v>25.549899999999997</v>
      </c>
      <c r="F204" s="45">
        <f>27.2009 * CHOOSE(CONTROL!$C$15, $E$9, 100%, $G$9) + CHOOSE(CONTROL!$C$38, 0.034, 0)</f>
        <v>27.2349</v>
      </c>
      <c r="G204" s="17">
        <f>25.5219 * CHOOSE(CONTROL!$C$15, $E$9, 100%, $G$9) + CHOOSE(CONTROL!$C$38, 0.0342, 0)</f>
        <v>25.556099999999997</v>
      </c>
      <c r="H204" s="17">
        <f>25.5219 * CHOOSE(CONTROL!$C$15, $E$9, 100%, $G$9) + CHOOSE(CONTROL!$C$38, 0.0342, 0)</f>
        <v>25.556099999999997</v>
      </c>
      <c r="I204" s="17">
        <f>25.5235 * CHOOSE(CONTROL!$C$15, $E$9, 100%, $G$9) + CHOOSE(CONTROL!$C$38, 0.0342, 0)</f>
        <v>25.557699999999997</v>
      </c>
      <c r="J204" s="44">
        <f>149.6003</f>
        <v>149.6003</v>
      </c>
    </row>
    <row r="205" spans="1:10" ht="15" x14ac:dyDescent="0.2">
      <c r="A205" s="16">
        <v>47150</v>
      </c>
      <c r="B205" s="17">
        <f>27.5881 * CHOOSE(CONTROL!$C$15, $E$9, 100%, $G$9) + CHOOSE(CONTROL!$C$38, 0.034, 0)</f>
        <v>27.6221</v>
      </c>
      <c r="C205" s="17">
        <f>25.9076 * CHOOSE(CONTROL!$C$15, $E$9, 100%, $G$9) + CHOOSE(CONTROL!$C$38, 0.0342, 0)</f>
        <v>25.941799999999997</v>
      </c>
      <c r="D205" s="17">
        <f>25.8998 * CHOOSE(CONTROL!$C$15, $E$9, 100%, $G$9) + CHOOSE(CONTROL!$C$38, 0.0342, 0)</f>
        <v>25.933999999999997</v>
      </c>
      <c r="E205" s="17">
        <f>25.8998 * CHOOSE(CONTROL!$C$15, $E$9, 100%, $G$9) + CHOOSE(CONTROL!$C$38, 0.0342, 0)</f>
        <v>25.933999999999997</v>
      </c>
      <c r="F205" s="45">
        <f>27.5881 * CHOOSE(CONTROL!$C$15, $E$9, 100%, $G$9) + CHOOSE(CONTROL!$C$38, 0.034, 0)</f>
        <v>27.6221</v>
      </c>
      <c r="G205" s="17">
        <f>25.906 * CHOOSE(CONTROL!$C$15, $E$9, 100%, $G$9) + CHOOSE(CONTROL!$C$38, 0.0342, 0)</f>
        <v>25.940199999999997</v>
      </c>
      <c r="H205" s="17">
        <f>25.906 * CHOOSE(CONTROL!$C$15, $E$9, 100%, $G$9) + CHOOSE(CONTROL!$C$38, 0.0342, 0)</f>
        <v>25.940199999999997</v>
      </c>
      <c r="I205" s="17">
        <f>25.9076 * CHOOSE(CONTROL!$C$15, $E$9, 100%, $G$9) + CHOOSE(CONTROL!$C$38, 0.0342, 0)</f>
        <v>25.941799999999997</v>
      </c>
      <c r="J205" s="44">
        <f>149.4918</f>
        <v>149.49180000000001</v>
      </c>
    </row>
    <row r="206" spans="1:10" ht="15" x14ac:dyDescent="0.2">
      <c r="A206" s="16">
        <v>47178</v>
      </c>
      <c r="B206" s="17">
        <f>26.8724 * CHOOSE(CONTROL!$C$15, $E$9, 100%, $G$9) + CHOOSE(CONTROL!$C$38, 0.034, 0)</f>
        <v>26.906399999999998</v>
      </c>
      <c r="C206" s="17">
        <f>25.1888 * CHOOSE(CONTROL!$C$15, $E$9, 100%, $G$9) + CHOOSE(CONTROL!$C$38, 0.0342, 0)</f>
        <v>25.222999999999999</v>
      </c>
      <c r="D206" s="17">
        <f>25.181 * CHOOSE(CONTROL!$C$15, $E$9, 100%, $G$9) + CHOOSE(CONTROL!$C$38, 0.0342, 0)</f>
        <v>25.215199999999999</v>
      </c>
      <c r="E206" s="17">
        <f>25.181 * CHOOSE(CONTROL!$C$15, $E$9, 100%, $G$9) + CHOOSE(CONTROL!$C$38, 0.0342, 0)</f>
        <v>25.215199999999999</v>
      </c>
      <c r="F206" s="45">
        <f>26.8724 * CHOOSE(CONTROL!$C$15, $E$9, 100%, $G$9) + CHOOSE(CONTROL!$C$38, 0.034, 0)</f>
        <v>26.906399999999998</v>
      </c>
      <c r="G206" s="17">
        <f>25.1872 * CHOOSE(CONTROL!$C$15, $E$9, 100%, $G$9) + CHOOSE(CONTROL!$C$38, 0.0342, 0)</f>
        <v>25.221399999999999</v>
      </c>
      <c r="H206" s="17">
        <f>25.1872 * CHOOSE(CONTROL!$C$15, $E$9, 100%, $G$9) + CHOOSE(CONTROL!$C$38, 0.0342, 0)</f>
        <v>25.221399999999999</v>
      </c>
      <c r="I206" s="17">
        <f>25.1888 * CHOOSE(CONTROL!$C$15, $E$9, 100%, $G$9) + CHOOSE(CONTROL!$C$38, 0.0342, 0)</f>
        <v>25.222999999999999</v>
      </c>
      <c r="J206" s="44">
        <f>157.695</f>
        <v>157.69499999999999</v>
      </c>
    </row>
    <row r="207" spans="1:10" ht="15" x14ac:dyDescent="0.2">
      <c r="A207" s="16">
        <v>47209</v>
      </c>
      <c r="B207" s="17">
        <f>26.1777 * CHOOSE(CONTROL!$C$15, $E$9, 100%, $G$9) + CHOOSE(CONTROL!$C$38, 0.034, 0)</f>
        <v>26.2117</v>
      </c>
      <c r="C207" s="17">
        <f>24.4909 * CHOOSE(CONTROL!$C$15, $E$9, 100%, $G$9) + CHOOSE(CONTROL!$C$38, 0.0342, 0)</f>
        <v>24.525099999999998</v>
      </c>
      <c r="D207" s="17">
        <f>24.483 * CHOOSE(CONTROL!$C$15, $E$9, 100%, $G$9) + CHOOSE(CONTROL!$C$38, 0.0342, 0)</f>
        <v>24.517199999999999</v>
      </c>
      <c r="E207" s="17">
        <f>24.483 * CHOOSE(CONTROL!$C$15, $E$9, 100%, $G$9) + CHOOSE(CONTROL!$C$38, 0.0342, 0)</f>
        <v>24.517199999999999</v>
      </c>
      <c r="F207" s="45">
        <f>26.1777 * CHOOSE(CONTROL!$C$15, $E$9, 100%, $G$9) + CHOOSE(CONTROL!$C$38, 0.034, 0)</f>
        <v>26.2117</v>
      </c>
      <c r="G207" s="17">
        <f>24.4893 * CHOOSE(CONTROL!$C$15, $E$9, 100%, $G$9) + CHOOSE(CONTROL!$C$38, 0.0342, 0)</f>
        <v>24.523499999999999</v>
      </c>
      <c r="H207" s="17">
        <f>24.4893 * CHOOSE(CONTROL!$C$15, $E$9, 100%, $G$9) + CHOOSE(CONTROL!$C$38, 0.0342, 0)</f>
        <v>24.523499999999999</v>
      </c>
      <c r="I207" s="17">
        <f>24.4909 * CHOOSE(CONTROL!$C$15, $E$9, 100%, $G$9) + CHOOSE(CONTROL!$C$38, 0.0342, 0)</f>
        <v>24.525099999999998</v>
      </c>
      <c r="J207" s="44">
        <f>168.2793</f>
        <v>168.27930000000001</v>
      </c>
    </row>
    <row r="208" spans="1:10" ht="15" x14ac:dyDescent="0.2">
      <c r="A208" s="16">
        <v>47239</v>
      </c>
      <c r="B208" s="17">
        <f>25.4482 * CHOOSE(CONTROL!$C$15, $E$9, 100%, $G$9) + CHOOSE(CONTROL!$C$38, 0.0353, 0)</f>
        <v>25.483499999999999</v>
      </c>
      <c r="C208" s="17">
        <f>23.7583 * CHOOSE(CONTROL!$C$15, $E$9, 100%, $G$9) + CHOOSE(CONTROL!$C$38, 0.0354, 0)</f>
        <v>23.793699999999998</v>
      </c>
      <c r="D208" s="17">
        <f>23.7504 * CHOOSE(CONTROL!$C$15, $E$9, 100%, $G$9) + CHOOSE(CONTROL!$C$38, 0.0354, 0)</f>
        <v>23.785799999999998</v>
      </c>
      <c r="E208" s="17">
        <f>23.7504 * CHOOSE(CONTROL!$C$15, $E$9, 100%, $G$9) + CHOOSE(CONTROL!$C$38, 0.0354, 0)</f>
        <v>23.785799999999998</v>
      </c>
      <c r="F208" s="45">
        <f>25.4482 * CHOOSE(CONTROL!$C$15, $E$9, 100%, $G$9) + CHOOSE(CONTROL!$C$38, 0.0353, 0)</f>
        <v>25.483499999999999</v>
      </c>
      <c r="G208" s="17">
        <f>23.7567 * CHOOSE(CONTROL!$C$15, $E$9, 100%, $G$9) + CHOOSE(CONTROL!$C$38, 0.0354, 0)</f>
        <v>23.792099999999998</v>
      </c>
      <c r="H208" s="17">
        <f>23.7567 * CHOOSE(CONTROL!$C$15, $E$9, 100%, $G$9) + CHOOSE(CONTROL!$C$38, 0.0354, 0)</f>
        <v>23.792099999999998</v>
      </c>
      <c r="I208" s="17">
        <f>23.7583 * CHOOSE(CONTROL!$C$15, $E$9, 100%, $G$9) + CHOOSE(CONTROL!$C$38, 0.0354, 0)</f>
        <v>23.793699999999998</v>
      </c>
      <c r="J208" s="44">
        <f>174.2847</f>
        <v>174.28469999999999</v>
      </c>
    </row>
    <row r="209" spans="1:10" ht="15" x14ac:dyDescent="0.2">
      <c r="A209" s="16">
        <v>47270</v>
      </c>
      <c r="B209" s="17">
        <f>24.9499 * CHOOSE(CONTROL!$C$15, $E$9, 100%, $G$9) + CHOOSE(CONTROL!$C$38, 0.0353, 0)</f>
        <v>24.985199999999999</v>
      </c>
      <c r="C209" s="17">
        <f>23.2568 * CHOOSE(CONTROL!$C$15, $E$9, 100%, $G$9) + CHOOSE(CONTROL!$C$38, 0.0354, 0)</f>
        <v>23.292199999999998</v>
      </c>
      <c r="D209" s="17">
        <f>23.249 * CHOOSE(CONTROL!$C$15, $E$9, 100%, $G$9) + CHOOSE(CONTROL!$C$38, 0.0354, 0)</f>
        <v>23.284399999999998</v>
      </c>
      <c r="E209" s="17">
        <f>23.249 * CHOOSE(CONTROL!$C$15, $E$9, 100%, $G$9) + CHOOSE(CONTROL!$C$38, 0.0354, 0)</f>
        <v>23.284399999999998</v>
      </c>
      <c r="F209" s="45">
        <f>24.9499 * CHOOSE(CONTROL!$C$15, $E$9, 100%, $G$9) + CHOOSE(CONTROL!$C$38, 0.0353, 0)</f>
        <v>24.985199999999999</v>
      </c>
      <c r="G209" s="17">
        <f>23.2552 * CHOOSE(CONTROL!$C$15, $E$9, 100%, $G$9) + CHOOSE(CONTROL!$C$38, 0.0354, 0)</f>
        <v>23.290599999999998</v>
      </c>
      <c r="H209" s="17">
        <f>23.2552 * CHOOSE(CONTROL!$C$15, $E$9, 100%, $G$9) + CHOOSE(CONTROL!$C$38, 0.0354, 0)</f>
        <v>23.290599999999998</v>
      </c>
      <c r="I209" s="17">
        <f>23.2568 * CHOOSE(CONTROL!$C$15, $E$9, 100%, $G$9) + CHOOSE(CONTROL!$C$38, 0.0354, 0)</f>
        <v>23.292199999999998</v>
      </c>
      <c r="J209" s="44">
        <f>177.1601</f>
        <v>177.1601</v>
      </c>
    </row>
    <row r="210" spans="1:10" ht="15" x14ac:dyDescent="0.2">
      <c r="A210" s="16">
        <v>47300</v>
      </c>
      <c r="B210" s="17">
        <f>24.6858 * CHOOSE(CONTROL!$C$15, $E$9, 100%, $G$9) + CHOOSE(CONTROL!$C$38, 0.0353, 0)</f>
        <v>24.7211</v>
      </c>
      <c r="C210" s="17">
        <f>22.9896 * CHOOSE(CONTROL!$C$15, $E$9, 100%, $G$9) + CHOOSE(CONTROL!$C$38, 0.0354, 0)</f>
        <v>23.024999999999999</v>
      </c>
      <c r="D210" s="17">
        <f>22.9818 * CHOOSE(CONTROL!$C$15, $E$9, 100%, $G$9) + CHOOSE(CONTROL!$C$38, 0.0354, 0)</f>
        <v>23.017199999999999</v>
      </c>
      <c r="E210" s="17">
        <f>22.9818 * CHOOSE(CONTROL!$C$15, $E$9, 100%, $G$9) + CHOOSE(CONTROL!$C$38, 0.0354, 0)</f>
        <v>23.017199999999999</v>
      </c>
      <c r="F210" s="45">
        <f>24.6858 * CHOOSE(CONTROL!$C$15, $E$9, 100%, $G$9) + CHOOSE(CONTROL!$C$38, 0.0353, 0)</f>
        <v>24.7211</v>
      </c>
      <c r="G210" s="17">
        <f>22.988 * CHOOSE(CONTROL!$C$15, $E$9, 100%, $G$9) + CHOOSE(CONTROL!$C$38, 0.0354, 0)</f>
        <v>23.023399999999999</v>
      </c>
      <c r="H210" s="17">
        <f>22.988 * CHOOSE(CONTROL!$C$15, $E$9, 100%, $G$9) + CHOOSE(CONTROL!$C$38, 0.0354, 0)</f>
        <v>23.023399999999999</v>
      </c>
      <c r="I210" s="17">
        <f>22.9896 * CHOOSE(CONTROL!$C$15, $E$9, 100%, $G$9) + CHOOSE(CONTROL!$C$38, 0.0354, 0)</f>
        <v>23.024999999999999</v>
      </c>
      <c r="J210" s="44">
        <f>176.6948</f>
        <v>176.69479999999999</v>
      </c>
    </row>
    <row r="211" spans="1:10" ht="15" x14ac:dyDescent="0.2">
      <c r="A211" s="16">
        <v>47331</v>
      </c>
      <c r="B211" s="17">
        <f>24.8908 * CHOOSE(CONTROL!$C$15, $E$9, 100%, $G$9) + CHOOSE(CONTROL!$C$38, 0.0353, 0)</f>
        <v>24.926099999999998</v>
      </c>
      <c r="C211" s="17">
        <f>23.1914 * CHOOSE(CONTROL!$C$15, $E$9, 100%, $G$9) + CHOOSE(CONTROL!$C$38, 0.0354, 0)</f>
        <v>23.226800000000001</v>
      </c>
      <c r="D211" s="17">
        <f>23.1835 * CHOOSE(CONTROL!$C$15, $E$9, 100%, $G$9) + CHOOSE(CONTROL!$C$38, 0.0354, 0)</f>
        <v>23.218899999999998</v>
      </c>
      <c r="E211" s="17">
        <f>23.1835 * CHOOSE(CONTROL!$C$15, $E$9, 100%, $G$9) + CHOOSE(CONTROL!$C$38, 0.0354, 0)</f>
        <v>23.218899999999998</v>
      </c>
      <c r="F211" s="45">
        <f>24.8908 * CHOOSE(CONTROL!$C$15, $E$9, 100%, $G$9) + CHOOSE(CONTROL!$C$38, 0.0353, 0)</f>
        <v>24.926099999999998</v>
      </c>
      <c r="G211" s="17">
        <f>23.1898 * CHOOSE(CONTROL!$C$15, $E$9, 100%, $G$9) + CHOOSE(CONTROL!$C$38, 0.0354, 0)</f>
        <v>23.225200000000001</v>
      </c>
      <c r="H211" s="17">
        <f>23.1898 * CHOOSE(CONTROL!$C$15, $E$9, 100%, $G$9) + CHOOSE(CONTROL!$C$38, 0.0354, 0)</f>
        <v>23.225200000000001</v>
      </c>
      <c r="I211" s="17">
        <f>23.1914 * CHOOSE(CONTROL!$C$15, $E$9, 100%, $G$9) + CHOOSE(CONTROL!$C$38, 0.0354, 0)</f>
        <v>23.226800000000001</v>
      </c>
      <c r="J211" s="44">
        <f>172.9369</f>
        <v>172.93690000000001</v>
      </c>
    </row>
    <row r="212" spans="1:10" ht="15" x14ac:dyDescent="0.2">
      <c r="A212" s="16">
        <v>47362</v>
      </c>
      <c r="B212" s="17">
        <f>25.3637 * CHOOSE(CONTROL!$C$15, $E$9, 100%, $G$9) + CHOOSE(CONTROL!$C$38, 0.0353, 0)</f>
        <v>25.399000000000001</v>
      </c>
      <c r="C212" s="17">
        <f>23.6611 * CHOOSE(CONTROL!$C$15, $E$9, 100%, $G$9) + CHOOSE(CONTROL!$C$38, 0.0354, 0)</f>
        <v>23.6965</v>
      </c>
      <c r="D212" s="17">
        <f>23.6533 * CHOOSE(CONTROL!$C$15, $E$9, 100%, $G$9) + CHOOSE(CONTROL!$C$38, 0.0354, 0)</f>
        <v>23.688700000000001</v>
      </c>
      <c r="E212" s="17">
        <f>23.6533 * CHOOSE(CONTROL!$C$15, $E$9, 100%, $G$9) + CHOOSE(CONTROL!$C$38, 0.0354, 0)</f>
        <v>23.688700000000001</v>
      </c>
      <c r="F212" s="45">
        <f>25.3637 * CHOOSE(CONTROL!$C$15, $E$9, 100%, $G$9) + CHOOSE(CONTROL!$C$38, 0.0353, 0)</f>
        <v>25.399000000000001</v>
      </c>
      <c r="G212" s="17">
        <f>23.6595 * CHOOSE(CONTROL!$C$15, $E$9, 100%, $G$9) + CHOOSE(CONTROL!$C$38, 0.0354, 0)</f>
        <v>23.694900000000001</v>
      </c>
      <c r="H212" s="17">
        <f>23.6595 * CHOOSE(CONTROL!$C$15, $E$9, 100%, $G$9) + CHOOSE(CONTROL!$C$38, 0.0354, 0)</f>
        <v>23.694900000000001</v>
      </c>
      <c r="I212" s="17">
        <f>23.6611 * CHOOSE(CONTROL!$C$15, $E$9, 100%, $G$9) + CHOOSE(CONTROL!$C$38, 0.0354, 0)</f>
        <v>23.6965</v>
      </c>
      <c r="J212" s="44">
        <f>167.5331</f>
        <v>167.53309999999999</v>
      </c>
    </row>
    <row r="213" spans="1:10" ht="15" x14ac:dyDescent="0.2">
      <c r="A213" s="16">
        <v>47392</v>
      </c>
      <c r="B213" s="17">
        <f>25.7696 * CHOOSE(CONTROL!$C$15, $E$9, 100%, $G$9) + CHOOSE(CONTROL!$C$38, 0.034, 0)</f>
        <v>25.803599999999999</v>
      </c>
      <c r="C213" s="17">
        <f>24.0638 * CHOOSE(CONTROL!$C$15, $E$9, 100%, $G$9) + CHOOSE(CONTROL!$C$38, 0.0342, 0)</f>
        <v>24.097999999999999</v>
      </c>
      <c r="D213" s="17">
        <f>24.056 * CHOOSE(CONTROL!$C$15, $E$9, 100%, $G$9) + CHOOSE(CONTROL!$C$38, 0.0342, 0)</f>
        <v>24.090199999999999</v>
      </c>
      <c r="E213" s="17">
        <f>24.056 * CHOOSE(CONTROL!$C$15, $E$9, 100%, $G$9) + CHOOSE(CONTROL!$C$38, 0.0342, 0)</f>
        <v>24.090199999999999</v>
      </c>
      <c r="F213" s="45">
        <f>25.7696 * CHOOSE(CONTROL!$C$15, $E$9, 100%, $G$9) + CHOOSE(CONTROL!$C$38, 0.034, 0)</f>
        <v>25.803599999999999</v>
      </c>
      <c r="G213" s="17">
        <f>24.0622 * CHOOSE(CONTROL!$C$15, $E$9, 100%, $G$9) + CHOOSE(CONTROL!$C$38, 0.0342, 0)</f>
        <v>24.096399999999999</v>
      </c>
      <c r="H213" s="17">
        <f>24.0622 * CHOOSE(CONTROL!$C$15, $E$9, 100%, $G$9) + CHOOSE(CONTROL!$C$38, 0.0342, 0)</f>
        <v>24.096399999999999</v>
      </c>
      <c r="I213" s="17">
        <f>24.0638 * CHOOSE(CONTROL!$C$15, $E$9, 100%, $G$9) + CHOOSE(CONTROL!$C$38, 0.0342, 0)</f>
        <v>24.097999999999999</v>
      </c>
      <c r="J213" s="44">
        <f>162.0728</f>
        <v>162.0728</v>
      </c>
    </row>
    <row r="214" spans="1:10" ht="15" x14ac:dyDescent="0.2">
      <c r="A214" s="16">
        <v>47423</v>
      </c>
      <c r="B214" s="17">
        <f>26.1182 * CHOOSE(CONTROL!$C$15, $E$9, 100%, $G$9) + CHOOSE(CONTROL!$C$38, 0.034, 0)</f>
        <v>26.152200000000001</v>
      </c>
      <c r="C214" s="17">
        <f>24.4092 * CHOOSE(CONTROL!$C$15, $E$9, 100%, $G$9) + CHOOSE(CONTROL!$C$38, 0.0342, 0)</f>
        <v>24.443399999999997</v>
      </c>
      <c r="D214" s="17">
        <f>24.4014 * CHOOSE(CONTROL!$C$15, $E$9, 100%, $G$9) + CHOOSE(CONTROL!$C$38, 0.0342, 0)</f>
        <v>24.435599999999997</v>
      </c>
      <c r="E214" s="17">
        <f>24.4014 * CHOOSE(CONTROL!$C$15, $E$9, 100%, $G$9) + CHOOSE(CONTROL!$C$38, 0.0342, 0)</f>
        <v>24.435599999999997</v>
      </c>
      <c r="F214" s="45">
        <f>26.1182 * CHOOSE(CONTROL!$C$15, $E$9, 100%, $G$9) + CHOOSE(CONTROL!$C$38, 0.034, 0)</f>
        <v>26.152200000000001</v>
      </c>
      <c r="G214" s="17">
        <f>24.4076 * CHOOSE(CONTROL!$C$15, $E$9, 100%, $G$9) + CHOOSE(CONTROL!$C$38, 0.0342, 0)</f>
        <v>24.441799999999997</v>
      </c>
      <c r="H214" s="17">
        <f>24.4076 * CHOOSE(CONTROL!$C$15, $E$9, 100%, $G$9) + CHOOSE(CONTROL!$C$38, 0.0342, 0)</f>
        <v>24.441799999999997</v>
      </c>
      <c r="I214" s="17">
        <f>24.4092 * CHOOSE(CONTROL!$C$15, $E$9, 100%, $G$9) + CHOOSE(CONTROL!$C$38, 0.0342, 0)</f>
        <v>24.443399999999997</v>
      </c>
      <c r="J214" s="44">
        <f>161.2495</f>
        <v>161.24950000000001</v>
      </c>
    </row>
    <row r="215" spans="1:10" ht="15" x14ac:dyDescent="0.2">
      <c r="A215" s="16">
        <v>47453</v>
      </c>
      <c r="B215" s="17">
        <f>27.0871 * CHOOSE(CONTROL!$C$15, $E$9, 100%, $G$9) + CHOOSE(CONTROL!$C$38, 0.034, 0)</f>
        <v>27.121099999999998</v>
      </c>
      <c r="C215" s="17">
        <f>25.3749 * CHOOSE(CONTROL!$C$15, $E$9, 100%, $G$9) + CHOOSE(CONTROL!$C$38, 0.0342, 0)</f>
        <v>25.409099999999999</v>
      </c>
      <c r="D215" s="17">
        <f>25.3671 * CHOOSE(CONTROL!$C$15, $E$9, 100%, $G$9) + CHOOSE(CONTROL!$C$38, 0.0342, 0)</f>
        <v>25.401299999999999</v>
      </c>
      <c r="E215" s="17">
        <f>25.3671 * CHOOSE(CONTROL!$C$15, $E$9, 100%, $G$9) + CHOOSE(CONTROL!$C$38, 0.0342, 0)</f>
        <v>25.401299999999999</v>
      </c>
      <c r="F215" s="45">
        <f>27.0871 * CHOOSE(CONTROL!$C$15, $E$9, 100%, $G$9) + CHOOSE(CONTROL!$C$38, 0.034, 0)</f>
        <v>27.121099999999998</v>
      </c>
      <c r="G215" s="17">
        <f>25.3733 * CHOOSE(CONTROL!$C$15, $E$9, 100%, $G$9) + CHOOSE(CONTROL!$C$38, 0.0342, 0)</f>
        <v>25.407499999999999</v>
      </c>
      <c r="H215" s="17">
        <f>25.3733 * CHOOSE(CONTROL!$C$15, $E$9, 100%, $G$9) + CHOOSE(CONTROL!$C$38, 0.0342, 0)</f>
        <v>25.407499999999999</v>
      </c>
      <c r="I215" s="17">
        <f>25.3749 * CHOOSE(CONTROL!$C$15, $E$9, 100%, $G$9) + CHOOSE(CONTROL!$C$38, 0.0342, 0)</f>
        <v>25.409099999999999</v>
      </c>
      <c r="J215" s="44">
        <f>156.7867</f>
        <v>156.7867</v>
      </c>
    </row>
    <row r="216" spans="1:10" ht="15" x14ac:dyDescent="0.2">
      <c r="A216" s="16">
        <v>47484</v>
      </c>
      <c r="B216" s="17">
        <f>27.7509 * CHOOSE(CONTROL!$C$15, $E$9, 100%, $G$9) + CHOOSE(CONTROL!$C$38, 0.034, 0)</f>
        <v>27.7849</v>
      </c>
      <c r="C216" s="17">
        <f>26.1377 * CHOOSE(CONTROL!$C$15, $E$9, 100%, $G$9) + CHOOSE(CONTROL!$C$38, 0.0342, 0)</f>
        <v>26.171899999999997</v>
      </c>
      <c r="D216" s="17">
        <f>26.1299 * CHOOSE(CONTROL!$C$15, $E$9, 100%, $G$9) + CHOOSE(CONTROL!$C$38, 0.0342, 0)</f>
        <v>26.164099999999998</v>
      </c>
      <c r="E216" s="17">
        <f>26.1299 * CHOOSE(CONTROL!$C$15, $E$9, 100%, $G$9) + CHOOSE(CONTROL!$C$38, 0.0342, 0)</f>
        <v>26.164099999999998</v>
      </c>
      <c r="F216" s="45">
        <f>27.7509 * CHOOSE(CONTROL!$C$15, $E$9, 100%, $G$9) + CHOOSE(CONTROL!$C$38, 0.034, 0)</f>
        <v>27.7849</v>
      </c>
      <c r="G216" s="17">
        <f>26.1361 * CHOOSE(CONTROL!$C$15, $E$9, 100%, $G$9) + CHOOSE(CONTROL!$C$38, 0.0342, 0)</f>
        <v>26.170299999999997</v>
      </c>
      <c r="H216" s="17">
        <f>26.1361 * CHOOSE(CONTROL!$C$15, $E$9, 100%, $G$9) + CHOOSE(CONTROL!$C$38, 0.0342, 0)</f>
        <v>26.170299999999997</v>
      </c>
      <c r="I216" s="17">
        <f>26.1377 * CHOOSE(CONTROL!$C$15, $E$9, 100%, $G$9) + CHOOSE(CONTROL!$C$38, 0.0342, 0)</f>
        <v>26.171899999999997</v>
      </c>
      <c r="J216" s="44">
        <f>153.3694</f>
        <v>153.36940000000001</v>
      </c>
    </row>
    <row r="217" spans="1:10" ht="15" x14ac:dyDescent="0.2">
      <c r="A217" s="16">
        <v>47515</v>
      </c>
      <c r="B217" s="17">
        <f>28.1476 * CHOOSE(CONTROL!$C$15, $E$9, 100%, $G$9) + CHOOSE(CONTROL!$C$38, 0.034, 0)</f>
        <v>28.1816</v>
      </c>
      <c r="C217" s="17">
        <f>26.5314 * CHOOSE(CONTROL!$C$15, $E$9, 100%, $G$9) + CHOOSE(CONTROL!$C$38, 0.0342, 0)</f>
        <v>26.5656</v>
      </c>
      <c r="D217" s="17">
        <f>26.5236 * CHOOSE(CONTROL!$C$15, $E$9, 100%, $G$9) + CHOOSE(CONTROL!$C$38, 0.0342, 0)</f>
        <v>26.557799999999997</v>
      </c>
      <c r="E217" s="17">
        <f>26.5236 * CHOOSE(CONTROL!$C$15, $E$9, 100%, $G$9) + CHOOSE(CONTROL!$C$38, 0.0342, 0)</f>
        <v>26.557799999999997</v>
      </c>
      <c r="F217" s="45">
        <f>28.1476 * CHOOSE(CONTROL!$C$15, $E$9, 100%, $G$9) + CHOOSE(CONTROL!$C$38, 0.034, 0)</f>
        <v>28.1816</v>
      </c>
      <c r="G217" s="17">
        <f>26.5298 * CHOOSE(CONTROL!$C$15, $E$9, 100%, $G$9) + CHOOSE(CONTROL!$C$38, 0.0342, 0)</f>
        <v>26.564</v>
      </c>
      <c r="H217" s="17">
        <f>26.5298 * CHOOSE(CONTROL!$C$15, $E$9, 100%, $G$9) + CHOOSE(CONTROL!$C$38, 0.0342, 0)</f>
        <v>26.564</v>
      </c>
      <c r="I217" s="17">
        <f>26.5314 * CHOOSE(CONTROL!$C$15, $E$9, 100%, $G$9) + CHOOSE(CONTROL!$C$38, 0.0342, 0)</f>
        <v>26.5656</v>
      </c>
      <c r="J217" s="44">
        <f>153.2581</f>
        <v>153.25810000000001</v>
      </c>
    </row>
    <row r="218" spans="1:10" ht="15" x14ac:dyDescent="0.2">
      <c r="A218" s="16">
        <v>47543</v>
      </c>
      <c r="B218" s="17">
        <f>27.4138 * CHOOSE(CONTROL!$C$15, $E$9, 100%, $G$9) + CHOOSE(CONTROL!$C$38, 0.034, 0)</f>
        <v>27.447799999999997</v>
      </c>
      <c r="C218" s="17">
        <f>25.7946 * CHOOSE(CONTROL!$C$15, $E$9, 100%, $G$9) + CHOOSE(CONTROL!$C$38, 0.0342, 0)</f>
        <v>25.828799999999998</v>
      </c>
      <c r="D218" s="17">
        <f>25.7868 * CHOOSE(CONTROL!$C$15, $E$9, 100%, $G$9) + CHOOSE(CONTROL!$C$38, 0.0342, 0)</f>
        <v>25.820999999999998</v>
      </c>
      <c r="E218" s="17">
        <f>25.7868 * CHOOSE(CONTROL!$C$15, $E$9, 100%, $G$9) + CHOOSE(CONTROL!$C$38, 0.0342, 0)</f>
        <v>25.820999999999998</v>
      </c>
      <c r="F218" s="45">
        <f>27.4138 * CHOOSE(CONTROL!$C$15, $E$9, 100%, $G$9) + CHOOSE(CONTROL!$C$38, 0.034, 0)</f>
        <v>27.447799999999997</v>
      </c>
      <c r="G218" s="17">
        <f>25.793 * CHOOSE(CONTROL!$C$15, $E$9, 100%, $G$9) + CHOOSE(CONTROL!$C$38, 0.0342, 0)</f>
        <v>25.827199999999998</v>
      </c>
      <c r="H218" s="17">
        <f>25.793 * CHOOSE(CONTROL!$C$15, $E$9, 100%, $G$9) + CHOOSE(CONTROL!$C$38, 0.0342, 0)</f>
        <v>25.827199999999998</v>
      </c>
      <c r="I218" s="17">
        <f>25.7946 * CHOOSE(CONTROL!$C$15, $E$9, 100%, $G$9) + CHOOSE(CONTROL!$C$38, 0.0342, 0)</f>
        <v>25.828799999999998</v>
      </c>
      <c r="J218" s="44">
        <f>161.668</f>
        <v>161.66800000000001</v>
      </c>
    </row>
    <row r="219" spans="1:10" ht="15" x14ac:dyDescent="0.2">
      <c r="A219" s="16">
        <v>47574</v>
      </c>
      <c r="B219" s="17">
        <f>26.7015 * CHOOSE(CONTROL!$C$15, $E$9, 100%, $G$9) + CHOOSE(CONTROL!$C$38, 0.034, 0)</f>
        <v>26.735499999999998</v>
      </c>
      <c r="C219" s="17">
        <f>25.0792 * CHOOSE(CONTROL!$C$15, $E$9, 100%, $G$9) + CHOOSE(CONTROL!$C$38, 0.0342, 0)</f>
        <v>25.113399999999999</v>
      </c>
      <c r="D219" s="17">
        <f>25.0714 * CHOOSE(CONTROL!$C$15, $E$9, 100%, $G$9) + CHOOSE(CONTROL!$C$38, 0.0342, 0)</f>
        <v>25.105599999999999</v>
      </c>
      <c r="E219" s="17">
        <f>25.0714 * CHOOSE(CONTROL!$C$15, $E$9, 100%, $G$9) + CHOOSE(CONTROL!$C$38, 0.0342, 0)</f>
        <v>25.105599999999999</v>
      </c>
      <c r="F219" s="45">
        <f>26.7015 * CHOOSE(CONTROL!$C$15, $E$9, 100%, $G$9) + CHOOSE(CONTROL!$C$38, 0.034, 0)</f>
        <v>26.735499999999998</v>
      </c>
      <c r="G219" s="17">
        <f>25.0776 * CHOOSE(CONTROL!$C$15, $E$9, 100%, $G$9) + CHOOSE(CONTROL!$C$38, 0.0342, 0)</f>
        <v>25.111799999999999</v>
      </c>
      <c r="H219" s="17">
        <f>25.0776 * CHOOSE(CONTROL!$C$15, $E$9, 100%, $G$9) + CHOOSE(CONTROL!$C$38, 0.0342, 0)</f>
        <v>25.111799999999999</v>
      </c>
      <c r="I219" s="17">
        <f>25.0792 * CHOOSE(CONTROL!$C$15, $E$9, 100%, $G$9) + CHOOSE(CONTROL!$C$38, 0.0342, 0)</f>
        <v>25.113399999999999</v>
      </c>
      <c r="J219" s="44">
        <f>172.5189</f>
        <v>172.5189</v>
      </c>
    </row>
    <row r="220" spans="1:10" ht="15" x14ac:dyDescent="0.2">
      <c r="A220" s="16">
        <v>47604</v>
      </c>
      <c r="B220" s="17">
        <f>25.9535 * CHOOSE(CONTROL!$C$15, $E$9, 100%, $G$9) + CHOOSE(CONTROL!$C$38, 0.0353, 0)</f>
        <v>25.988799999999998</v>
      </c>
      <c r="C220" s="17">
        <f>24.3283 * CHOOSE(CONTROL!$C$15, $E$9, 100%, $G$9) + CHOOSE(CONTROL!$C$38, 0.0354, 0)</f>
        <v>24.363699999999998</v>
      </c>
      <c r="D220" s="17">
        <f>24.3204 * CHOOSE(CONTROL!$C$15, $E$9, 100%, $G$9) + CHOOSE(CONTROL!$C$38, 0.0354, 0)</f>
        <v>24.355799999999999</v>
      </c>
      <c r="E220" s="17">
        <f>24.3204 * CHOOSE(CONTROL!$C$15, $E$9, 100%, $G$9) + CHOOSE(CONTROL!$C$38, 0.0354, 0)</f>
        <v>24.355799999999999</v>
      </c>
      <c r="F220" s="45">
        <f>25.9535 * CHOOSE(CONTROL!$C$15, $E$9, 100%, $G$9) + CHOOSE(CONTROL!$C$38, 0.0353, 0)</f>
        <v>25.988799999999998</v>
      </c>
      <c r="G220" s="17">
        <f>24.3267 * CHOOSE(CONTROL!$C$15, $E$9, 100%, $G$9) + CHOOSE(CONTROL!$C$38, 0.0354, 0)</f>
        <v>24.362099999999998</v>
      </c>
      <c r="H220" s="17">
        <f>24.3267 * CHOOSE(CONTROL!$C$15, $E$9, 100%, $G$9) + CHOOSE(CONTROL!$C$38, 0.0354, 0)</f>
        <v>24.362099999999998</v>
      </c>
      <c r="I220" s="17">
        <f>24.3283 * CHOOSE(CONTROL!$C$15, $E$9, 100%, $G$9) + CHOOSE(CONTROL!$C$38, 0.0354, 0)</f>
        <v>24.363699999999998</v>
      </c>
      <c r="J220" s="44">
        <f>178.6756</f>
        <v>178.6756</v>
      </c>
    </row>
    <row r="221" spans="1:10" ht="15" x14ac:dyDescent="0.2">
      <c r="A221" s="16">
        <v>47635</v>
      </c>
      <c r="B221" s="17">
        <f>25.4425 * CHOOSE(CONTROL!$C$15, $E$9, 100%, $G$9) + CHOOSE(CONTROL!$C$38, 0.0353, 0)</f>
        <v>25.477799999999998</v>
      </c>
      <c r="C221" s="17">
        <f>23.8142 * CHOOSE(CONTROL!$C$15, $E$9, 100%, $G$9) + CHOOSE(CONTROL!$C$38, 0.0354, 0)</f>
        <v>23.849599999999999</v>
      </c>
      <c r="D221" s="17">
        <f>23.8064 * CHOOSE(CONTROL!$C$15, $E$9, 100%, $G$9) + CHOOSE(CONTROL!$C$38, 0.0354, 0)</f>
        <v>23.841799999999999</v>
      </c>
      <c r="E221" s="17">
        <f>23.8064 * CHOOSE(CONTROL!$C$15, $E$9, 100%, $G$9) + CHOOSE(CONTROL!$C$38, 0.0354, 0)</f>
        <v>23.841799999999999</v>
      </c>
      <c r="F221" s="45">
        <f>25.4425 * CHOOSE(CONTROL!$C$15, $E$9, 100%, $G$9) + CHOOSE(CONTROL!$C$38, 0.0353, 0)</f>
        <v>25.477799999999998</v>
      </c>
      <c r="G221" s="17">
        <f>23.8127 * CHOOSE(CONTROL!$C$15, $E$9, 100%, $G$9) + CHOOSE(CONTROL!$C$38, 0.0354, 0)</f>
        <v>23.848099999999999</v>
      </c>
      <c r="H221" s="17">
        <f>23.8127 * CHOOSE(CONTROL!$C$15, $E$9, 100%, $G$9) + CHOOSE(CONTROL!$C$38, 0.0354, 0)</f>
        <v>23.848099999999999</v>
      </c>
      <c r="I221" s="17">
        <f>23.8142 * CHOOSE(CONTROL!$C$15, $E$9, 100%, $G$9) + CHOOSE(CONTROL!$C$38, 0.0354, 0)</f>
        <v>23.849599999999999</v>
      </c>
      <c r="J221" s="44">
        <f>181.6235</f>
        <v>181.62350000000001</v>
      </c>
    </row>
    <row r="222" spans="1:10" ht="15" x14ac:dyDescent="0.2">
      <c r="A222" s="16">
        <v>47665</v>
      </c>
      <c r="B222" s="17">
        <f>25.1716 * CHOOSE(CONTROL!$C$15, $E$9, 100%, $G$9) + CHOOSE(CONTROL!$C$38, 0.0353, 0)</f>
        <v>25.206900000000001</v>
      </c>
      <c r="C222" s="17">
        <f>23.5403 * CHOOSE(CONTROL!$C$15, $E$9, 100%, $G$9) + CHOOSE(CONTROL!$C$38, 0.0354, 0)</f>
        <v>23.575699999999998</v>
      </c>
      <c r="D222" s="17">
        <f>23.5325 * CHOOSE(CONTROL!$C$15, $E$9, 100%, $G$9) + CHOOSE(CONTROL!$C$38, 0.0354, 0)</f>
        <v>23.567899999999998</v>
      </c>
      <c r="E222" s="17">
        <f>23.5325 * CHOOSE(CONTROL!$C$15, $E$9, 100%, $G$9) + CHOOSE(CONTROL!$C$38, 0.0354, 0)</f>
        <v>23.567899999999998</v>
      </c>
      <c r="F222" s="45">
        <f>25.1716 * CHOOSE(CONTROL!$C$15, $E$9, 100%, $G$9) + CHOOSE(CONTROL!$C$38, 0.0353, 0)</f>
        <v>25.206900000000001</v>
      </c>
      <c r="G222" s="17">
        <f>23.5387 * CHOOSE(CONTROL!$C$15, $E$9, 100%, $G$9) + CHOOSE(CONTROL!$C$38, 0.0354, 0)</f>
        <v>23.574099999999998</v>
      </c>
      <c r="H222" s="17">
        <f>23.5387 * CHOOSE(CONTROL!$C$15, $E$9, 100%, $G$9) + CHOOSE(CONTROL!$C$38, 0.0354, 0)</f>
        <v>23.574099999999998</v>
      </c>
      <c r="I222" s="17">
        <f>23.5403 * CHOOSE(CONTROL!$C$15, $E$9, 100%, $G$9) + CHOOSE(CONTROL!$C$38, 0.0354, 0)</f>
        <v>23.575699999999998</v>
      </c>
      <c r="J222" s="44">
        <f>181.1465</f>
        <v>181.1465</v>
      </c>
    </row>
    <row r="223" spans="1:10" ht="15" x14ac:dyDescent="0.2">
      <c r="A223" s="16">
        <v>47696</v>
      </c>
      <c r="B223" s="17">
        <f>25.3306 * CHOOSE(CONTROL!$C$15, $E$9, 100%, $G$9) + CHOOSE(CONTROL!$C$38, 0.0353, 0)</f>
        <v>25.3659</v>
      </c>
      <c r="C223" s="17">
        <f>23.6992 * CHOOSE(CONTROL!$C$15, $E$9, 100%, $G$9) + CHOOSE(CONTROL!$C$38, 0.0354, 0)</f>
        <v>23.7346</v>
      </c>
      <c r="D223" s="17">
        <f>23.6914 * CHOOSE(CONTROL!$C$15, $E$9, 100%, $G$9) + CHOOSE(CONTROL!$C$38, 0.0354, 0)</f>
        <v>23.726800000000001</v>
      </c>
      <c r="E223" s="17">
        <f>23.6914 * CHOOSE(CONTROL!$C$15, $E$9, 100%, $G$9) + CHOOSE(CONTROL!$C$38, 0.0354, 0)</f>
        <v>23.726800000000001</v>
      </c>
      <c r="F223" s="45">
        <f>25.3306 * CHOOSE(CONTROL!$C$15, $E$9, 100%, $G$9) + CHOOSE(CONTROL!$C$38, 0.0353, 0)</f>
        <v>25.3659</v>
      </c>
      <c r="G223" s="17">
        <f>23.6977 * CHOOSE(CONTROL!$C$15, $E$9, 100%, $G$9) + CHOOSE(CONTROL!$C$38, 0.0354, 0)</f>
        <v>23.7331</v>
      </c>
      <c r="H223" s="17">
        <f>23.6977 * CHOOSE(CONTROL!$C$15, $E$9, 100%, $G$9) + CHOOSE(CONTROL!$C$38, 0.0354, 0)</f>
        <v>23.7331</v>
      </c>
      <c r="I223" s="17">
        <f>23.6992 * CHOOSE(CONTROL!$C$15, $E$9, 100%, $G$9) + CHOOSE(CONTROL!$C$38, 0.0354, 0)</f>
        <v>23.7346</v>
      </c>
      <c r="J223" s="44">
        <f>176.9294</f>
        <v>176.92939999999999</v>
      </c>
    </row>
    <row r="224" spans="1:10" ht="15" x14ac:dyDescent="0.2">
      <c r="A224" s="16">
        <v>47727</v>
      </c>
      <c r="B224" s="17">
        <f>25.7623 * CHOOSE(CONTROL!$C$15, $E$9, 100%, $G$9) + CHOOSE(CONTROL!$C$38, 0.0353, 0)</f>
        <v>25.797599999999999</v>
      </c>
      <c r="C224" s="17">
        <f>24.1309 * CHOOSE(CONTROL!$C$15, $E$9, 100%, $G$9) + CHOOSE(CONTROL!$C$38, 0.0354, 0)</f>
        <v>24.1663</v>
      </c>
      <c r="D224" s="17">
        <f>24.1231 * CHOOSE(CONTROL!$C$15, $E$9, 100%, $G$9) + CHOOSE(CONTROL!$C$38, 0.0354, 0)</f>
        <v>24.1585</v>
      </c>
      <c r="E224" s="17">
        <f>24.1231 * CHOOSE(CONTROL!$C$15, $E$9, 100%, $G$9) + CHOOSE(CONTROL!$C$38, 0.0354, 0)</f>
        <v>24.1585</v>
      </c>
      <c r="F224" s="45">
        <f>25.7623 * CHOOSE(CONTROL!$C$15, $E$9, 100%, $G$9) + CHOOSE(CONTROL!$C$38, 0.0353, 0)</f>
        <v>25.797599999999999</v>
      </c>
      <c r="G224" s="17">
        <f>24.1294 * CHOOSE(CONTROL!$C$15, $E$9, 100%, $G$9) + CHOOSE(CONTROL!$C$38, 0.0354, 0)</f>
        <v>24.1648</v>
      </c>
      <c r="H224" s="17">
        <f>24.1294 * CHOOSE(CONTROL!$C$15, $E$9, 100%, $G$9) + CHOOSE(CONTROL!$C$38, 0.0354, 0)</f>
        <v>24.1648</v>
      </c>
      <c r="I224" s="17">
        <f>24.1309 * CHOOSE(CONTROL!$C$15, $E$9, 100%, $G$9) + CHOOSE(CONTROL!$C$38, 0.0354, 0)</f>
        <v>24.1663</v>
      </c>
      <c r="J224" s="44">
        <f>171.0486</f>
        <v>171.04859999999999</v>
      </c>
    </row>
    <row r="225" spans="1:10" ht="15" x14ac:dyDescent="0.2">
      <c r="A225" s="16">
        <v>47757</v>
      </c>
      <c r="B225" s="17">
        <f>26.1238 * CHOOSE(CONTROL!$C$15, $E$9, 100%, $G$9) + CHOOSE(CONTROL!$C$38, 0.034, 0)</f>
        <v>26.157799999999998</v>
      </c>
      <c r="C225" s="17">
        <f>24.4925 * CHOOSE(CONTROL!$C$15, $E$9, 100%, $G$9) + CHOOSE(CONTROL!$C$38, 0.0342, 0)</f>
        <v>24.526699999999998</v>
      </c>
      <c r="D225" s="17">
        <f>24.4847 * CHOOSE(CONTROL!$C$15, $E$9, 100%, $G$9) + CHOOSE(CONTROL!$C$38, 0.0342, 0)</f>
        <v>24.518899999999999</v>
      </c>
      <c r="E225" s="17">
        <f>24.4847 * CHOOSE(CONTROL!$C$15, $E$9, 100%, $G$9) + CHOOSE(CONTROL!$C$38, 0.0342, 0)</f>
        <v>24.518899999999999</v>
      </c>
      <c r="F225" s="45">
        <f>26.1238 * CHOOSE(CONTROL!$C$15, $E$9, 100%, $G$9) + CHOOSE(CONTROL!$C$38, 0.034, 0)</f>
        <v>26.157799999999998</v>
      </c>
      <c r="G225" s="17">
        <f>24.4909 * CHOOSE(CONTROL!$C$15, $E$9, 100%, $G$9) + CHOOSE(CONTROL!$C$38, 0.0342, 0)</f>
        <v>24.525099999999998</v>
      </c>
      <c r="H225" s="17">
        <f>24.4909 * CHOOSE(CONTROL!$C$15, $E$9, 100%, $G$9) + CHOOSE(CONTROL!$C$38, 0.0342, 0)</f>
        <v>24.525099999999998</v>
      </c>
      <c r="I225" s="17">
        <f>24.4925 * CHOOSE(CONTROL!$C$15, $E$9, 100%, $G$9) + CHOOSE(CONTROL!$C$38, 0.0342, 0)</f>
        <v>24.526699999999998</v>
      </c>
      <c r="J225" s="44">
        <f>165.1336</f>
        <v>165.1336</v>
      </c>
    </row>
    <row r="226" spans="1:10" ht="15" x14ac:dyDescent="0.2">
      <c r="A226" s="16">
        <v>47788</v>
      </c>
      <c r="B226" s="17">
        <f>26.4256 * CHOOSE(CONTROL!$C$15, $E$9, 100%, $G$9) + CHOOSE(CONTROL!$C$38, 0.034, 0)</f>
        <v>26.459599999999998</v>
      </c>
      <c r="C226" s="17">
        <f>24.7942 * CHOOSE(CONTROL!$C$15, $E$9, 100%, $G$9) + CHOOSE(CONTROL!$C$38, 0.0342, 0)</f>
        <v>24.828399999999998</v>
      </c>
      <c r="D226" s="17">
        <f>24.7864 * CHOOSE(CONTROL!$C$15, $E$9, 100%, $G$9) + CHOOSE(CONTROL!$C$38, 0.0342, 0)</f>
        <v>24.820599999999999</v>
      </c>
      <c r="E226" s="17">
        <f>24.7864 * CHOOSE(CONTROL!$C$15, $E$9, 100%, $G$9) + CHOOSE(CONTROL!$C$38, 0.0342, 0)</f>
        <v>24.820599999999999</v>
      </c>
      <c r="F226" s="45">
        <f>26.4256 * CHOOSE(CONTROL!$C$15, $E$9, 100%, $G$9) + CHOOSE(CONTROL!$C$38, 0.034, 0)</f>
        <v>26.459599999999998</v>
      </c>
      <c r="G226" s="17">
        <f>24.7926 * CHOOSE(CONTROL!$C$15, $E$9, 100%, $G$9) + CHOOSE(CONTROL!$C$38, 0.0342, 0)</f>
        <v>24.826799999999999</v>
      </c>
      <c r="H226" s="17">
        <f>24.7926 * CHOOSE(CONTROL!$C$15, $E$9, 100%, $G$9) + CHOOSE(CONTROL!$C$38, 0.0342, 0)</f>
        <v>24.826799999999999</v>
      </c>
      <c r="I226" s="17">
        <f>24.7942 * CHOOSE(CONTROL!$C$15, $E$9, 100%, $G$9) + CHOOSE(CONTROL!$C$38, 0.0342, 0)</f>
        <v>24.828399999999998</v>
      </c>
      <c r="J226" s="44">
        <f>163.957</f>
        <v>163.95699999999999</v>
      </c>
    </row>
    <row r="227" spans="1:10" ht="15" x14ac:dyDescent="0.2">
      <c r="A227" s="16">
        <v>47818</v>
      </c>
      <c r="B227" s="17">
        <f>27.3552 * CHOOSE(CONTROL!$C$15, $E$9, 100%, $G$9) + CHOOSE(CONTROL!$C$38, 0.034, 0)</f>
        <v>27.389199999999999</v>
      </c>
      <c r="C227" s="17">
        <f>25.7239 * CHOOSE(CONTROL!$C$15, $E$9, 100%, $G$9) + CHOOSE(CONTROL!$C$38, 0.0342, 0)</f>
        <v>25.758099999999999</v>
      </c>
      <c r="D227" s="17">
        <f>25.7161 * CHOOSE(CONTROL!$C$15, $E$9, 100%, $G$9) + CHOOSE(CONTROL!$C$38, 0.0342, 0)</f>
        <v>25.750299999999999</v>
      </c>
      <c r="E227" s="17">
        <f>25.7161 * CHOOSE(CONTROL!$C$15, $E$9, 100%, $G$9) + CHOOSE(CONTROL!$C$38, 0.0342, 0)</f>
        <v>25.750299999999999</v>
      </c>
      <c r="F227" s="45">
        <f>27.3552 * CHOOSE(CONTROL!$C$15, $E$9, 100%, $G$9) + CHOOSE(CONTROL!$C$38, 0.034, 0)</f>
        <v>27.389199999999999</v>
      </c>
      <c r="G227" s="17">
        <f>25.7223 * CHOOSE(CONTROL!$C$15, $E$9, 100%, $G$9) + CHOOSE(CONTROL!$C$38, 0.0342, 0)</f>
        <v>25.756499999999999</v>
      </c>
      <c r="H227" s="17">
        <f>25.7223 * CHOOSE(CONTROL!$C$15, $E$9, 100%, $G$9) + CHOOSE(CONTROL!$C$38, 0.0342, 0)</f>
        <v>25.756499999999999</v>
      </c>
      <c r="I227" s="17">
        <f>25.7239 * CHOOSE(CONTROL!$C$15, $E$9, 100%, $G$9) + CHOOSE(CONTROL!$C$38, 0.0342, 0)</f>
        <v>25.758099999999999</v>
      </c>
      <c r="J227" s="44">
        <f>159.0915</f>
        <v>159.0915</v>
      </c>
    </row>
    <row r="228" spans="1:10" ht="15" x14ac:dyDescent="0.2">
      <c r="A228" s="16">
        <v>47849</v>
      </c>
      <c r="B228" s="17">
        <f>28.5239 * CHOOSE(CONTROL!$C$15, $E$9, 100%, $G$9) + CHOOSE(CONTROL!$C$38, 0.034, 0)</f>
        <v>28.5579</v>
      </c>
      <c r="C228" s="17">
        <f>26.8678 * CHOOSE(CONTROL!$C$15, $E$9, 100%, $G$9) + CHOOSE(CONTROL!$C$38, 0.0342, 0)</f>
        <v>26.901999999999997</v>
      </c>
      <c r="D228" s="17">
        <f>26.8599 * CHOOSE(CONTROL!$C$15, $E$9, 100%, $G$9) + CHOOSE(CONTROL!$C$38, 0.0342, 0)</f>
        <v>26.894099999999998</v>
      </c>
      <c r="E228" s="17">
        <f>26.8599 * CHOOSE(CONTROL!$C$15, $E$9, 100%, $G$9) + CHOOSE(CONTROL!$C$38, 0.0342, 0)</f>
        <v>26.894099999999998</v>
      </c>
      <c r="F228" s="45">
        <f>28.5239 * CHOOSE(CONTROL!$C$15, $E$9, 100%, $G$9) + CHOOSE(CONTROL!$C$38, 0.034, 0)</f>
        <v>28.5579</v>
      </c>
      <c r="G228" s="17">
        <f>26.8662 * CHOOSE(CONTROL!$C$15, $E$9, 100%, $G$9) + CHOOSE(CONTROL!$C$38, 0.0342, 0)</f>
        <v>26.900399999999998</v>
      </c>
      <c r="H228" s="17">
        <f>26.8662 * CHOOSE(CONTROL!$C$15, $E$9, 100%, $G$9) + CHOOSE(CONTROL!$C$38, 0.0342, 0)</f>
        <v>26.900399999999998</v>
      </c>
      <c r="I228" s="17">
        <f>26.8678 * CHOOSE(CONTROL!$C$15, $E$9, 100%, $G$9) + CHOOSE(CONTROL!$C$38, 0.0342, 0)</f>
        <v>26.901999999999997</v>
      </c>
      <c r="J228" s="44">
        <f>158.9767</f>
        <v>158.97669999999999</v>
      </c>
    </row>
    <row r="229" spans="1:10" ht="15" x14ac:dyDescent="0.2">
      <c r="A229" s="16">
        <v>47880</v>
      </c>
      <c r="B229" s="17">
        <f>28.8682 * CHOOSE(CONTROL!$C$15, $E$9, 100%, $G$9) + CHOOSE(CONTROL!$C$38, 0.034, 0)</f>
        <v>28.902200000000001</v>
      </c>
      <c r="C229" s="17">
        <f>27.2121 * CHOOSE(CONTROL!$C$15, $E$9, 100%, $G$9) + CHOOSE(CONTROL!$C$38, 0.0342, 0)</f>
        <v>27.246299999999998</v>
      </c>
      <c r="D229" s="17">
        <f>27.2043 * CHOOSE(CONTROL!$C$15, $E$9, 100%, $G$9) + CHOOSE(CONTROL!$C$38, 0.0342, 0)</f>
        <v>27.238499999999998</v>
      </c>
      <c r="E229" s="17">
        <f>27.2043 * CHOOSE(CONTROL!$C$15, $E$9, 100%, $G$9) + CHOOSE(CONTROL!$C$38, 0.0342, 0)</f>
        <v>27.238499999999998</v>
      </c>
      <c r="F229" s="45">
        <f>28.8682 * CHOOSE(CONTROL!$C$15, $E$9, 100%, $G$9) + CHOOSE(CONTROL!$C$38, 0.034, 0)</f>
        <v>28.902200000000001</v>
      </c>
      <c r="G229" s="17">
        <f>27.2105 * CHOOSE(CONTROL!$C$15, $E$9, 100%, $G$9) + CHOOSE(CONTROL!$C$38, 0.0342, 0)</f>
        <v>27.244699999999998</v>
      </c>
      <c r="H229" s="17">
        <f>27.2105 * CHOOSE(CONTROL!$C$15, $E$9, 100%, $G$9) + CHOOSE(CONTROL!$C$38, 0.0342, 0)</f>
        <v>27.244699999999998</v>
      </c>
      <c r="I229" s="17">
        <f>27.2121 * CHOOSE(CONTROL!$C$15, $E$9, 100%, $G$9) + CHOOSE(CONTROL!$C$38, 0.0342, 0)</f>
        <v>27.246299999999998</v>
      </c>
      <c r="J229" s="44">
        <f>158.5348</f>
        <v>158.53479999999999</v>
      </c>
    </row>
    <row r="230" spans="1:10" ht="15" x14ac:dyDescent="0.2">
      <c r="A230" s="16">
        <v>47908</v>
      </c>
      <c r="B230" s="17">
        <f>28.0712 * CHOOSE(CONTROL!$C$15, $E$9, 100%, $G$9) + CHOOSE(CONTROL!$C$38, 0.034, 0)</f>
        <v>28.1052</v>
      </c>
      <c r="C230" s="17">
        <f>26.415 * CHOOSE(CONTROL!$C$15, $E$9, 100%, $G$9) + CHOOSE(CONTROL!$C$38, 0.0342, 0)</f>
        <v>26.449199999999998</v>
      </c>
      <c r="D230" s="17">
        <f>26.4072 * CHOOSE(CONTROL!$C$15, $E$9, 100%, $G$9) + CHOOSE(CONTROL!$C$38, 0.0342, 0)</f>
        <v>26.441399999999998</v>
      </c>
      <c r="E230" s="17">
        <f>26.4072 * CHOOSE(CONTROL!$C$15, $E$9, 100%, $G$9) + CHOOSE(CONTROL!$C$38, 0.0342, 0)</f>
        <v>26.441399999999998</v>
      </c>
      <c r="F230" s="45">
        <f>28.0712 * CHOOSE(CONTROL!$C$15, $E$9, 100%, $G$9) + CHOOSE(CONTROL!$C$38, 0.034, 0)</f>
        <v>28.1052</v>
      </c>
      <c r="G230" s="17">
        <f>26.4135 * CHOOSE(CONTROL!$C$15, $E$9, 100%, $G$9) + CHOOSE(CONTROL!$C$38, 0.0342, 0)</f>
        <v>26.447699999999998</v>
      </c>
      <c r="H230" s="17">
        <f>26.4135 * CHOOSE(CONTROL!$C$15, $E$9, 100%, $G$9) + CHOOSE(CONTROL!$C$38, 0.0342, 0)</f>
        <v>26.447699999999998</v>
      </c>
      <c r="I230" s="17">
        <f>26.415 * CHOOSE(CONTROL!$C$15, $E$9, 100%, $G$9) + CHOOSE(CONTROL!$C$38, 0.0342, 0)</f>
        <v>26.449199999999998</v>
      </c>
      <c r="J230" s="44">
        <f>166.8905</f>
        <v>166.8905</v>
      </c>
    </row>
    <row r="231" spans="1:10" ht="15" x14ac:dyDescent="0.2">
      <c r="A231" s="16">
        <v>47939</v>
      </c>
      <c r="B231" s="17">
        <f>27.2988 * CHOOSE(CONTROL!$C$15, $E$9, 100%, $G$9) + CHOOSE(CONTROL!$C$38, 0.034, 0)</f>
        <v>27.332799999999999</v>
      </c>
      <c r="C231" s="17">
        <f>25.6427 * CHOOSE(CONTROL!$C$15, $E$9, 100%, $G$9) + CHOOSE(CONTROL!$C$38, 0.0342, 0)</f>
        <v>25.6769</v>
      </c>
      <c r="D231" s="17">
        <f>25.6349 * CHOOSE(CONTROL!$C$15, $E$9, 100%, $G$9) + CHOOSE(CONTROL!$C$38, 0.0342, 0)</f>
        <v>25.669099999999997</v>
      </c>
      <c r="E231" s="17">
        <f>25.6349 * CHOOSE(CONTROL!$C$15, $E$9, 100%, $G$9) + CHOOSE(CONTROL!$C$38, 0.0342, 0)</f>
        <v>25.669099999999997</v>
      </c>
      <c r="F231" s="45">
        <f>27.2988 * CHOOSE(CONTROL!$C$15, $E$9, 100%, $G$9) + CHOOSE(CONTROL!$C$38, 0.034, 0)</f>
        <v>27.332799999999999</v>
      </c>
      <c r="G231" s="17">
        <f>25.6412 * CHOOSE(CONTROL!$C$15, $E$9, 100%, $G$9) + CHOOSE(CONTROL!$C$38, 0.0342, 0)</f>
        <v>25.6754</v>
      </c>
      <c r="H231" s="17">
        <f>25.6412 * CHOOSE(CONTROL!$C$15, $E$9, 100%, $G$9) + CHOOSE(CONTROL!$C$38, 0.0342, 0)</f>
        <v>25.6754</v>
      </c>
      <c r="I231" s="17">
        <f>25.6427 * CHOOSE(CONTROL!$C$15, $E$9, 100%, $G$9) + CHOOSE(CONTROL!$C$38, 0.0342, 0)</f>
        <v>25.6769</v>
      </c>
      <c r="J231" s="44">
        <f>177.7258</f>
        <v>177.72579999999999</v>
      </c>
    </row>
    <row r="232" spans="1:10" ht="15" x14ac:dyDescent="0.2">
      <c r="A232" s="16">
        <v>47969</v>
      </c>
      <c r="B232" s="17">
        <f>26.4939 * CHOOSE(CONTROL!$C$15, $E$9, 100%, $G$9) + CHOOSE(CONTROL!$C$38, 0.0353, 0)</f>
        <v>26.529199999999999</v>
      </c>
      <c r="C232" s="17">
        <f>24.8378 * CHOOSE(CONTROL!$C$15, $E$9, 100%, $G$9) + CHOOSE(CONTROL!$C$38, 0.0354, 0)</f>
        <v>24.873200000000001</v>
      </c>
      <c r="D232" s="17">
        <f>24.8299 * CHOOSE(CONTROL!$C$15, $E$9, 100%, $G$9) + CHOOSE(CONTROL!$C$38, 0.0354, 0)</f>
        <v>24.865299999999998</v>
      </c>
      <c r="E232" s="17">
        <f>24.8299 * CHOOSE(CONTROL!$C$15, $E$9, 100%, $G$9) + CHOOSE(CONTROL!$C$38, 0.0354, 0)</f>
        <v>24.865299999999998</v>
      </c>
      <c r="F232" s="45">
        <f>26.4939 * CHOOSE(CONTROL!$C$15, $E$9, 100%, $G$9) + CHOOSE(CONTROL!$C$38, 0.0353, 0)</f>
        <v>26.529199999999999</v>
      </c>
      <c r="G232" s="17">
        <f>24.8362 * CHOOSE(CONTROL!$C$15, $E$9, 100%, $G$9) + CHOOSE(CONTROL!$C$38, 0.0354, 0)</f>
        <v>24.871600000000001</v>
      </c>
      <c r="H232" s="17">
        <f>24.8362 * CHOOSE(CONTROL!$C$15, $E$9, 100%, $G$9) + CHOOSE(CONTROL!$C$38, 0.0354, 0)</f>
        <v>24.871600000000001</v>
      </c>
      <c r="I232" s="17">
        <f>24.8378 * CHOOSE(CONTROL!$C$15, $E$9, 100%, $G$9) + CHOOSE(CONTROL!$C$38, 0.0354, 0)</f>
        <v>24.873200000000001</v>
      </c>
      <c r="J232" s="44">
        <f>183.6899</f>
        <v>183.68989999999999</v>
      </c>
    </row>
    <row r="233" spans="1:10" ht="15" x14ac:dyDescent="0.2">
      <c r="A233" s="16">
        <v>48000</v>
      </c>
      <c r="B233" s="17">
        <f>25.9295 * CHOOSE(CONTROL!$C$15, $E$9, 100%, $G$9) + CHOOSE(CONTROL!$C$38, 0.0353, 0)</f>
        <v>25.9648</v>
      </c>
      <c r="C233" s="17">
        <f>24.2734 * CHOOSE(CONTROL!$C$15, $E$9, 100%, $G$9) + CHOOSE(CONTROL!$C$38, 0.0354, 0)</f>
        <v>24.308799999999998</v>
      </c>
      <c r="D233" s="17">
        <f>24.2656 * CHOOSE(CONTROL!$C$15, $E$9, 100%, $G$9) + CHOOSE(CONTROL!$C$38, 0.0354, 0)</f>
        <v>24.300999999999998</v>
      </c>
      <c r="E233" s="17">
        <f>24.2656 * CHOOSE(CONTROL!$C$15, $E$9, 100%, $G$9) + CHOOSE(CONTROL!$C$38, 0.0354, 0)</f>
        <v>24.300999999999998</v>
      </c>
      <c r="F233" s="45">
        <f>25.9295 * CHOOSE(CONTROL!$C$15, $E$9, 100%, $G$9) + CHOOSE(CONTROL!$C$38, 0.0353, 0)</f>
        <v>25.9648</v>
      </c>
      <c r="G233" s="17">
        <f>24.2719 * CHOOSE(CONTROL!$C$15, $E$9, 100%, $G$9) + CHOOSE(CONTROL!$C$38, 0.0354, 0)</f>
        <v>24.307299999999998</v>
      </c>
      <c r="H233" s="17">
        <f>24.2719 * CHOOSE(CONTROL!$C$15, $E$9, 100%, $G$9) + CHOOSE(CONTROL!$C$38, 0.0354, 0)</f>
        <v>24.307299999999998</v>
      </c>
      <c r="I233" s="17">
        <f>24.2734 * CHOOSE(CONTROL!$C$15, $E$9, 100%, $G$9) + CHOOSE(CONTROL!$C$38, 0.0354, 0)</f>
        <v>24.308799999999998</v>
      </c>
      <c r="J233" s="44">
        <f>186.3367</f>
        <v>186.33670000000001</v>
      </c>
    </row>
    <row r="234" spans="1:10" ht="15" x14ac:dyDescent="0.2">
      <c r="A234" s="16">
        <v>48030</v>
      </c>
      <c r="B234" s="17">
        <f>25.6075 * CHOOSE(CONTROL!$C$15, $E$9, 100%, $G$9) + CHOOSE(CONTROL!$C$38, 0.0353, 0)</f>
        <v>25.642800000000001</v>
      </c>
      <c r="C234" s="17">
        <f>23.9514 * CHOOSE(CONTROL!$C$15, $E$9, 100%, $G$9) + CHOOSE(CONTROL!$C$38, 0.0354, 0)</f>
        <v>23.986799999999999</v>
      </c>
      <c r="D234" s="17">
        <f>23.9436 * CHOOSE(CONTROL!$C$15, $E$9, 100%, $G$9) + CHOOSE(CONTROL!$C$38, 0.0354, 0)</f>
        <v>23.978999999999999</v>
      </c>
      <c r="E234" s="17">
        <f>23.9436 * CHOOSE(CONTROL!$C$15, $E$9, 100%, $G$9) + CHOOSE(CONTROL!$C$38, 0.0354, 0)</f>
        <v>23.978999999999999</v>
      </c>
      <c r="F234" s="45">
        <f>25.6075 * CHOOSE(CONTROL!$C$15, $E$9, 100%, $G$9) + CHOOSE(CONTROL!$C$38, 0.0353, 0)</f>
        <v>25.642800000000001</v>
      </c>
      <c r="G234" s="17">
        <f>23.9498 * CHOOSE(CONTROL!$C$15, $E$9, 100%, $G$9) + CHOOSE(CONTROL!$C$38, 0.0354, 0)</f>
        <v>23.985199999999999</v>
      </c>
      <c r="H234" s="17">
        <f>23.9498 * CHOOSE(CONTROL!$C$15, $E$9, 100%, $G$9) + CHOOSE(CONTROL!$C$38, 0.0354, 0)</f>
        <v>23.985199999999999</v>
      </c>
      <c r="I234" s="17">
        <f>23.9514 * CHOOSE(CONTROL!$C$15, $E$9, 100%, $G$9) + CHOOSE(CONTROL!$C$38, 0.0354, 0)</f>
        <v>23.986799999999999</v>
      </c>
      <c r="J234" s="44">
        <f>185.4653</f>
        <v>185.46530000000001</v>
      </c>
    </row>
    <row r="235" spans="1:10" ht="15" x14ac:dyDescent="0.2">
      <c r="A235" s="16">
        <v>48061</v>
      </c>
      <c r="B235" s="17">
        <f>25.7664 * CHOOSE(CONTROL!$C$15, $E$9, 100%, $G$9) + CHOOSE(CONTROL!$C$38, 0.0353, 0)</f>
        <v>25.8017</v>
      </c>
      <c r="C235" s="17">
        <f>24.1103 * CHOOSE(CONTROL!$C$15, $E$9, 100%, $G$9) + CHOOSE(CONTROL!$C$38, 0.0354, 0)</f>
        <v>24.145699999999998</v>
      </c>
      <c r="D235" s="17">
        <f>24.1025 * CHOOSE(CONTROL!$C$15, $E$9, 100%, $G$9) + CHOOSE(CONTROL!$C$38, 0.0354, 0)</f>
        <v>24.137899999999998</v>
      </c>
      <c r="E235" s="17">
        <f>24.1025 * CHOOSE(CONTROL!$C$15, $E$9, 100%, $G$9) + CHOOSE(CONTROL!$C$38, 0.0354, 0)</f>
        <v>24.137899999999998</v>
      </c>
      <c r="F235" s="45">
        <f>25.7664 * CHOOSE(CONTROL!$C$15, $E$9, 100%, $G$9) + CHOOSE(CONTROL!$C$38, 0.0353, 0)</f>
        <v>25.8017</v>
      </c>
      <c r="G235" s="17">
        <f>24.1087 * CHOOSE(CONTROL!$C$15, $E$9, 100%, $G$9) + CHOOSE(CONTROL!$C$38, 0.0354, 0)</f>
        <v>24.144099999999998</v>
      </c>
      <c r="H235" s="17">
        <f>24.1087 * CHOOSE(CONTROL!$C$15, $E$9, 100%, $G$9) + CHOOSE(CONTROL!$C$38, 0.0354, 0)</f>
        <v>24.144099999999998</v>
      </c>
      <c r="I235" s="17">
        <f>24.1103 * CHOOSE(CONTROL!$C$15, $E$9, 100%, $G$9) + CHOOSE(CONTROL!$C$38, 0.0354, 0)</f>
        <v>24.145699999999998</v>
      </c>
      <c r="J235" s="44">
        <f>181.1477</f>
        <v>181.14769999999999</v>
      </c>
    </row>
    <row r="236" spans="1:10" ht="15" x14ac:dyDescent="0.2">
      <c r="A236" s="16">
        <v>48092</v>
      </c>
      <c r="B236" s="17">
        <f>26.1981 * CHOOSE(CONTROL!$C$15, $E$9, 100%, $G$9) + CHOOSE(CONTROL!$C$38, 0.0353, 0)</f>
        <v>26.2334</v>
      </c>
      <c r="C236" s="17">
        <f>24.542 * CHOOSE(CONTROL!$C$15, $E$9, 100%, $G$9) + CHOOSE(CONTROL!$C$38, 0.0354, 0)</f>
        <v>24.577400000000001</v>
      </c>
      <c r="D236" s="17">
        <f>24.5342 * CHOOSE(CONTROL!$C$15, $E$9, 100%, $G$9) + CHOOSE(CONTROL!$C$38, 0.0354, 0)</f>
        <v>24.569599999999998</v>
      </c>
      <c r="E236" s="17">
        <f>24.5342 * CHOOSE(CONTROL!$C$15, $E$9, 100%, $G$9) + CHOOSE(CONTROL!$C$38, 0.0354, 0)</f>
        <v>24.569599999999998</v>
      </c>
      <c r="F236" s="45">
        <f>26.1981 * CHOOSE(CONTROL!$C$15, $E$9, 100%, $G$9) + CHOOSE(CONTROL!$C$38, 0.0353, 0)</f>
        <v>26.2334</v>
      </c>
      <c r="G236" s="17">
        <f>24.5405 * CHOOSE(CONTROL!$C$15, $E$9, 100%, $G$9) + CHOOSE(CONTROL!$C$38, 0.0354, 0)</f>
        <v>24.575900000000001</v>
      </c>
      <c r="H236" s="17">
        <f>24.5405 * CHOOSE(CONTROL!$C$15, $E$9, 100%, $G$9) + CHOOSE(CONTROL!$C$38, 0.0354, 0)</f>
        <v>24.575900000000001</v>
      </c>
      <c r="I236" s="17">
        <f>24.542 * CHOOSE(CONTROL!$C$15, $E$9, 100%, $G$9) + CHOOSE(CONTROL!$C$38, 0.0354, 0)</f>
        <v>24.577400000000001</v>
      </c>
      <c r="J236" s="44">
        <f>175.1267</f>
        <v>175.1267</v>
      </c>
    </row>
    <row r="237" spans="1:10" ht="15" x14ac:dyDescent="0.2">
      <c r="A237" s="16">
        <v>48122</v>
      </c>
      <c r="B237" s="17">
        <f>26.5597 * CHOOSE(CONTROL!$C$15, $E$9, 100%, $G$9) + CHOOSE(CONTROL!$C$38, 0.034, 0)</f>
        <v>26.593699999999998</v>
      </c>
      <c r="C237" s="17">
        <f>24.9036 * CHOOSE(CONTROL!$C$15, $E$9, 100%, $G$9) + CHOOSE(CONTROL!$C$38, 0.0342, 0)</f>
        <v>24.937799999999999</v>
      </c>
      <c r="D237" s="17">
        <f>24.8958 * CHOOSE(CONTROL!$C$15, $E$9, 100%, $G$9) + CHOOSE(CONTROL!$C$38, 0.0342, 0)</f>
        <v>24.93</v>
      </c>
      <c r="E237" s="17">
        <f>24.8958 * CHOOSE(CONTROL!$C$15, $E$9, 100%, $G$9) + CHOOSE(CONTROL!$C$38, 0.0342, 0)</f>
        <v>24.93</v>
      </c>
      <c r="F237" s="45">
        <f>26.5597 * CHOOSE(CONTROL!$C$15, $E$9, 100%, $G$9) + CHOOSE(CONTROL!$C$38, 0.034, 0)</f>
        <v>26.593699999999998</v>
      </c>
      <c r="G237" s="17">
        <f>24.902 * CHOOSE(CONTROL!$C$15, $E$9, 100%, $G$9) + CHOOSE(CONTROL!$C$38, 0.0342, 0)</f>
        <v>24.936199999999999</v>
      </c>
      <c r="H237" s="17">
        <f>24.902 * CHOOSE(CONTROL!$C$15, $E$9, 100%, $G$9) + CHOOSE(CONTROL!$C$38, 0.0342, 0)</f>
        <v>24.936199999999999</v>
      </c>
      <c r="I237" s="17">
        <f>24.9036 * CHOOSE(CONTROL!$C$15, $E$9, 100%, $G$9) + CHOOSE(CONTROL!$C$38, 0.0342, 0)</f>
        <v>24.937799999999999</v>
      </c>
      <c r="J237" s="44">
        <f>169.0706</f>
        <v>169.07060000000001</v>
      </c>
    </row>
    <row r="238" spans="1:10" ht="15" x14ac:dyDescent="0.2">
      <c r="A238" s="16">
        <v>48153</v>
      </c>
      <c r="B238" s="17">
        <f>26.8614 * CHOOSE(CONTROL!$C$15, $E$9, 100%, $G$9) + CHOOSE(CONTROL!$C$38, 0.034, 0)</f>
        <v>26.895399999999999</v>
      </c>
      <c r="C238" s="17">
        <f>25.2053 * CHOOSE(CONTROL!$C$15, $E$9, 100%, $G$9) + CHOOSE(CONTROL!$C$38, 0.0342, 0)</f>
        <v>25.2395</v>
      </c>
      <c r="D238" s="17">
        <f>25.1975 * CHOOSE(CONTROL!$C$15, $E$9, 100%, $G$9) + CHOOSE(CONTROL!$C$38, 0.0342, 0)</f>
        <v>25.2317</v>
      </c>
      <c r="E238" s="17">
        <f>25.1975 * CHOOSE(CONTROL!$C$15, $E$9, 100%, $G$9) + CHOOSE(CONTROL!$C$38, 0.0342, 0)</f>
        <v>25.2317</v>
      </c>
      <c r="F238" s="45">
        <f>26.8614 * CHOOSE(CONTROL!$C$15, $E$9, 100%, $G$9) + CHOOSE(CONTROL!$C$38, 0.034, 0)</f>
        <v>26.895399999999999</v>
      </c>
      <c r="G238" s="17">
        <f>25.2037 * CHOOSE(CONTROL!$C$15, $E$9, 100%, $G$9) + CHOOSE(CONTROL!$C$38, 0.0342, 0)</f>
        <v>25.2379</v>
      </c>
      <c r="H238" s="17">
        <f>25.2037 * CHOOSE(CONTROL!$C$15, $E$9, 100%, $G$9) + CHOOSE(CONTROL!$C$38, 0.0342, 0)</f>
        <v>25.2379</v>
      </c>
      <c r="I238" s="17">
        <f>25.2053 * CHOOSE(CONTROL!$C$15, $E$9, 100%, $G$9) + CHOOSE(CONTROL!$C$38, 0.0342, 0)</f>
        <v>25.2395</v>
      </c>
      <c r="J238" s="44">
        <f>167.8659</f>
        <v>167.86590000000001</v>
      </c>
    </row>
    <row r="239" spans="1:10" ht="15" x14ac:dyDescent="0.2">
      <c r="A239" s="16">
        <v>48183</v>
      </c>
      <c r="B239" s="17">
        <f>27.7911 * CHOOSE(CONTROL!$C$15, $E$9, 100%, $G$9) + CHOOSE(CONTROL!$C$38, 0.034, 0)</f>
        <v>27.825099999999999</v>
      </c>
      <c r="C239" s="17">
        <f>26.135 * CHOOSE(CONTROL!$C$15, $E$9, 100%, $G$9) + CHOOSE(CONTROL!$C$38, 0.0342, 0)</f>
        <v>26.1692</v>
      </c>
      <c r="D239" s="17">
        <f>26.1271 * CHOOSE(CONTROL!$C$15, $E$9, 100%, $G$9) + CHOOSE(CONTROL!$C$38, 0.0342, 0)</f>
        <v>26.161299999999997</v>
      </c>
      <c r="E239" s="17">
        <f>26.1271 * CHOOSE(CONTROL!$C$15, $E$9, 100%, $G$9) + CHOOSE(CONTROL!$C$38, 0.0342, 0)</f>
        <v>26.161299999999997</v>
      </c>
      <c r="F239" s="45">
        <f>27.7911 * CHOOSE(CONTROL!$C$15, $E$9, 100%, $G$9) + CHOOSE(CONTROL!$C$38, 0.034, 0)</f>
        <v>27.825099999999999</v>
      </c>
      <c r="G239" s="17">
        <f>26.1334 * CHOOSE(CONTROL!$C$15, $E$9, 100%, $G$9) + CHOOSE(CONTROL!$C$38, 0.0342, 0)</f>
        <v>26.1676</v>
      </c>
      <c r="H239" s="17">
        <f>26.1334 * CHOOSE(CONTROL!$C$15, $E$9, 100%, $G$9) + CHOOSE(CONTROL!$C$38, 0.0342, 0)</f>
        <v>26.1676</v>
      </c>
      <c r="I239" s="17">
        <f>26.135 * CHOOSE(CONTROL!$C$15, $E$9, 100%, $G$9) + CHOOSE(CONTROL!$C$38, 0.0342, 0)</f>
        <v>26.1692</v>
      </c>
      <c r="J239" s="44">
        <f>162.8845</f>
        <v>162.8845</v>
      </c>
    </row>
    <row r="240" spans="1:10" ht="15" x14ac:dyDescent="0.2">
      <c r="A240" s="16">
        <v>48214</v>
      </c>
      <c r="B240" s="17">
        <f>28.9671 * CHOOSE(CONTROL!$C$15, $E$9, 100%, $G$9) + CHOOSE(CONTROL!$C$38, 0.034, 0)</f>
        <v>29.001099999999997</v>
      </c>
      <c r="C240" s="17">
        <f>27.2857 * CHOOSE(CONTROL!$C$15, $E$9, 100%, $G$9) + CHOOSE(CONTROL!$C$38, 0.0342, 0)</f>
        <v>27.319899999999997</v>
      </c>
      <c r="D240" s="17">
        <f>27.2779 * CHOOSE(CONTROL!$C$15, $E$9, 100%, $G$9) + CHOOSE(CONTROL!$C$38, 0.0342, 0)</f>
        <v>27.312099999999997</v>
      </c>
      <c r="E240" s="17">
        <f>27.2779 * CHOOSE(CONTROL!$C$15, $E$9, 100%, $G$9) + CHOOSE(CONTROL!$C$38, 0.0342, 0)</f>
        <v>27.312099999999997</v>
      </c>
      <c r="F240" s="45">
        <f>28.9671 * CHOOSE(CONTROL!$C$15, $E$9, 100%, $G$9) + CHOOSE(CONTROL!$C$38, 0.034, 0)</f>
        <v>29.001099999999997</v>
      </c>
      <c r="G240" s="17">
        <f>27.2842 * CHOOSE(CONTROL!$C$15, $E$9, 100%, $G$9) + CHOOSE(CONTROL!$C$38, 0.0342, 0)</f>
        <v>27.318399999999997</v>
      </c>
      <c r="H240" s="17">
        <f>27.2842 * CHOOSE(CONTROL!$C$15, $E$9, 100%, $G$9) + CHOOSE(CONTROL!$C$38, 0.0342, 0)</f>
        <v>27.318399999999997</v>
      </c>
      <c r="I240" s="17">
        <f>27.2857 * CHOOSE(CONTROL!$C$15, $E$9, 100%, $G$9) + CHOOSE(CONTROL!$C$38, 0.0342, 0)</f>
        <v>27.319899999999997</v>
      </c>
      <c r="J240" s="44">
        <f>162.7669</f>
        <v>162.76689999999999</v>
      </c>
    </row>
    <row r="241" spans="1:10" ht="15" x14ac:dyDescent="0.2">
      <c r="A241" s="16">
        <v>48245</v>
      </c>
      <c r="B241" s="17">
        <f>29.3114 * CHOOSE(CONTROL!$C$15, $E$9, 100%, $G$9) + CHOOSE(CONTROL!$C$38, 0.034, 0)</f>
        <v>29.345399999999998</v>
      </c>
      <c r="C241" s="17">
        <f>27.6301 * CHOOSE(CONTROL!$C$15, $E$9, 100%, $G$9) + CHOOSE(CONTROL!$C$38, 0.0342, 0)</f>
        <v>27.664299999999997</v>
      </c>
      <c r="D241" s="17">
        <f>27.6222 * CHOOSE(CONTROL!$C$15, $E$9, 100%, $G$9) + CHOOSE(CONTROL!$C$38, 0.0342, 0)</f>
        <v>27.656399999999998</v>
      </c>
      <c r="E241" s="17">
        <f>27.6222 * CHOOSE(CONTROL!$C$15, $E$9, 100%, $G$9) + CHOOSE(CONTROL!$C$38, 0.0342, 0)</f>
        <v>27.656399999999998</v>
      </c>
      <c r="F241" s="45">
        <f>29.3114 * CHOOSE(CONTROL!$C$15, $E$9, 100%, $G$9) + CHOOSE(CONTROL!$C$38, 0.034, 0)</f>
        <v>29.345399999999998</v>
      </c>
      <c r="G241" s="17">
        <f>27.6285 * CHOOSE(CONTROL!$C$15, $E$9, 100%, $G$9) + CHOOSE(CONTROL!$C$38, 0.0342, 0)</f>
        <v>27.662699999999997</v>
      </c>
      <c r="H241" s="17">
        <f>27.6285 * CHOOSE(CONTROL!$C$15, $E$9, 100%, $G$9) + CHOOSE(CONTROL!$C$38, 0.0342, 0)</f>
        <v>27.662699999999997</v>
      </c>
      <c r="I241" s="17">
        <f>27.6301 * CHOOSE(CONTROL!$C$15, $E$9, 100%, $G$9) + CHOOSE(CONTROL!$C$38, 0.0342, 0)</f>
        <v>27.664299999999997</v>
      </c>
      <c r="J241" s="44">
        <f>162.3145</f>
        <v>162.31450000000001</v>
      </c>
    </row>
    <row r="242" spans="1:10" ht="15" x14ac:dyDescent="0.2">
      <c r="A242" s="16">
        <v>48274</v>
      </c>
      <c r="B242" s="17">
        <f>28.5143 * CHOOSE(CONTROL!$C$15, $E$9, 100%, $G$9) + CHOOSE(CONTROL!$C$38, 0.034, 0)</f>
        <v>28.548299999999998</v>
      </c>
      <c r="C242" s="17">
        <f>26.833 * CHOOSE(CONTROL!$C$15, $E$9, 100%, $G$9) + CHOOSE(CONTROL!$C$38, 0.0342, 0)</f>
        <v>26.867199999999997</v>
      </c>
      <c r="D242" s="17">
        <f>26.8252 * CHOOSE(CONTROL!$C$15, $E$9, 100%, $G$9) + CHOOSE(CONTROL!$C$38, 0.0342, 0)</f>
        <v>26.859399999999997</v>
      </c>
      <c r="E242" s="17">
        <f>26.8252 * CHOOSE(CONTROL!$C$15, $E$9, 100%, $G$9) + CHOOSE(CONTROL!$C$38, 0.0342, 0)</f>
        <v>26.859399999999997</v>
      </c>
      <c r="F242" s="45">
        <f>28.5143 * CHOOSE(CONTROL!$C$15, $E$9, 100%, $G$9) + CHOOSE(CONTROL!$C$38, 0.034, 0)</f>
        <v>28.548299999999998</v>
      </c>
      <c r="G242" s="17">
        <f>26.8315 * CHOOSE(CONTROL!$C$15, $E$9, 100%, $G$9) + CHOOSE(CONTROL!$C$38, 0.0342, 0)</f>
        <v>26.865699999999997</v>
      </c>
      <c r="H242" s="17">
        <f>26.8315 * CHOOSE(CONTROL!$C$15, $E$9, 100%, $G$9) + CHOOSE(CONTROL!$C$38, 0.0342, 0)</f>
        <v>26.865699999999997</v>
      </c>
      <c r="I242" s="17">
        <f>26.833 * CHOOSE(CONTROL!$C$15, $E$9, 100%, $G$9) + CHOOSE(CONTROL!$C$38, 0.0342, 0)</f>
        <v>26.867199999999997</v>
      </c>
      <c r="J242" s="44">
        <f>170.8694</f>
        <v>170.86940000000001</v>
      </c>
    </row>
    <row r="243" spans="1:10" ht="15" x14ac:dyDescent="0.2">
      <c r="A243" s="16">
        <v>48305</v>
      </c>
      <c r="B243" s="17">
        <f>27.742 * CHOOSE(CONTROL!$C$15, $E$9, 100%, $G$9) + CHOOSE(CONTROL!$C$38, 0.034, 0)</f>
        <v>27.776</v>
      </c>
      <c r="C243" s="17">
        <f>26.0607 * CHOOSE(CONTROL!$C$15, $E$9, 100%, $G$9) + CHOOSE(CONTROL!$C$38, 0.0342, 0)</f>
        <v>26.094899999999999</v>
      </c>
      <c r="D243" s="17">
        <f>26.0529 * CHOOSE(CONTROL!$C$15, $E$9, 100%, $G$9) + CHOOSE(CONTROL!$C$38, 0.0342, 0)</f>
        <v>26.0871</v>
      </c>
      <c r="E243" s="17">
        <f>26.0529 * CHOOSE(CONTROL!$C$15, $E$9, 100%, $G$9) + CHOOSE(CONTROL!$C$38, 0.0342, 0)</f>
        <v>26.0871</v>
      </c>
      <c r="F243" s="45">
        <f>27.742 * CHOOSE(CONTROL!$C$15, $E$9, 100%, $G$9) + CHOOSE(CONTROL!$C$38, 0.034, 0)</f>
        <v>27.776</v>
      </c>
      <c r="G243" s="17">
        <f>26.0591 * CHOOSE(CONTROL!$C$15, $E$9, 100%, $G$9) + CHOOSE(CONTROL!$C$38, 0.0342, 0)</f>
        <v>26.093299999999999</v>
      </c>
      <c r="H243" s="17">
        <f>26.0591 * CHOOSE(CONTROL!$C$15, $E$9, 100%, $G$9) + CHOOSE(CONTROL!$C$38, 0.0342, 0)</f>
        <v>26.093299999999999</v>
      </c>
      <c r="I243" s="17">
        <f>26.0607 * CHOOSE(CONTROL!$C$15, $E$9, 100%, $G$9) + CHOOSE(CONTROL!$C$38, 0.0342, 0)</f>
        <v>26.094899999999999</v>
      </c>
      <c r="J243" s="44">
        <f>181.9631</f>
        <v>181.9631</v>
      </c>
    </row>
    <row r="244" spans="1:10" ht="15" x14ac:dyDescent="0.2">
      <c r="A244" s="16">
        <v>48335</v>
      </c>
      <c r="B244" s="17">
        <f>26.9371 * CHOOSE(CONTROL!$C$15, $E$9, 100%, $G$9) + CHOOSE(CONTROL!$C$38, 0.0353, 0)</f>
        <v>26.9724</v>
      </c>
      <c r="C244" s="17">
        <f>25.2557 * CHOOSE(CONTROL!$C$15, $E$9, 100%, $G$9) + CHOOSE(CONTROL!$C$38, 0.0354, 0)</f>
        <v>25.2911</v>
      </c>
      <c r="D244" s="17">
        <f>25.2479 * CHOOSE(CONTROL!$C$15, $E$9, 100%, $G$9) + CHOOSE(CONTROL!$C$38, 0.0354, 0)</f>
        <v>25.283300000000001</v>
      </c>
      <c r="E244" s="17">
        <f>25.2479 * CHOOSE(CONTROL!$C$15, $E$9, 100%, $G$9) + CHOOSE(CONTROL!$C$38, 0.0354, 0)</f>
        <v>25.283300000000001</v>
      </c>
      <c r="F244" s="45">
        <f>26.9371 * CHOOSE(CONTROL!$C$15, $E$9, 100%, $G$9) + CHOOSE(CONTROL!$C$38, 0.0353, 0)</f>
        <v>26.9724</v>
      </c>
      <c r="G244" s="17">
        <f>25.2542 * CHOOSE(CONTROL!$C$15, $E$9, 100%, $G$9) + CHOOSE(CONTROL!$C$38, 0.0354, 0)</f>
        <v>25.2896</v>
      </c>
      <c r="H244" s="17">
        <f>25.2542 * CHOOSE(CONTROL!$C$15, $E$9, 100%, $G$9) + CHOOSE(CONTROL!$C$38, 0.0354, 0)</f>
        <v>25.2896</v>
      </c>
      <c r="I244" s="17">
        <f>25.2557 * CHOOSE(CONTROL!$C$15, $E$9, 100%, $G$9) + CHOOSE(CONTROL!$C$38, 0.0354, 0)</f>
        <v>25.2911</v>
      </c>
      <c r="J244" s="44">
        <f>188.0694</f>
        <v>188.0694</v>
      </c>
    </row>
    <row r="245" spans="1:10" ht="15" x14ac:dyDescent="0.2">
      <c r="A245" s="16">
        <v>48366</v>
      </c>
      <c r="B245" s="17">
        <f>26.3727 * CHOOSE(CONTROL!$C$15, $E$9, 100%, $G$9) + CHOOSE(CONTROL!$C$38, 0.0353, 0)</f>
        <v>26.407999999999998</v>
      </c>
      <c r="C245" s="17">
        <f>24.6914 * CHOOSE(CONTROL!$C$15, $E$9, 100%, $G$9) + CHOOSE(CONTROL!$C$38, 0.0354, 0)</f>
        <v>24.726800000000001</v>
      </c>
      <c r="D245" s="17">
        <f>24.6836 * CHOOSE(CONTROL!$C$15, $E$9, 100%, $G$9) + CHOOSE(CONTROL!$C$38, 0.0354, 0)</f>
        <v>24.718999999999998</v>
      </c>
      <c r="E245" s="17">
        <f>24.6836 * CHOOSE(CONTROL!$C$15, $E$9, 100%, $G$9) + CHOOSE(CONTROL!$C$38, 0.0354, 0)</f>
        <v>24.718999999999998</v>
      </c>
      <c r="F245" s="45">
        <f>26.3727 * CHOOSE(CONTROL!$C$15, $E$9, 100%, $G$9) + CHOOSE(CONTROL!$C$38, 0.0353, 0)</f>
        <v>26.407999999999998</v>
      </c>
      <c r="G245" s="17">
        <f>24.6898 * CHOOSE(CONTROL!$C$15, $E$9, 100%, $G$9) + CHOOSE(CONTROL!$C$38, 0.0354, 0)</f>
        <v>24.725200000000001</v>
      </c>
      <c r="H245" s="17">
        <f>24.6898 * CHOOSE(CONTROL!$C$15, $E$9, 100%, $G$9) + CHOOSE(CONTROL!$C$38, 0.0354, 0)</f>
        <v>24.725200000000001</v>
      </c>
      <c r="I245" s="17">
        <f>24.6914 * CHOOSE(CONTROL!$C$15, $E$9, 100%, $G$9) + CHOOSE(CONTROL!$C$38, 0.0354, 0)</f>
        <v>24.726800000000001</v>
      </c>
      <c r="J245" s="44">
        <f>190.7793</f>
        <v>190.77930000000001</v>
      </c>
    </row>
    <row r="246" spans="1:10" ht="15" x14ac:dyDescent="0.2">
      <c r="A246" s="16">
        <v>48396</v>
      </c>
      <c r="B246" s="17">
        <f>26.0507 * CHOOSE(CONTROL!$C$15, $E$9, 100%, $G$9) + CHOOSE(CONTROL!$C$38, 0.0353, 0)</f>
        <v>26.085999999999999</v>
      </c>
      <c r="C246" s="17">
        <f>24.3694 * CHOOSE(CONTROL!$C$15, $E$9, 100%, $G$9) + CHOOSE(CONTROL!$C$38, 0.0354, 0)</f>
        <v>24.404799999999998</v>
      </c>
      <c r="D246" s="17">
        <f>24.3615 * CHOOSE(CONTROL!$C$15, $E$9, 100%, $G$9) + CHOOSE(CONTROL!$C$38, 0.0354, 0)</f>
        <v>24.396899999999999</v>
      </c>
      <c r="E246" s="17">
        <f>24.3615 * CHOOSE(CONTROL!$C$15, $E$9, 100%, $G$9) + CHOOSE(CONTROL!$C$38, 0.0354, 0)</f>
        <v>24.396899999999999</v>
      </c>
      <c r="F246" s="45">
        <f>26.0507 * CHOOSE(CONTROL!$C$15, $E$9, 100%, $G$9) + CHOOSE(CONTROL!$C$38, 0.0353, 0)</f>
        <v>26.085999999999999</v>
      </c>
      <c r="G246" s="17">
        <f>24.3678 * CHOOSE(CONTROL!$C$15, $E$9, 100%, $G$9) + CHOOSE(CONTROL!$C$38, 0.0354, 0)</f>
        <v>24.403199999999998</v>
      </c>
      <c r="H246" s="17">
        <f>24.3678 * CHOOSE(CONTROL!$C$15, $E$9, 100%, $G$9) + CHOOSE(CONTROL!$C$38, 0.0354, 0)</f>
        <v>24.403199999999998</v>
      </c>
      <c r="I246" s="17">
        <f>24.3694 * CHOOSE(CONTROL!$C$15, $E$9, 100%, $G$9) + CHOOSE(CONTROL!$C$38, 0.0354, 0)</f>
        <v>24.404799999999998</v>
      </c>
      <c r="J246" s="44">
        <f>189.887</f>
        <v>189.887</v>
      </c>
    </row>
    <row r="247" spans="1:10" ht="15" x14ac:dyDescent="0.2">
      <c r="A247" s="16">
        <v>48427</v>
      </c>
      <c r="B247" s="17">
        <f>26.2096 * CHOOSE(CONTROL!$C$15, $E$9, 100%, $G$9) + CHOOSE(CONTROL!$C$38, 0.0353, 0)</f>
        <v>26.244899999999998</v>
      </c>
      <c r="C247" s="17">
        <f>24.5283 * CHOOSE(CONTROL!$C$15, $E$9, 100%, $G$9) + CHOOSE(CONTROL!$C$38, 0.0354, 0)</f>
        <v>24.563700000000001</v>
      </c>
      <c r="D247" s="17">
        <f>24.5205 * CHOOSE(CONTROL!$C$15, $E$9, 100%, $G$9) + CHOOSE(CONTROL!$C$38, 0.0354, 0)</f>
        <v>24.555899999999998</v>
      </c>
      <c r="E247" s="17">
        <f>24.5205 * CHOOSE(CONTROL!$C$15, $E$9, 100%, $G$9) + CHOOSE(CONTROL!$C$38, 0.0354, 0)</f>
        <v>24.555899999999998</v>
      </c>
      <c r="F247" s="45">
        <f>26.2096 * CHOOSE(CONTROL!$C$15, $E$9, 100%, $G$9) + CHOOSE(CONTROL!$C$38, 0.0353, 0)</f>
        <v>26.244899999999998</v>
      </c>
      <c r="G247" s="17">
        <f>24.5267 * CHOOSE(CONTROL!$C$15, $E$9, 100%, $G$9) + CHOOSE(CONTROL!$C$38, 0.0354, 0)</f>
        <v>24.562100000000001</v>
      </c>
      <c r="H247" s="17">
        <f>24.5267 * CHOOSE(CONTROL!$C$15, $E$9, 100%, $G$9) + CHOOSE(CONTROL!$C$38, 0.0354, 0)</f>
        <v>24.562100000000001</v>
      </c>
      <c r="I247" s="17">
        <f>24.5283 * CHOOSE(CONTROL!$C$15, $E$9, 100%, $G$9) + CHOOSE(CONTROL!$C$38, 0.0354, 0)</f>
        <v>24.563700000000001</v>
      </c>
      <c r="J247" s="44">
        <f>185.4665</f>
        <v>185.4665</v>
      </c>
    </row>
    <row r="248" spans="1:10" ht="15" x14ac:dyDescent="0.2">
      <c r="A248" s="16">
        <v>48458</v>
      </c>
      <c r="B248" s="17">
        <f>26.6413 * CHOOSE(CONTROL!$C$15, $E$9, 100%, $G$9) + CHOOSE(CONTROL!$C$38, 0.0353, 0)</f>
        <v>26.676600000000001</v>
      </c>
      <c r="C248" s="17">
        <f>24.96 * CHOOSE(CONTROL!$C$15, $E$9, 100%, $G$9) + CHOOSE(CONTROL!$C$38, 0.0354, 0)</f>
        <v>24.9954</v>
      </c>
      <c r="D248" s="17">
        <f>24.9522 * CHOOSE(CONTROL!$C$15, $E$9, 100%, $G$9) + CHOOSE(CONTROL!$C$38, 0.0354, 0)</f>
        <v>24.9876</v>
      </c>
      <c r="E248" s="17">
        <f>24.9522 * CHOOSE(CONTROL!$C$15, $E$9, 100%, $G$9) + CHOOSE(CONTROL!$C$38, 0.0354, 0)</f>
        <v>24.9876</v>
      </c>
      <c r="F248" s="45">
        <f>26.6413 * CHOOSE(CONTROL!$C$15, $E$9, 100%, $G$9) + CHOOSE(CONTROL!$C$38, 0.0353, 0)</f>
        <v>26.676600000000001</v>
      </c>
      <c r="G248" s="17">
        <f>24.9584 * CHOOSE(CONTROL!$C$15, $E$9, 100%, $G$9) + CHOOSE(CONTROL!$C$38, 0.0354, 0)</f>
        <v>24.9938</v>
      </c>
      <c r="H248" s="17">
        <f>24.9584 * CHOOSE(CONTROL!$C$15, $E$9, 100%, $G$9) + CHOOSE(CONTROL!$C$38, 0.0354, 0)</f>
        <v>24.9938</v>
      </c>
      <c r="I248" s="17">
        <f>24.96 * CHOOSE(CONTROL!$C$15, $E$9, 100%, $G$9) + CHOOSE(CONTROL!$C$38, 0.0354, 0)</f>
        <v>24.9954</v>
      </c>
      <c r="J248" s="44">
        <f>179.302</f>
        <v>179.30199999999999</v>
      </c>
    </row>
    <row r="249" spans="1:10" ht="15" x14ac:dyDescent="0.2">
      <c r="A249" s="16">
        <v>48488</v>
      </c>
      <c r="B249" s="17">
        <f>27.0029 * CHOOSE(CONTROL!$C$15, $E$9, 100%, $G$9) + CHOOSE(CONTROL!$C$38, 0.034, 0)</f>
        <v>27.036899999999999</v>
      </c>
      <c r="C249" s="17">
        <f>25.3216 * CHOOSE(CONTROL!$C$15, $E$9, 100%, $G$9) + CHOOSE(CONTROL!$C$38, 0.0342, 0)</f>
        <v>25.355799999999999</v>
      </c>
      <c r="D249" s="17">
        <f>25.3138 * CHOOSE(CONTROL!$C$15, $E$9, 100%, $G$9) + CHOOSE(CONTROL!$C$38, 0.0342, 0)</f>
        <v>25.347999999999999</v>
      </c>
      <c r="E249" s="17">
        <f>25.3138 * CHOOSE(CONTROL!$C$15, $E$9, 100%, $G$9) + CHOOSE(CONTROL!$C$38, 0.0342, 0)</f>
        <v>25.347999999999999</v>
      </c>
      <c r="F249" s="45">
        <f>27.0029 * CHOOSE(CONTROL!$C$15, $E$9, 100%, $G$9) + CHOOSE(CONTROL!$C$38, 0.034, 0)</f>
        <v>27.036899999999999</v>
      </c>
      <c r="G249" s="17">
        <f>25.32 * CHOOSE(CONTROL!$C$15, $E$9, 100%, $G$9) + CHOOSE(CONTROL!$C$38, 0.0342, 0)</f>
        <v>25.354199999999999</v>
      </c>
      <c r="H249" s="17">
        <f>25.32 * CHOOSE(CONTROL!$C$15, $E$9, 100%, $G$9) + CHOOSE(CONTROL!$C$38, 0.0342, 0)</f>
        <v>25.354199999999999</v>
      </c>
      <c r="I249" s="17">
        <f>25.3216 * CHOOSE(CONTROL!$C$15, $E$9, 100%, $G$9) + CHOOSE(CONTROL!$C$38, 0.0342, 0)</f>
        <v>25.355799999999999</v>
      </c>
      <c r="J249" s="44">
        <f>173.1015</f>
        <v>173.10149999999999</v>
      </c>
    </row>
    <row r="250" spans="1:10" ht="15" x14ac:dyDescent="0.2">
      <c r="A250" s="16">
        <v>48519</v>
      </c>
      <c r="B250" s="17">
        <f>27.3046 * CHOOSE(CONTROL!$C$15, $E$9, 100%, $G$9) + CHOOSE(CONTROL!$C$38, 0.034, 0)</f>
        <v>27.3386</v>
      </c>
      <c r="C250" s="17">
        <f>25.6233 * CHOOSE(CONTROL!$C$15, $E$9, 100%, $G$9) + CHOOSE(CONTROL!$C$38, 0.0342, 0)</f>
        <v>25.657499999999999</v>
      </c>
      <c r="D250" s="17">
        <f>25.6155 * CHOOSE(CONTROL!$C$15, $E$9, 100%, $G$9) + CHOOSE(CONTROL!$C$38, 0.0342, 0)</f>
        <v>25.649699999999999</v>
      </c>
      <c r="E250" s="17">
        <f>25.6155 * CHOOSE(CONTROL!$C$15, $E$9, 100%, $G$9) + CHOOSE(CONTROL!$C$38, 0.0342, 0)</f>
        <v>25.649699999999999</v>
      </c>
      <c r="F250" s="45">
        <f>27.3046 * CHOOSE(CONTROL!$C$15, $E$9, 100%, $G$9) + CHOOSE(CONTROL!$C$38, 0.034, 0)</f>
        <v>27.3386</v>
      </c>
      <c r="G250" s="17">
        <f>25.6217 * CHOOSE(CONTROL!$C$15, $E$9, 100%, $G$9) + CHOOSE(CONTROL!$C$38, 0.0342, 0)</f>
        <v>25.655899999999999</v>
      </c>
      <c r="H250" s="17">
        <f>25.6217 * CHOOSE(CONTROL!$C$15, $E$9, 100%, $G$9) + CHOOSE(CONTROL!$C$38, 0.0342, 0)</f>
        <v>25.655899999999999</v>
      </c>
      <c r="I250" s="17">
        <f>25.6233 * CHOOSE(CONTROL!$C$15, $E$9, 100%, $G$9) + CHOOSE(CONTROL!$C$38, 0.0342, 0)</f>
        <v>25.657499999999999</v>
      </c>
      <c r="J250" s="44">
        <f>171.8681</f>
        <v>171.8681</v>
      </c>
    </row>
    <row r="251" spans="1:10" ht="15" x14ac:dyDescent="0.2">
      <c r="A251" s="16">
        <v>48549</v>
      </c>
      <c r="B251" s="17">
        <f>28.2343 * CHOOSE(CONTROL!$C$15, $E$9, 100%, $G$9) + CHOOSE(CONTROL!$C$38, 0.034, 0)</f>
        <v>28.2683</v>
      </c>
      <c r="C251" s="17">
        <f>26.5529 * CHOOSE(CONTROL!$C$15, $E$9, 100%, $G$9) + CHOOSE(CONTROL!$C$38, 0.0342, 0)</f>
        <v>26.5871</v>
      </c>
      <c r="D251" s="17">
        <f>26.5451 * CHOOSE(CONTROL!$C$15, $E$9, 100%, $G$9) + CHOOSE(CONTROL!$C$38, 0.0342, 0)</f>
        <v>26.5793</v>
      </c>
      <c r="E251" s="17">
        <f>26.5451 * CHOOSE(CONTROL!$C$15, $E$9, 100%, $G$9) + CHOOSE(CONTROL!$C$38, 0.0342, 0)</f>
        <v>26.5793</v>
      </c>
      <c r="F251" s="45">
        <f>28.2343 * CHOOSE(CONTROL!$C$15, $E$9, 100%, $G$9) + CHOOSE(CONTROL!$C$38, 0.034, 0)</f>
        <v>28.2683</v>
      </c>
      <c r="G251" s="17">
        <f>26.5514 * CHOOSE(CONTROL!$C$15, $E$9, 100%, $G$9) + CHOOSE(CONTROL!$C$38, 0.0342, 0)</f>
        <v>26.585599999999999</v>
      </c>
      <c r="H251" s="17">
        <f>26.5514 * CHOOSE(CONTROL!$C$15, $E$9, 100%, $G$9) + CHOOSE(CONTROL!$C$38, 0.0342, 0)</f>
        <v>26.585599999999999</v>
      </c>
      <c r="I251" s="17">
        <f>26.5529 * CHOOSE(CONTROL!$C$15, $E$9, 100%, $G$9) + CHOOSE(CONTROL!$C$38, 0.0342, 0)</f>
        <v>26.5871</v>
      </c>
      <c r="J251" s="44">
        <f>166.7679</f>
        <v>166.7679</v>
      </c>
    </row>
    <row r="252" spans="1:10" ht="15" x14ac:dyDescent="0.2">
      <c r="A252" s="16">
        <v>48580</v>
      </c>
      <c r="B252" s="17">
        <f>29.4177 * CHOOSE(CONTROL!$C$15, $E$9, 100%, $G$9) + CHOOSE(CONTROL!$C$38, 0.034, 0)</f>
        <v>29.451699999999999</v>
      </c>
      <c r="C252" s="17">
        <f>27.7107 * CHOOSE(CONTROL!$C$15, $E$9, 100%, $G$9) + CHOOSE(CONTROL!$C$38, 0.0342, 0)</f>
        <v>27.744899999999998</v>
      </c>
      <c r="D252" s="17">
        <f>27.7029 * CHOOSE(CONTROL!$C$15, $E$9, 100%, $G$9) + CHOOSE(CONTROL!$C$38, 0.0342, 0)</f>
        <v>27.737099999999998</v>
      </c>
      <c r="E252" s="17">
        <f>27.7029 * CHOOSE(CONTROL!$C$15, $E$9, 100%, $G$9) + CHOOSE(CONTROL!$C$38, 0.0342, 0)</f>
        <v>27.737099999999998</v>
      </c>
      <c r="F252" s="45">
        <f>29.4177 * CHOOSE(CONTROL!$C$15, $E$9, 100%, $G$9) + CHOOSE(CONTROL!$C$38, 0.034, 0)</f>
        <v>29.451699999999999</v>
      </c>
      <c r="G252" s="17">
        <f>27.7092 * CHOOSE(CONTROL!$C$15, $E$9, 100%, $G$9) + CHOOSE(CONTROL!$C$38, 0.0342, 0)</f>
        <v>27.743399999999998</v>
      </c>
      <c r="H252" s="17">
        <f>27.7092 * CHOOSE(CONTROL!$C$15, $E$9, 100%, $G$9) + CHOOSE(CONTROL!$C$38, 0.0342, 0)</f>
        <v>27.743399999999998</v>
      </c>
      <c r="I252" s="17">
        <f>27.7107 * CHOOSE(CONTROL!$C$15, $E$9, 100%, $G$9) + CHOOSE(CONTROL!$C$38, 0.0342, 0)</f>
        <v>27.744899999999998</v>
      </c>
      <c r="J252" s="44">
        <f>166.6475</f>
        <v>166.64750000000001</v>
      </c>
    </row>
    <row r="253" spans="1:10" ht="15" x14ac:dyDescent="0.2">
      <c r="A253" s="16">
        <v>48611</v>
      </c>
      <c r="B253" s="17">
        <f>29.762 * CHOOSE(CONTROL!$C$15, $E$9, 100%, $G$9) + CHOOSE(CONTROL!$C$38, 0.034, 0)</f>
        <v>29.795999999999999</v>
      </c>
      <c r="C253" s="17">
        <f>28.0551 * CHOOSE(CONTROL!$C$15, $E$9, 100%, $G$9) + CHOOSE(CONTROL!$C$38, 0.0342, 0)</f>
        <v>28.089299999999998</v>
      </c>
      <c r="D253" s="17">
        <f>28.0472 * CHOOSE(CONTROL!$C$15, $E$9, 100%, $G$9) + CHOOSE(CONTROL!$C$38, 0.0342, 0)</f>
        <v>28.081399999999999</v>
      </c>
      <c r="E253" s="17">
        <f>28.0472 * CHOOSE(CONTROL!$C$15, $E$9, 100%, $G$9) + CHOOSE(CONTROL!$C$38, 0.0342, 0)</f>
        <v>28.081399999999999</v>
      </c>
      <c r="F253" s="45">
        <f>29.762 * CHOOSE(CONTROL!$C$15, $E$9, 100%, $G$9) + CHOOSE(CONTROL!$C$38, 0.034, 0)</f>
        <v>29.795999999999999</v>
      </c>
      <c r="G253" s="17">
        <f>28.0535 * CHOOSE(CONTROL!$C$15, $E$9, 100%, $G$9) + CHOOSE(CONTROL!$C$38, 0.0342, 0)</f>
        <v>28.087699999999998</v>
      </c>
      <c r="H253" s="17">
        <f>28.0535 * CHOOSE(CONTROL!$C$15, $E$9, 100%, $G$9) + CHOOSE(CONTROL!$C$38, 0.0342, 0)</f>
        <v>28.087699999999998</v>
      </c>
      <c r="I253" s="17">
        <f>28.0551 * CHOOSE(CONTROL!$C$15, $E$9, 100%, $G$9) + CHOOSE(CONTROL!$C$38, 0.0342, 0)</f>
        <v>28.089299999999998</v>
      </c>
      <c r="J253" s="44">
        <f>166.1843</f>
        <v>166.18430000000001</v>
      </c>
    </row>
    <row r="254" spans="1:10" ht="15" x14ac:dyDescent="0.2">
      <c r="A254" s="16">
        <v>48639</v>
      </c>
      <c r="B254" s="17">
        <f>28.965 * CHOOSE(CONTROL!$C$15, $E$9, 100%, $G$9) + CHOOSE(CONTROL!$C$38, 0.034, 0)</f>
        <v>28.998999999999999</v>
      </c>
      <c r="C254" s="17">
        <f>27.258 * CHOOSE(CONTROL!$C$15, $E$9, 100%, $G$9) + CHOOSE(CONTROL!$C$38, 0.0342, 0)</f>
        <v>27.292199999999998</v>
      </c>
      <c r="D254" s="17">
        <f>27.2502 * CHOOSE(CONTROL!$C$15, $E$9, 100%, $G$9) + CHOOSE(CONTROL!$C$38, 0.0342, 0)</f>
        <v>27.284399999999998</v>
      </c>
      <c r="E254" s="17">
        <f>27.2502 * CHOOSE(CONTROL!$C$15, $E$9, 100%, $G$9) + CHOOSE(CONTROL!$C$38, 0.0342, 0)</f>
        <v>27.284399999999998</v>
      </c>
      <c r="F254" s="45">
        <f>28.965 * CHOOSE(CONTROL!$C$15, $E$9, 100%, $G$9) + CHOOSE(CONTROL!$C$38, 0.034, 0)</f>
        <v>28.998999999999999</v>
      </c>
      <c r="G254" s="17">
        <f>27.2565 * CHOOSE(CONTROL!$C$15, $E$9, 100%, $G$9) + CHOOSE(CONTROL!$C$38, 0.0342, 0)</f>
        <v>27.290699999999998</v>
      </c>
      <c r="H254" s="17">
        <f>27.2565 * CHOOSE(CONTROL!$C$15, $E$9, 100%, $G$9) + CHOOSE(CONTROL!$C$38, 0.0342, 0)</f>
        <v>27.290699999999998</v>
      </c>
      <c r="I254" s="17">
        <f>27.258 * CHOOSE(CONTROL!$C$15, $E$9, 100%, $G$9) + CHOOSE(CONTROL!$C$38, 0.0342, 0)</f>
        <v>27.292199999999998</v>
      </c>
      <c r="J254" s="44">
        <f>174.9432</f>
        <v>174.94319999999999</v>
      </c>
    </row>
    <row r="255" spans="1:10" ht="15" x14ac:dyDescent="0.2">
      <c r="A255" s="16">
        <v>48670</v>
      </c>
      <c r="B255" s="17">
        <f>28.1927 * CHOOSE(CONTROL!$C$15, $E$9, 100%, $G$9) + CHOOSE(CONTROL!$C$38, 0.034, 0)</f>
        <v>28.226699999999997</v>
      </c>
      <c r="C255" s="17">
        <f>26.4857 * CHOOSE(CONTROL!$C$15, $E$9, 100%, $G$9) + CHOOSE(CONTROL!$C$38, 0.0342, 0)</f>
        <v>26.5199</v>
      </c>
      <c r="D255" s="17">
        <f>26.4779 * CHOOSE(CONTROL!$C$15, $E$9, 100%, $G$9) + CHOOSE(CONTROL!$C$38, 0.0342, 0)</f>
        <v>26.5121</v>
      </c>
      <c r="E255" s="17">
        <f>26.4779 * CHOOSE(CONTROL!$C$15, $E$9, 100%, $G$9) + CHOOSE(CONTROL!$C$38, 0.0342, 0)</f>
        <v>26.5121</v>
      </c>
      <c r="F255" s="45">
        <f>28.1927 * CHOOSE(CONTROL!$C$15, $E$9, 100%, $G$9) + CHOOSE(CONTROL!$C$38, 0.034, 0)</f>
        <v>28.226699999999997</v>
      </c>
      <c r="G255" s="17">
        <f>26.4841 * CHOOSE(CONTROL!$C$15, $E$9, 100%, $G$9) + CHOOSE(CONTROL!$C$38, 0.0342, 0)</f>
        <v>26.5183</v>
      </c>
      <c r="H255" s="17">
        <f>26.4841 * CHOOSE(CONTROL!$C$15, $E$9, 100%, $G$9) + CHOOSE(CONTROL!$C$38, 0.0342, 0)</f>
        <v>26.5183</v>
      </c>
      <c r="I255" s="17">
        <f>26.4857 * CHOOSE(CONTROL!$C$15, $E$9, 100%, $G$9) + CHOOSE(CONTROL!$C$38, 0.0342, 0)</f>
        <v>26.5199</v>
      </c>
      <c r="J255" s="44">
        <f>186.3013</f>
        <v>186.3013</v>
      </c>
    </row>
    <row r="256" spans="1:10" ht="15" x14ac:dyDescent="0.2">
      <c r="A256" s="16">
        <v>48700</v>
      </c>
      <c r="B256" s="17">
        <f>27.3877 * CHOOSE(CONTROL!$C$15, $E$9, 100%, $G$9) + CHOOSE(CONTROL!$C$38, 0.0353, 0)</f>
        <v>27.422999999999998</v>
      </c>
      <c r="C256" s="17">
        <f>25.6808 * CHOOSE(CONTROL!$C$15, $E$9, 100%, $G$9) + CHOOSE(CONTROL!$C$38, 0.0354, 0)</f>
        <v>25.716200000000001</v>
      </c>
      <c r="D256" s="17">
        <f>25.6729 * CHOOSE(CONTROL!$C$15, $E$9, 100%, $G$9) + CHOOSE(CONTROL!$C$38, 0.0354, 0)</f>
        <v>25.708299999999998</v>
      </c>
      <c r="E256" s="17">
        <f>25.6729 * CHOOSE(CONTROL!$C$15, $E$9, 100%, $G$9) + CHOOSE(CONTROL!$C$38, 0.0354, 0)</f>
        <v>25.708299999999998</v>
      </c>
      <c r="F256" s="45">
        <f>27.3877 * CHOOSE(CONTROL!$C$15, $E$9, 100%, $G$9) + CHOOSE(CONTROL!$C$38, 0.0353, 0)</f>
        <v>27.422999999999998</v>
      </c>
      <c r="G256" s="17">
        <f>25.6792 * CHOOSE(CONTROL!$C$15, $E$9, 100%, $G$9) + CHOOSE(CONTROL!$C$38, 0.0354, 0)</f>
        <v>25.714600000000001</v>
      </c>
      <c r="H256" s="17">
        <f>25.6792 * CHOOSE(CONTROL!$C$15, $E$9, 100%, $G$9) + CHOOSE(CONTROL!$C$38, 0.0354, 0)</f>
        <v>25.714600000000001</v>
      </c>
      <c r="I256" s="17">
        <f>25.6808 * CHOOSE(CONTROL!$C$15, $E$9, 100%, $G$9) + CHOOSE(CONTROL!$C$38, 0.0354, 0)</f>
        <v>25.716200000000001</v>
      </c>
      <c r="J256" s="44">
        <f>192.5532</f>
        <v>192.5532</v>
      </c>
    </row>
    <row r="257" spans="1:10" ht="15" x14ac:dyDescent="0.2">
      <c r="A257" s="16">
        <v>48731</v>
      </c>
      <c r="B257" s="17">
        <f>26.8234 * CHOOSE(CONTROL!$C$15, $E$9, 100%, $G$9) + CHOOSE(CONTROL!$C$38, 0.0353, 0)</f>
        <v>26.858699999999999</v>
      </c>
      <c r="C257" s="17">
        <f>25.1164 * CHOOSE(CONTROL!$C$15, $E$9, 100%, $G$9) + CHOOSE(CONTROL!$C$38, 0.0354, 0)</f>
        <v>25.151799999999998</v>
      </c>
      <c r="D257" s="17">
        <f>25.1086 * CHOOSE(CONTROL!$C$15, $E$9, 100%, $G$9) + CHOOSE(CONTROL!$C$38, 0.0354, 0)</f>
        <v>25.143999999999998</v>
      </c>
      <c r="E257" s="17">
        <f>25.1086 * CHOOSE(CONTROL!$C$15, $E$9, 100%, $G$9) + CHOOSE(CONTROL!$C$38, 0.0354, 0)</f>
        <v>25.143999999999998</v>
      </c>
      <c r="F257" s="45">
        <f>26.8234 * CHOOSE(CONTROL!$C$15, $E$9, 100%, $G$9) + CHOOSE(CONTROL!$C$38, 0.0353, 0)</f>
        <v>26.858699999999999</v>
      </c>
      <c r="G257" s="17">
        <f>25.1148 * CHOOSE(CONTROL!$C$15, $E$9, 100%, $G$9) + CHOOSE(CONTROL!$C$38, 0.0354, 0)</f>
        <v>25.150199999999998</v>
      </c>
      <c r="H257" s="17">
        <f>25.1148 * CHOOSE(CONTROL!$C$15, $E$9, 100%, $G$9) + CHOOSE(CONTROL!$C$38, 0.0354, 0)</f>
        <v>25.150199999999998</v>
      </c>
      <c r="I257" s="17">
        <f>25.1164 * CHOOSE(CONTROL!$C$15, $E$9, 100%, $G$9) + CHOOSE(CONTROL!$C$38, 0.0354, 0)</f>
        <v>25.151799999999998</v>
      </c>
      <c r="J257" s="44">
        <f>195.3277</f>
        <v>195.32769999999999</v>
      </c>
    </row>
    <row r="258" spans="1:10" ht="15" x14ac:dyDescent="0.2">
      <c r="A258" s="16">
        <v>48761</v>
      </c>
      <c r="B258" s="17">
        <f>26.5013 * CHOOSE(CONTROL!$C$15, $E$9, 100%, $G$9) + CHOOSE(CONTROL!$C$38, 0.0353, 0)</f>
        <v>26.5366</v>
      </c>
      <c r="C258" s="17">
        <f>24.7944 * CHOOSE(CONTROL!$C$15, $E$9, 100%, $G$9) + CHOOSE(CONTROL!$C$38, 0.0354, 0)</f>
        <v>24.829799999999999</v>
      </c>
      <c r="D258" s="17">
        <f>24.7865 * CHOOSE(CONTROL!$C$15, $E$9, 100%, $G$9) + CHOOSE(CONTROL!$C$38, 0.0354, 0)</f>
        <v>24.821899999999999</v>
      </c>
      <c r="E258" s="17">
        <f>24.7865 * CHOOSE(CONTROL!$C$15, $E$9, 100%, $G$9) + CHOOSE(CONTROL!$C$38, 0.0354, 0)</f>
        <v>24.821899999999999</v>
      </c>
      <c r="F258" s="45">
        <f>26.5013 * CHOOSE(CONTROL!$C$15, $E$9, 100%, $G$9) + CHOOSE(CONTROL!$C$38, 0.0353, 0)</f>
        <v>26.5366</v>
      </c>
      <c r="G258" s="17">
        <f>24.7928 * CHOOSE(CONTROL!$C$15, $E$9, 100%, $G$9) + CHOOSE(CONTROL!$C$38, 0.0354, 0)</f>
        <v>24.828199999999999</v>
      </c>
      <c r="H258" s="17">
        <f>24.7928 * CHOOSE(CONTROL!$C$15, $E$9, 100%, $G$9) + CHOOSE(CONTROL!$C$38, 0.0354, 0)</f>
        <v>24.828199999999999</v>
      </c>
      <c r="I258" s="17">
        <f>24.7944 * CHOOSE(CONTROL!$C$15, $E$9, 100%, $G$9) + CHOOSE(CONTROL!$C$38, 0.0354, 0)</f>
        <v>24.829799999999999</v>
      </c>
      <c r="J258" s="44">
        <f>194.4142</f>
        <v>194.41419999999999</v>
      </c>
    </row>
    <row r="259" spans="1:10" ht="15" x14ac:dyDescent="0.2">
      <c r="A259" s="16">
        <v>48792</v>
      </c>
      <c r="B259" s="17">
        <f>26.6602 * CHOOSE(CONTROL!$C$15, $E$9, 100%, $G$9) + CHOOSE(CONTROL!$C$38, 0.0353, 0)</f>
        <v>26.695499999999999</v>
      </c>
      <c r="C259" s="17">
        <f>24.9533 * CHOOSE(CONTROL!$C$15, $E$9, 100%, $G$9) + CHOOSE(CONTROL!$C$38, 0.0354, 0)</f>
        <v>24.988699999999998</v>
      </c>
      <c r="D259" s="17">
        <f>24.9455 * CHOOSE(CONTROL!$C$15, $E$9, 100%, $G$9) + CHOOSE(CONTROL!$C$38, 0.0354, 0)</f>
        <v>24.980899999999998</v>
      </c>
      <c r="E259" s="17">
        <f>24.9455 * CHOOSE(CONTROL!$C$15, $E$9, 100%, $G$9) + CHOOSE(CONTROL!$C$38, 0.0354, 0)</f>
        <v>24.980899999999998</v>
      </c>
      <c r="F259" s="45">
        <f>26.6602 * CHOOSE(CONTROL!$C$15, $E$9, 100%, $G$9) + CHOOSE(CONTROL!$C$38, 0.0353, 0)</f>
        <v>26.695499999999999</v>
      </c>
      <c r="G259" s="17">
        <f>24.9517 * CHOOSE(CONTROL!$C$15, $E$9, 100%, $G$9) + CHOOSE(CONTROL!$C$38, 0.0354, 0)</f>
        <v>24.987099999999998</v>
      </c>
      <c r="H259" s="17">
        <f>24.9517 * CHOOSE(CONTROL!$C$15, $E$9, 100%, $G$9) + CHOOSE(CONTROL!$C$38, 0.0354, 0)</f>
        <v>24.987099999999998</v>
      </c>
      <c r="I259" s="17">
        <f>24.9533 * CHOOSE(CONTROL!$C$15, $E$9, 100%, $G$9) + CHOOSE(CONTROL!$C$38, 0.0354, 0)</f>
        <v>24.988699999999998</v>
      </c>
      <c r="J259" s="44">
        <f>189.8883</f>
        <v>189.88829999999999</v>
      </c>
    </row>
    <row r="260" spans="1:10" ht="15" x14ac:dyDescent="0.2">
      <c r="A260" s="16">
        <v>48823</v>
      </c>
      <c r="B260" s="17">
        <f>27.092 * CHOOSE(CONTROL!$C$15, $E$9, 100%, $G$9) + CHOOSE(CONTROL!$C$38, 0.0353, 0)</f>
        <v>27.127299999999998</v>
      </c>
      <c r="C260" s="17">
        <f>25.385 * CHOOSE(CONTROL!$C$15, $E$9, 100%, $G$9) + CHOOSE(CONTROL!$C$38, 0.0354, 0)</f>
        <v>25.420400000000001</v>
      </c>
      <c r="D260" s="17">
        <f>25.3772 * CHOOSE(CONTROL!$C$15, $E$9, 100%, $G$9) + CHOOSE(CONTROL!$C$38, 0.0354, 0)</f>
        <v>25.412599999999998</v>
      </c>
      <c r="E260" s="17">
        <f>25.3772 * CHOOSE(CONTROL!$C$15, $E$9, 100%, $G$9) + CHOOSE(CONTROL!$C$38, 0.0354, 0)</f>
        <v>25.412599999999998</v>
      </c>
      <c r="F260" s="45">
        <f>27.092 * CHOOSE(CONTROL!$C$15, $E$9, 100%, $G$9) + CHOOSE(CONTROL!$C$38, 0.0353, 0)</f>
        <v>27.127299999999998</v>
      </c>
      <c r="G260" s="17">
        <f>25.3834 * CHOOSE(CONTROL!$C$15, $E$9, 100%, $G$9) + CHOOSE(CONTROL!$C$38, 0.0354, 0)</f>
        <v>25.418800000000001</v>
      </c>
      <c r="H260" s="17">
        <f>25.3834 * CHOOSE(CONTROL!$C$15, $E$9, 100%, $G$9) + CHOOSE(CONTROL!$C$38, 0.0354, 0)</f>
        <v>25.418800000000001</v>
      </c>
      <c r="I260" s="17">
        <f>25.385 * CHOOSE(CONTROL!$C$15, $E$9, 100%, $G$9) + CHOOSE(CONTROL!$C$38, 0.0354, 0)</f>
        <v>25.420400000000001</v>
      </c>
      <c r="J260" s="44">
        <f>183.5768</f>
        <v>183.57679999999999</v>
      </c>
    </row>
    <row r="261" spans="1:10" ht="15" x14ac:dyDescent="0.2">
      <c r="A261" s="16">
        <v>48853</v>
      </c>
      <c r="B261" s="17">
        <f>27.4535 * CHOOSE(CONTROL!$C$15, $E$9, 100%, $G$9) + CHOOSE(CONTROL!$C$38, 0.034, 0)</f>
        <v>27.487499999999997</v>
      </c>
      <c r="C261" s="17">
        <f>25.7466 * CHOOSE(CONTROL!$C$15, $E$9, 100%, $G$9) + CHOOSE(CONTROL!$C$38, 0.0342, 0)</f>
        <v>25.780799999999999</v>
      </c>
      <c r="D261" s="17">
        <f>25.7388 * CHOOSE(CONTROL!$C$15, $E$9, 100%, $G$9) + CHOOSE(CONTROL!$C$38, 0.0342, 0)</f>
        <v>25.773</v>
      </c>
      <c r="E261" s="17">
        <f>25.7388 * CHOOSE(CONTROL!$C$15, $E$9, 100%, $G$9) + CHOOSE(CONTROL!$C$38, 0.0342, 0)</f>
        <v>25.773</v>
      </c>
      <c r="F261" s="45">
        <f>27.4535 * CHOOSE(CONTROL!$C$15, $E$9, 100%, $G$9) + CHOOSE(CONTROL!$C$38, 0.034, 0)</f>
        <v>27.487499999999997</v>
      </c>
      <c r="G261" s="17">
        <f>25.745 * CHOOSE(CONTROL!$C$15, $E$9, 100%, $G$9) + CHOOSE(CONTROL!$C$38, 0.0342, 0)</f>
        <v>25.779199999999999</v>
      </c>
      <c r="H261" s="17">
        <f>25.745 * CHOOSE(CONTROL!$C$15, $E$9, 100%, $G$9) + CHOOSE(CONTROL!$C$38, 0.0342, 0)</f>
        <v>25.779199999999999</v>
      </c>
      <c r="I261" s="17">
        <f>25.7466 * CHOOSE(CONTROL!$C$15, $E$9, 100%, $G$9) + CHOOSE(CONTROL!$C$38, 0.0342, 0)</f>
        <v>25.780799999999999</v>
      </c>
      <c r="J261" s="44">
        <f>177.2285</f>
        <v>177.2285</v>
      </c>
    </row>
    <row r="262" spans="1:10" ht="15" x14ac:dyDescent="0.2">
      <c r="A262" s="16">
        <v>48884</v>
      </c>
      <c r="B262" s="17">
        <f>27.7552 * CHOOSE(CONTROL!$C$15, $E$9, 100%, $G$9) + CHOOSE(CONTROL!$C$38, 0.034, 0)</f>
        <v>27.789199999999997</v>
      </c>
      <c r="C262" s="17">
        <f>26.0483 * CHOOSE(CONTROL!$C$15, $E$9, 100%, $G$9) + CHOOSE(CONTROL!$C$38, 0.0342, 0)</f>
        <v>26.0825</v>
      </c>
      <c r="D262" s="17">
        <f>26.0405 * CHOOSE(CONTROL!$C$15, $E$9, 100%, $G$9) + CHOOSE(CONTROL!$C$38, 0.0342, 0)</f>
        <v>26.0747</v>
      </c>
      <c r="E262" s="17">
        <f>26.0405 * CHOOSE(CONTROL!$C$15, $E$9, 100%, $G$9) + CHOOSE(CONTROL!$C$38, 0.0342, 0)</f>
        <v>26.0747</v>
      </c>
      <c r="F262" s="45">
        <f>27.7552 * CHOOSE(CONTROL!$C$15, $E$9, 100%, $G$9) + CHOOSE(CONTROL!$C$38, 0.034, 0)</f>
        <v>27.789199999999997</v>
      </c>
      <c r="G262" s="17">
        <f>26.0467 * CHOOSE(CONTROL!$C$15, $E$9, 100%, $G$9) + CHOOSE(CONTROL!$C$38, 0.0342, 0)</f>
        <v>26.0809</v>
      </c>
      <c r="H262" s="17">
        <f>26.0467 * CHOOSE(CONTROL!$C$15, $E$9, 100%, $G$9) + CHOOSE(CONTROL!$C$38, 0.0342, 0)</f>
        <v>26.0809</v>
      </c>
      <c r="I262" s="17">
        <f>26.0483 * CHOOSE(CONTROL!$C$15, $E$9, 100%, $G$9) + CHOOSE(CONTROL!$C$38, 0.0342, 0)</f>
        <v>26.0825</v>
      </c>
      <c r="J262" s="44">
        <f>175.9657</f>
        <v>175.9657</v>
      </c>
    </row>
    <row r="263" spans="1:10" ht="15" x14ac:dyDescent="0.2">
      <c r="A263" s="16">
        <v>48914</v>
      </c>
      <c r="B263" s="17">
        <f>28.6849 * CHOOSE(CONTROL!$C$15, $E$9, 100%, $G$9) + CHOOSE(CONTROL!$C$38, 0.034, 0)</f>
        <v>28.718899999999998</v>
      </c>
      <c r="C263" s="17">
        <f>26.9779 * CHOOSE(CONTROL!$C$15, $E$9, 100%, $G$9) + CHOOSE(CONTROL!$C$38, 0.0342, 0)</f>
        <v>27.0121</v>
      </c>
      <c r="D263" s="17">
        <f>26.9701 * CHOOSE(CONTROL!$C$15, $E$9, 100%, $G$9) + CHOOSE(CONTROL!$C$38, 0.0342, 0)</f>
        <v>27.004299999999997</v>
      </c>
      <c r="E263" s="17">
        <f>26.9701 * CHOOSE(CONTROL!$C$15, $E$9, 100%, $G$9) + CHOOSE(CONTROL!$C$38, 0.0342, 0)</f>
        <v>27.004299999999997</v>
      </c>
      <c r="F263" s="45">
        <f>28.6849 * CHOOSE(CONTROL!$C$15, $E$9, 100%, $G$9) + CHOOSE(CONTROL!$C$38, 0.034, 0)</f>
        <v>28.718899999999998</v>
      </c>
      <c r="G263" s="17">
        <f>26.9764 * CHOOSE(CONTROL!$C$15, $E$9, 100%, $G$9) + CHOOSE(CONTROL!$C$38, 0.0342, 0)</f>
        <v>27.0106</v>
      </c>
      <c r="H263" s="17">
        <f>26.9764 * CHOOSE(CONTROL!$C$15, $E$9, 100%, $G$9) + CHOOSE(CONTROL!$C$38, 0.0342, 0)</f>
        <v>27.0106</v>
      </c>
      <c r="I263" s="17">
        <f>26.9779 * CHOOSE(CONTROL!$C$15, $E$9, 100%, $G$9) + CHOOSE(CONTROL!$C$38, 0.0342, 0)</f>
        <v>27.0121</v>
      </c>
      <c r="J263" s="44">
        <f>170.7439</f>
        <v>170.7439</v>
      </c>
    </row>
    <row r="264" spans="1:10" ht="15" x14ac:dyDescent="0.2">
      <c r="A264" s="16">
        <v>48945</v>
      </c>
      <c r="B264" s="17">
        <f>29.8759 * CHOOSE(CONTROL!$C$15, $E$9, 100%, $G$9) + CHOOSE(CONTROL!$C$38, 0.034, 0)</f>
        <v>29.9099</v>
      </c>
      <c r="C264" s="17">
        <f>28.1429 * CHOOSE(CONTROL!$C$15, $E$9, 100%, $G$9) + CHOOSE(CONTROL!$C$38, 0.0342, 0)</f>
        <v>28.177099999999999</v>
      </c>
      <c r="D264" s="17">
        <f>28.1351 * CHOOSE(CONTROL!$C$15, $E$9, 100%, $G$9) + CHOOSE(CONTROL!$C$38, 0.0342, 0)</f>
        <v>28.1693</v>
      </c>
      <c r="E264" s="17">
        <f>28.1351 * CHOOSE(CONTROL!$C$15, $E$9, 100%, $G$9) + CHOOSE(CONTROL!$C$38, 0.0342, 0)</f>
        <v>28.1693</v>
      </c>
      <c r="F264" s="45">
        <f>29.8759 * CHOOSE(CONTROL!$C$15, $E$9, 100%, $G$9) + CHOOSE(CONTROL!$C$38, 0.034, 0)</f>
        <v>29.9099</v>
      </c>
      <c r="G264" s="17">
        <f>28.1413 * CHOOSE(CONTROL!$C$15, $E$9, 100%, $G$9) + CHOOSE(CONTROL!$C$38, 0.0342, 0)</f>
        <v>28.1755</v>
      </c>
      <c r="H264" s="17">
        <f>28.1413 * CHOOSE(CONTROL!$C$15, $E$9, 100%, $G$9) + CHOOSE(CONTROL!$C$38, 0.0342, 0)</f>
        <v>28.1755</v>
      </c>
      <c r="I264" s="17">
        <f>28.1429 * CHOOSE(CONTROL!$C$15, $E$9, 100%, $G$9) + CHOOSE(CONTROL!$C$38, 0.0342, 0)</f>
        <v>28.177099999999999</v>
      </c>
      <c r="J264" s="44">
        <f>170.6206</f>
        <v>170.6206</v>
      </c>
    </row>
    <row r="265" spans="1:10" ht="15" x14ac:dyDescent="0.2">
      <c r="A265" s="16">
        <v>48976</v>
      </c>
      <c r="B265" s="17">
        <f>30.2202 * CHOOSE(CONTROL!$C$15, $E$9, 100%, $G$9) + CHOOSE(CONTROL!$C$38, 0.034, 0)</f>
        <v>30.254199999999997</v>
      </c>
      <c r="C265" s="17">
        <f>28.4872 * CHOOSE(CONTROL!$C$15, $E$9, 100%, $G$9) + CHOOSE(CONTROL!$C$38, 0.0342, 0)</f>
        <v>28.5214</v>
      </c>
      <c r="D265" s="17">
        <f>28.4794 * CHOOSE(CONTROL!$C$15, $E$9, 100%, $G$9) + CHOOSE(CONTROL!$C$38, 0.0342, 0)</f>
        <v>28.513599999999997</v>
      </c>
      <c r="E265" s="17">
        <f>28.4794 * CHOOSE(CONTROL!$C$15, $E$9, 100%, $G$9) + CHOOSE(CONTROL!$C$38, 0.0342, 0)</f>
        <v>28.513599999999997</v>
      </c>
      <c r="F265" s="45">
        <f>30.2202 * CHOOSE(CONTROL!$C$15, $E$9, 100%, $G$9) + CHOOSE(CONTROL!$C$38, 0.034, 0)</f>
        <v>30.254199999999997</v>
      </c>
      <c r="G265" s="17">
        <f>28.4856 * CHOOSE(CONTROL!$C$15, $E$9, 100%, $G$9) + CHOOSE(CONTROL!$C$38, 0.0342, 0)</f>
        <v>28.5198</v>
      </c>
      <c r="H265" s="17">
        <f>28.4856 * CHOOSE(CONTROL!$C$15, $E$9, 100%, $G$9) + CHOOSE(CONTROL!$C$38, 0.0342, 0)</f>
        <v>28.5198</v>
      </c>
      <c r="I265" s="17">
        <f>28.4872 * CHOOSE(CONTROL!$C$15, $E$9, 100%, $G$9) + CHOOSE(CONTROL!$C$38, 0.0342, 0)</f>
        <v>28.5214</v>
      </c>
      <c r="J265" s="44">
        <f>170.1464</f>
        <v>170.1464</v>
      </c>
    </row>
    <row r="266" spans="1:10" ht="15" x14ac:dyDescent="0.2">
      <c r="A266" s="16">
        <v>49004</v>
      </c>
      <c r="B266" s="17">
        <f>29.4232 * CHOOSE(CONTROL!$C$15, $E$9, 100%, $G$9) + CHOOSE(CONTROL!$C$38, 0.034, 0)</f>
        <v>29.4572</v>
      </c>
      <c r="C266" s="17">
        <f>27.6902 * CHOOSE(CONTROL!$C$15, $E$9, 100%, $G$9) + CHOOSE(CONTROL!$C$38, 0.0342, 0)</f>
        <v>27.724399999999999</v>
      </c>
      <c r="D266" s="17">
        <f>27.6824 * CHOOSE(CONTROL!$C$15, $E$9, 100%, $G$9) + CHOOSE(CONTROL!$C$38, 0.0342, 0)</f>
        <v>27.7166</v>
      </c>
      <c r="E266" s="17">
        <f>27.6824 * CHOOSE(CONTROL!$C$15, $E$9, 100%, $G$9) + CHOOSE(CONTROL!$C$38, 0.0342, 0)</f>
        <v>27.7166</v>
      </c>
      <c r="F266" s="45">
        <f>29.4232 * CHOOSE(CONTROL!$C$15, $E$9, 100%, $G$9) + CHOOSE(CONTROL!$C$38, 0.034, 0)</f>
        <v>29.4572</v>
      </c>
      <c r="G266" s="17">
        <f>27.6886 * CHOOSE(CONTROL!$C$15, $E$9, 100%, $G$9) + CHOOSE(CONTROL!$C$38, 0.0342, 0)</f>
        <v>27.722799999999999</v>
      </c>
      <c r="H266" s="17">
        <f>27.6886 * CHOOSE(CONTROL!$C$15, $E$9, 100%, $G$9) + CHOOSE(CONTROL!$C$38, 0.0342, 0)</f>
        <v>27.722799999999999</v>
      </c>
      <c r="I266" s="17">
        <f>27.6902 * CHOOSE(CONTROL!$C$15, $E$9, 100%, $G$9) + CHOOSE(CONTROL!$C$38, 0.0342, 0)</f>
        <v>27.724399999999999</v>
      </c>
      <c r="J266" s="44">
        <f>179.1141</f>
        <v>179.11410000000001</v>
      </c>
    </row>
    <row r="267" spans="1:10" ht="15" x14ac:dyDescent="0.2">
      <c r="A267" s="16">
        <v>49035</v>
      </c>
      <c r="B267" s="17">
        <f>28.6509 * CHOOSE(CONTROL!$C$15, $E$9, 100%, $G$9) + CHOOSE(CONTROL!$C$38, 0.034, 0)</f>
        <v>28.684899999999999</v>
      </c>
      <c r="C267" s="17">
        <f>26.9179 * CHOOSE(CONTROL!$C$15, $E$9, 100%, $G$9) + CHOOSE(CONTROL!$C$38, 0.0342, 0)</f>
        <v>26.952099999999998</v>
      </c>
      <c r="D267" s="17">
        <f>26.91 * CHOOSE(CONTROL!$C$15, $E$9, 100%, $G$9) + CHOOSE(CONTROL!$C$38, 0.0342, 0)</f>
        <v>26.944199999999999</v>
      </c>
      <c r="E267" s="17">
        <f>26.91 * CHOOSE(CONTROL!$C$15, $E$9, 100%, $G$9) + CHOOSE(CONTROL!$C$38, 0.0342, 0)</f>
        <v>26.944199999999999</v>
      </c>
      <c r="F267" s="45">
        <f>28.6509 * CHOOSE(CONTROL!$C$15, $E$9, 100%, $G$9) + CHOOSE(CONTROL!$C$38, 0.034, 0)</f>
        <v>28.684899999999999</v>
      </c>
      <c r="G267" s="17">
        <f>26.9163 * CHOOSE(CONTROL!$C$15, $E$9, 100%, $G$9) + CHOOSE(CONTROL!$C$38, 0.0342, 0)</f>
        <v>26.950499999999998</v>
      </c>
      <c r="H267" s="17">
        <f>26.9163 * CHOOSE(CONTROL!$C$15, $E$9, 100%, $G$9) + CHOOSE(CONTROL!$C$38, 0.0342, 0)</f>
        <v>26.950499999999998</v>
      </c>
      <c r="I267" s="17">
        <f>26.9179 * CHOOSE(CONTROL!$C$15, $E$9, 100%, $G$9) + CHOOSE(CONTROL!$C$38, 0.0342, 0)</f>
        <v>26.952099999999998</v>
      </c>
      <c r="J267" s="44">
        <f>190.743</f>
        <v>190.74299999999999</v>
      </c>
    </row>
    <row r="268" spans="1:10" ht="15" x14ac:dyDescent="0.2">
      <c r="A268" s="16">
        <v>49065</v>
      </c>
      <c r="B268" s="17">
        <f>27.8459 * CHOOSE(CONTROL!$C$15, $E$9, 100%, $G$9) + CHOOSE(CONTROL!$C$38, 0.0353, 0)</f>
        <v>27.8812</v>
      </c>
      <c r="C268" s="17">
        <f>26.1129 * CHOOSE(CONTROL!$C$15, $E$9, 100%, $G$9) + CHOOSE(CONTROL!$C$38, 0.0354, 0)</f>
        <v>26.148299999999999</v>
      </c>
      <c r="D268" s="17">
        <f>26.1051 * CHOOSE(CONTROL!$C$15, $E$9, 100%, $G$9) + CHOOSE(CONTROL!$C$38, 0.0354, 0)</f>
        <v>26.140499999999999</v>
      </c>
      <c r="E268" s="17">
        <f>26.1051 * CHOOSE(CONTROL!$C$15, $E$9, 100%, $G$9) + CHOOSE(CONTROL!$C$38, 0.0354, 0)</f>
        <v>26.140499999999999</v>
      </c>
      <c r="F268" s="45">
        <f>27.8459 * CHOOSE(CONTROL!$C$15, $E$9, 100%, $G$9) + CHOOSE(CONTROL!$C$38, 0.0353, 0)</f>
        <v>27.8812</v>
      </c>
      <c r="G268" s="17">
        <f>26.1113 * CHOOSE(CONTROL!$C$15, $E$9, 100%, $G$9) + CHOOSE(CONTROL!$C$38, 0.0354, 0)</f>
        <v>26.146699999999999</v>
      </c>
      <c r="H268" s="17">
        <f>26.1113 * CHOOSE(CONTROL!$C$15, $E$9, 100%, $G$9) + CHOOSE(CONTROL!$C$38, 0.0354, 0)</f>
        <v>26.146699999999999</v>
      </c>
      <c r="I268" s="17">
        <f>26.1129 * CHOOSE(CONTROL!$C$15, $E$9, 100%, $G$9) + CHOOSE(CONTROL!$C$38, 0.0354, 0)</f>
        <v>26.148299999999999</v>
      </c>
      <c r="J268" s="44">
        <f>197.144</f>
        <v>197.14400000000001</v>
      </c>
    </row>
    <row r="269" spans="1:10" ht="15" x14ac:dyDescent="0.2">
      <c r="A269" s="16">
        <v>49096</v>
      </c>
      <c r="B269" s="17">
        <f>27.2816 * CHOOSE(CONTROL!$C$15, $E$9, 100%, $G$9) + CHOOSE(CONTROL!$C$38, 0.0353, 0)</f>
        <v>27.3169</v>
      </c>
      <c r="C269" s="17">
        <f>25.5486 * CHOOSE(CONTROL!$C$15, $E$9, 100%, $G$9) + CHOOSE(CONTROL!$C$38, 0.0354, 0)</f>
        <v>25.584</v>
      </c>
      <c r="D269" s="17">
        <f>25.5407 * CHOOSE(CONTROL!$C$15, $E$9, 100%, $G$9) + CHOOSE(CONTROL!$C$38, 0.0354, 0)</f>
        <v>25.5761</v>
      </c>
      <c r="E269" s="17">
        <f>25.5407 * CHOOSE(CONTROL!$C$15, $E$9, 100%, $G$9) + CHOOSE(CONTROL!$C$38, 0.0354, 0)</f>
        <v>25.5761</v>
      </c>
      <c r="F269" s="45">
        <f>27.2816 * CHOOSE(CONTROL!$C$15, $E$9, 100%, $G$9) + CHOOSE(CONTROL!$C$38, 0.0353, 0)</f>
        <v>27.3169</v>
      </c>
      <c r="G269" s="17">
        <f>25.547 * CHOOSE(CONTROL!$C$15, $E$9, 100%, $G$9) + CHOOSE(CONTROL!$C$38, 0.0354, 0)</f>
        <v>25.5824</v>
      </c>
      <c r="H269" s="17">
        <f>25.547 * CHOOSE(CONTROL!$C$15, $E$9, 100%, $G$9) + CHOOSE(CONTROL!$C$38, 0.0354, 0)</f>
        <v>25.5824</v>
      </c>
      <c r="I269" s="17">
        <f>25.5486 * CHOOSE(CONTROL!$C$15, $E$9, 100%, $G$9) + CHOOSE(CONTROL!$C$38, 0.0354, 0)</f>
        <v>25.584</v>
      </c>
      <c r="J269" s="44">
        <f>199.9846</f>
        <v>199.9846</v>
      </c>
    </row>
    <row r="270" spans="1:10" ht="15" x14ac:dyDescent="0.2">
      <c r="A270" s="16">
        <v>49126</v>
      </c>
      <c r="B270" s="17">
        <f>26.9595 * CHOOSE(CONTROL!$C$15, $E$9, 100%, $G$9) + CHOOSE(CONTROL!$C$38, 0.0353, 0)</f>
        <v>26.994799999999998</v>
      </c>
      <c r="C270" s="17">
        <f>25.2265 * CHOOSE(CONTROL!$C$15, $E$9, 100%, $G$9) + CHOOSE(CONTROL!$C$38, 0.0354, 0)</f>
        <v>25.261900000000001</v>
      </c>
      <c r="D270" s="17">
        <f>25.2187 * CHOOSE(CONTROL!$C$15, $E$9, 100%, $G$9) + CHOOSE(CONTROL!$C$38, 0.0354, 0)</f>
        <v>25.254099999999998</v>
      </c>
      <c r="E270" s="17">
        <f>25.2187 * CHOOSE(CONTROL!$C$15, $E$9, 100%, $G$9) + CHOOSE(CONTROL!$C$38, 0.0354, 0)</f>
        <v>25.254099999999998</v>
      </c>
      <c r="F270" s="45">
        <f>26.9595 * CHOOSE(CONTROL!$C$15, $E$9, 100%, $G$9) + CHOOSE(CONTROL!$C$38, 0.0353, 0)</f>
        <v>26.994799999999998</v>
      </c>
      <c r="G270" s="17">
        <f>25.2249 * CHOOSE(CONTROL!$C$15, $E$9, 100%, $G$9) + CHOOSE(CONTROL!$C$38, 0.0354, 0)</f>
        <v>25.260300000000001</v>
      </c>
      <c r="H270" s="17">
        <f>25.2249 * CHOOSE(CONTROL!$C$15, $E$9, 100%, $G$9) + CHOOSE(CONTROL!$C$38, 0.0354, 0)</f>
        <v>25.260300000000001</v>
      </c>
      <c r="I270" s="17">
        <f>25.2265 * CHOOSE(CONTROL!$C$15, $E$9, 100%, $G$9) + CHOOSE(CONTROL!$C$38, 0.0354, 0)</f>
        <v>25.261900000000001</v>
      </c>
      <c r="J270" s="44">
        <f>199.0494</f>
        <v>199.04939999999999</v>
      </c>
    </row>
    <row r="271" spans="1:10" ht="15" x14ac:dyDescent="0.2">
      <c r="A271" s="16">
        <v>49157</v>
      </c>
      <c r="B271" s="17">
        <f>27.1184 * CHOOSE(CONTROL!$C$15, $E$9, 100%, $G$9) + CHOOSE(CONTROL!$C$38, 0.0353, 0)</f>
        <v>27.153700000000001</v>
      </c>
      <c r="C271" s="17">
        <f>25.3854 * CHOOSE(CONTROL!$C$15, $E$9, 100%, $G$9) + CHOOSE(CONTROL!$C$38, 0.0354, 0)</f>
        <v>25.4208</v>
      </c>
      <c r="D271" s="17">
        <f>25.3776 * CHOOSE(CONTROL!$C$15, $E$9, 100%, $G$9) + CHOOSE(CONTROL!$C$38, 0.0354, 0)</f>
        <v>25.413</v>
      </c>
      <c r="E271" s="17">
        <f>25.3776 * CHOOSE(CONTROL!$C$15, $E$9, 100%, $G$9) + CHOOSE(CONTROL!$C$38, 0.0354, 0)</f>
        <v>25.413</v>
      </c>
      <c r="F271" s="45">
        <f>27.1184 * CHOOSE(CONTROL!$C$15, $E$9, 100%, $G$9) + CHOOSE(CONTROL!$C$38, 0.0353, 0)</f>
        <v>27.153700000000001</v>
      </c>
      <c r="G271" s="17">
        <f>25.3839 * CHOOSE(CONTROL!$C$15, $E$9, 100%, $G$9) + CHOOSE(CONTROL!$C$38, 0.0354, 0)</f>
        <v>25.4193</v>
      </c>
      <c r="H271" s="17">
        <f>25.3839 * CHOOSE(CONTROL!$C$15, $E$9, 100%, $G$9) + CHOOSE(CONTROL!$C$38, 0.0354, 0)</f>
        <v>25.4193</v>
      </c>
      <c r="I271" s="17">
        <f>25.3854 * CHOOSE(CONTROL!$C$15, $E$9, 100%, $G$9) + CHOOSE(CONTROL!$C$38, 0.0354, 0)</f>
        <v>25.4208</v>
      </c>
      <c r="J271" s="44">
        <f>194.4156</f>
        <v>194.41560000000001</v>
      </c>
    </row>
    <row r="272" spans="1:10" ht="15" x14ac:dyDescent="0.2">
      <c r="A272" s="16">
        <v>49188</v>
      </c>
      <c r="B272" s="17">
        <f>27.5502 * CHOOSE(CONTROL!$C$15, $E$9, 100%, $G$9) + CHOOSE(CONTROL!$C$38, 0.0353, 0)</f>
        <v>27.5855</v>
      </c>
      <c r="C272" s="17">
        <f>25.8172 * CHOOSE(CONTROL!$C$15, $E$9, 100%, $G$9) + CHOOSE(CONTROL!$C$38, 0.0354, 0)</f>
        <v>25.852599999999999</v>
      </c>
      <c r="D272" s="17">
        <f>25.8093 * CHOOSE(CONTROL!$C$15, $E$9, 100%, $G$9) + CHOOSE(CONTROL!$C$38, 0.0354, 0)</f>
        <v>25.8447</v>
      </c>
      <c r="E272" s="17">
        <f>25.8093 * CHOOSE(CONTROL!$C$15, $E$9, 100%, $G$9) + CHOOSE(CONTROL!$C$38, 0.0354, 0)</f>
        <v>25.8447</v>
      </c>
      <c r="F272" s="45">
        <f>27.5502 * CHOOSE(CONTROL!$C$15, $E$9, 100%, $G$9) + CHOOSE(CONTROL!$C$38, 0.0353, 0)</f>
        <v>27.5855</v>
      </c>
      <c r="G272" s="17">
        <f>25.8156 * CHOOSE(CONTROL!$C$15, $E$9, 100%, $G$9) + CHOOSE(CONTROL!$C$38, 0.0354, 0)</f>
        <v>25.850999999999999</v>
      </c>
      <c r="H272" s="17">
        <f>25.8156 * CHOOSE(CONTROL!$C$15, $E$9, 100%, $G$9) + CHOOSE(CONTROL!$C$38, 0.0354, 0)</f>
        <v>25.850999999999999</v>
      </c>
      <c r="I272" s="17">
        <f>25.8172 * CHOOSE(CONTROL!$C$15, $E$9, 100%, $G$9) + CHOOSE(CONTROL!$C$38, 0.0354, 0)</f>
        <v>25.852599999999999</v>
      </c>
      <c r="J272" s="44">
        <f>187.9535</f>
        <v>187.95349999999999</v>
      </c>
    </row>
    <row r="273" spans="1:10" ht="15" x14ac:dyDescent="0.2">
      <c r="A273" s="16">
        <v>49218</v>
      </c>
      <c r="B273" s="17">
        <f>27.9117 * CHOOSE(CONTROL!$C$15, $E$9, 100%, $G$9) + CHOOSE(CONTROL!$C$38, 0.034, 0)</f>
        <v>27.945699999999999</v>
      </c>
      <c r="C273" s="17">
        <f>26.1787 * CHOOSE(CONTROL!$C$15, $E$9, 100%, $G$9) + CHOOSE(CONTROL!$C$38, 0.0342, 0)</f>
        <v>26.212899999999998</v>
      </c>
      <c r="D273" s="17">
        <f>26.1709 * CHOOSE(CONTROL!$C$15, $E$9, 100%, $G$9) + CHOOSE(CONTROL!$C$38, 0.0342, 0)</f>
        <v>26.205099999999998</v>
      </c>
      <c r="E273" s="17">
        <f>26.1709 * CHOOSE(CONTROL!$C$15, $E$9, 100%, $G$9) + CHOOSE(CONTROL!$C$38, 0.0342, 0)</f>
        <v>26.205099999999998</v>
      </c>
      <c r="F273" s="45">
        <f>27.9117 * CHOOSE(CONTROL!$C$15, $E$9, 100%, $G$9) + CHOOSE(CONTROL!$C$38, 0.034, 0)</f>
        <v>27.945699999999999</v>
      </c>
      <c r="G273" s="17">
        <f>26.1772 * CHOOSE(CONTROL!$C$15, $E$9, 100%, $G$9) + CHOOSE(CONTROL!$C$38, 0.0342, 0)</f>
        <v>26.211399999999998</v>
      </c>
      <c r="H273" s="17">
        <f>26.1772 * CHOOSE(CONTROL!$C$15, $E$9, 100%, $G$9) + CHOOSE(CONTROL!$C$38, 0.0342, 0)</f>
        <v>26.211399999999998</v>
      </c>
      <c r="I273" s="17">
        <f>26.1787 * CHOOSE(CONTROL!$C$15, $E$9, 100%, $G$9) + CHOOSE(CONTROL!$C$38, 0.0342, 0)</f>
        <v>26.212899999999998</v>
      </c>
      <c r="J273" s="44">
        <f>181.4539</f>
        <v>181.4539</v>
      </c>
    </row>
    <row r="274" spans="1:10" ht="15" x14ac:dyDescent="0.2">
      <c r="A274" s="16">
        <v>49249</v>
      </c>
      <c r="B274" s="17">
        <f>28.2134 * CHOOSE(CONTROL!$C$15, $E$9, 100%, $G$9) + CHOOSE(CONTROL!$C$38, 0.034, 0)</f>
        <v>28.247399999999999</v>
      </c>
      <c r="C274" s="17">
        <f>26.4804 * CHOOSE(CONTROL!$C$15, $E$9, 100%, $G$9) + CHOOSE(CONTROL!$C$38, 0.0342, 0)</f>
        <v>26.514599999999998</v>
      </c>
      <c r="D274" s="17">
        <f>26.4726 * CHOOSE(CONTROL!$C$15, $E$9, 100%, $G$9) + CHOOSE(CONTROL!$C$38, 0.0342, 0)</f>
        <v>26.506799999999998</v>
      </c>
      <c r="E274" s="17">
        <f>26.4726 * CHOOSE(CONTROL!$C$15, $E$9, 100%, $G$9) + CHOOSE(CONTROL!$C$38, 0.0342, 0)</f>
        <v>26.506799999999998</v>
      </c>
      <c r="F274" s="45">
        <f>28.2134 * CHOOSE(CONTROL!$C$15, $E$9, 100%, $G$9) + CHOOSE(CONTROL!$C$38, 0.034, 0)</f>
        <v>28.247399999999999</v>
      </c>
      <c r="G274" s="17">
        <f>26.4789 * CHOOSE(CONTROL!$C$15, $E$9, 100%, $G$9) + CHOOSE(CONTROL!$C$38, 0.0342, 0)</f>
        <v>26.513099999999998</v>
      </c>
      <c r="H274" s="17">
        <f>26.4789 * CHOOSE(CONTROL!$C$15, $E$9, 100%, $G$9) + CHOOSE(CONTROL!$C$38, 0.0342, 0)</f>
        <v>26.513099999999998</v>
      </c>
      <c r="I274" s="17">
        <f>26.4804 * CHOOSE(CONTROL!$C$15, $E$9, 100%, $G$9) + CHOOSE(CONTROL!$C$38, 0.0342, 0)</f>
        <v>26.514599999999998</v>
      </c>
      <c r="J274" s="44">
        <f>180.161</f>
        <v>180.161</v>
      </c>
    </row>
    <row r="275" spans="1:10" ht="15" x14ac:dyDescent="0.2">
      <c r="A275" s="16">
        <v>49279</v>
      </c>
      <c r="B275" s="17">
        <f>29.1431 * CHOOSE(CONTROL!$C$15, $E$9, 100%, $G$9) + CHOOSE(CONTROL!$C$38, 0.034, 0)</f>
        <v>29.177099999999999</v>
      </c>
      <c r="C275" s="17">
        <f>27.4101 * CHOOSE(CONTROL!$C$15, $E$9, 100%, $G$9) + CHOOSE(CONTROL!$C$38, 0.0342, 0)</f>
        <v>27.444299999999998</v>
      </c>
      <c r="D275" s="17">
        <f>27.4023 * CHOOSE(CONTROL!$C$15, $E$9, 100%, $G$9) + CHOOSE(CONTROL!$C$38, 0.0342, 0)</f>
        <v>27.436499999999999</v>
      </c>
      <c r="E275" s="17">
        <f>27.4023 * CHOOSE(CONTROL!$C$15, $E$9, 100%, $G$9) + CHOOSE(CONTROL!$C$38, 0.0342, 0)</f>
        <v>27.436499999999999</v>
      </c>
      <c r="F275" s="45">
        <f>29.1431 * CHOOSE(CONTROL!$C$15, $E$9, 100%, $G$9) + CHOOSE(CONTROL!$C$38, 0.034, 0)</f>
        <v>29.177099999999999</v>
      </c>
      <c r="G275" s="17">
        <f>27.4085 * CHOOSE(CONTROL!$C$15, $E$9, 100%, $G$9) + CHOOSE(CONTROL!$C$38, 0.0342, 0)</f>
        <v>27.442699999999999</v>
      </c>
      <c r="H275" s="17">
        <f>27.4085 * CHOOSE(CONTROL!$C$15, $E$9, 100%, $G$9) + CHOOSE(CONTROL!$C$38, 0.0342, 0)</f>
        <v>27.442699999999999</v>
      </c>
      <c r="I275" s="17">
        <f>27.4101 * CHOOSE(CONTROL!$C$15, $E$9, 100%, $G$9) + CHOOSE(CONTROL!$C$38, 0.0342, 0)</f>
        <v>27.444299999999998</v>
      </c>
      <c r="J275" s="44">
        <f>174.8147</f>
        <v>174.81469999999999</v>
      </c>
    </row>
    <row r="276" spans="1:10" ht="15" x14ac:dyDescent="0.2">
      <c r="A276" s="16">
        <v>49310</v>
      </c>
      <c r="B276" s="17">
        <f>30.3418 * CHOOSE(CONTROL!$C$15, $E$9, 100%, $G$9) + CHOOSE(CONTROL!$C$38, 0.034, 0)</f>
        <v>30.375799999999998</v>
      </c>
      <c r="C276" s="17">
        <f>28.5823 * CHOOSE(CONTROL!$C$15, $E$9, 100%, $G$9) + CHOOSE(CONTROL!$C$38, 0.0342, 0)</f>
        <v>28.616499999999998</v>
      </c>
      <c r="D276" s="17">
        <f>28.5745 * CHOOSE(CONTROL!$C$15, $E$9, 100%, $G$9) + CHOOSE(CONTROL!$C$38, 0.0342, 0)</f>
        <v>28.608699999999999</v>
      </c>
      <c r="E276" s="17">
        <f>28.5745 * CHOOSE(CONTROL!$C$15, $E$9, 100%, $G$9) + CHOOSE(CONTROL!$C$38, 0.0342, 0)</f>
        <v>28.608699999999999</v>
      </c>
      <c r="F276" s="45">
        <f>30.3418 * CHOOSE(CONTROL!$C$15, $E$9, 100%, $G$9) + CHOOSE(CONTROL!$C$38, 0.034, 0)</f>
        <v>30.375799999999998</v>
      </c>
      <c r="G276" s="17">
        <f>28.5807 * CHOOSE(CONTROL!$C$15, $E$9, 100%, $G$9) + CHOOSE(CONTROL!$C$38, 0.0342, 0)</f>
        <v>28.614899999999999</v>
      </c>
      <c r="H276" s="17">
        <f>28.5807 * CHOOSE(CONTROL!$C$15, $E$9, 100%, $G$9) + CHOOSE(CONTROL!$C$38, 0.0342, 0)</f>
        <v>28.614899999999999</v>
      </c>
      <c r="I276" s="17">
        <f>28.5823 * CHOOSE(CONTROL!$C$15, $E$9, 100%, $G$9) + CHOOSE(CONTROL!$C$38, 0.0342, 0)</f>
        <v>28.616499999999998</v>
      </c>
      <c r="J276" s="44">
        <f>174.6885</f>
        <v>174.6885</v>
      </c>
    </row>
    <row r="277" spans="1:10" ht="15" x14ac:dyDescent="0.2">
      <c r="A277" s="16">
        <v>49341</v>
      </c>
      <c r="B277" s="17">
        <f>30.6861 * CHOOSE(CONTROL!$C$15, $E$9, 100%, $G$9) + CHOOSE(CONTROL!$C$38, 0.034, 0)</f>
        <v>30.720099999999999</v>
      </c>
      <c r="C277" s="17">
        <f>28.9266 * CHOOSE(CONTROL!$C$15, $E$9, 100%, $G$9) + CHOOSE(CONTROL!$C$38, 0.0342, 0)</f>
        <v>28.960799999999999</v>
      </c>
      <c r="D277" s="17">
        <f>28.9188 * CHOOSE(CONTROL!$C$15, $E$9, 100%, $G$9) + CHOOSE(CONTROL!$C$38, 0.0342, 0)</f>
        <v>28.952999999999999</v>
      </c>
      <c r="E277" s="17">
        <f>28.9188 * CHOOSE(CONTROL!$C$15, $E$9, 100%, $G$9) + CHOOSE(CONTROL!$C$38, 0.0342, 0)</f>
        <v>28.952999999999999</v>
      </c>
      <c r="F277" s="45">
        <f>30.6861 * CHOOSE(CONTROL!$C$15, $E$9, 100%, $G$9) + CHOOSE(CONTROL!$C$38, 0.034, 0)</f>
        <v>30.720099999999999</v>
      </c>
      <c r="G277" s="17">
        <f>28.925 * CHOOSE(CONTROL!$C$15, $E$9, 100%, $G$9) + CHOOSE(CONTROL!$C$38, 0.0342, 0)</f>
        <v>28.959199999999999</v>
      </c>
      <c r="H277" s="17">
        <f>28.925 * CHOOSE(CONTROL!$C$15, $E$9, 100%, $G$9) + CHOOSE(CONTROL!$C$38, 0.0342, 0)</f>
        <v>28.959199999999999</v>
      </c>
      <c r="I277" s="17">
        <f>28.9266 * CHOOSE(CONTROL!$C$15, $E$9, 100%, $G$9) + CHOOSE(CONTROL!$C$38, 0.0342, 0)</f>
        <v>28.960799999999999</v>
      </c>
      <c r="J277" s="44">
        <f>174.2029</f>
        <v>174.2029</v>
      </c>
    </row>
    <row r="278" spans="1:10" ht="15" x14ac:dyDescent="0.2">
      <c r="A278" s="16">
        <v>49369</v>
      </c>
      <c r="B278" s="17">
        <f>29.8891 * CHOOSE(CONTROL!$C$15, $E$9, 100%, $G$9) + CHOOSE(CONTROL!$C$38, 0.034, 0)</f>
        <v>29.923099999999998</v>
      </c>
      <c r="C278" s="17">
        <f>28.1296 * CHOOSE(CONTROL!$C$15, $E$9, 100%, $G$9) + CHOOSE(CONTROL!$C$38, 0.0342, 0)</f>
        <v>28.163799999999998</v>
      </c>
      <c r="D278" s="17">
        <f>28.1218 * CHOOSE(CONTROL!$C$15, $E$9, 100%, $G$9) + CHOOSE(CONTROL!$C$38, 0.0342, 0)</f>
        <v>28.155999999999999</v>
      </c>
      <c r="E278" s="17">
        <f>28.1218 * CHOOSE(CONTROL!$C$15, $E$9, 100%, $G$9) + CHOOSE(CONTROL!$C$38, 0.0342, 0)</f>
        <v>28.155999999999999</v>
      </c>
      <c r="F278" s="45">
        <f>29.8891 * CHOOSE(CONTROL!$C$15, $E$9, 100%, $G$9) + CHOOSE(CONTROL!$C$38, 0.034, 0)</f>
        <v>29.923099999999998</v>
      </c>
      <c r="G278" s="17">
        <f>28.128 * CHOOSE(CONTROL!$C$15, $E$9, 100%, $G$9) + CHOOSE(CONTROL!$C$38, 0.0342, 0)</f>
        <v>28.162199999999999</v>
      </c>
      <c r="H278" s="17">
        <f>28.128 * CHOOSE(CONTROL!$C$15, $E$9, 100%, $G$9) + CHOOSE(CONTROL!$C$38, 0.0342, 0)</f>
        <v>28.162199999999999</v>
      </c>
      <c r="I278" s="17">
        <f>28.1296 * CHOOSE(CONTROL!$C$15, $E$9, 100%, $G$9) + CHOOSE(CONTROL!$C$38, 0.0342, 0)</f>
        <v>28.163799999999998</v>
      </c>
      <c r="J278" s="44">
        <f>183.3844</f>
        <v>183.3844</v>
      </c>
    </row>
    <row r="279" spans="1:10" ht="15" x14ac:dyDescent="0.2">
      <c r="A279" s="16">
        <v>49400</v>
      </c>
      <c r="B279" s="17">
        <f>29.1167 * CHOOSE(CONTROL!$C$15, $E$9, 100%, $G$9) + CHOOSE(CONTROL!$C$38, 0.034, 0)</f>
        <v>29.150700000000001</v>
      </c>
      <c r="C279" s="17">
        <f>27.3573 * CHOOSE(CONTROL!$C$15, $E$9, 100%, $G$9) + CHOOSE(CONTROL!$C$38, 0.0342, 0)</f>
        <v>27.391499999999997</v>
      </c>
      <c r="D279" s="17">
        <f>27.3495 * CHOOSE(CONTROL!$C$15, $E$9, 100%, $G$9) + CHOOSE(CONTROL!$C$38, 0.0342, 0)</f>
        <v>27.383699999999997</v>
      </c>
      <c r="E279" s="17">
        <f>27.3495 * CHOOSE(CONTROL!$C$15, $E$9, 100%, $G$9) + CHOOSE(CONTROL!$C$38, 0.0342, 0)</f>
        <v>27.383699999999997</v>
      </c>
      <c r="F279" s="45">
        <f>29.1167 * CHOOSE(CONTROL!$C$15, $E$9, 100%, $G$9) + CHOOSE(CONTROL!$C$38, 0.034, 0)</f>
        <v>29.150700000000001</v>
      </c>
      <c r="G279" s="17">
        <f>27.3557 * CHOOSE(CONTROL!$C$15, $E$9, 100%, $G$9) + CHOOSE(CONTROL!$C$38, 0.0342, 0)</f>
        <v>27.389899999999997</v>
      </c>
      <c r="H279" s="17">
        <f>27.3557 * CHOOSE(CONTROL!$C$15, $E$9, 100%, $G$9) + CHOOSE(CONTROL!$C$38, 0.0342, 0)</f>
        <v>27.389899999999997</v>
      </c>
      <c r="I279" s="17">
        <f>27.3573 * CHOOSE(CONTROL!$C$15, $E$9, 100%, $G$9) + CHOOSE(CONTROL!$C$38, 0.0342, 0)</f>
        <v>27.391499999999997</v>
      </c>
      <c r="J279" s="44">
        <f>195.2906</f>
        <v>195.29060000000001</v>
      </c>
    </row>
    <row r="280" spans="1:10" ht="15" x14ac:dyDescent="0.2">
      <c r="A280" s="16">
        <v>49430</v>
      </c>
      <c r="B280" s="17">
        <f>28.3118 * CHOOSE(CONTROL!$C$15, $E$9, 100%, $G$9) + CHOOSE(CONTROL!$C$38, 0.0353, 0)</f>
        <v>28.347100000000001</v>
      </c>
      <c r="C280" s="17">
        <f>26.5523 * CHOOSE(CONTROL!$C$15, $E$9, 100%, $G$9) + CHOOSE(CONTROL!$C$38, 0.0354, 0)</f>
        <v>26.587699999999998</v>
      </c>
      <c r="D280" s="17">
        <f>26.5445 * CHOOSE(CONTROL!$C$15, $E$9, 100%, $G$9) + CHOOSE(CONTROL!$C$38, 0.0354, 0)</f>
        <v>26.579899999999999</v>
      </c>
      <c r="E280" s="17">
        <f>26.5445 * CHOOSE(CONTROL!$C$15, $E$9, 100%, $G$9) + CHOOSE(CONTROL!$C$38, 0.0354, 0)</f>
        <v>26.579899999999999</v>
      </c>
      <c r="F280" s="45">
        <f>28.3118 * CHOOSE(CONTROL!$C$15, $E$9, 100%, $G$9) + CHOOSE(CONTROL!$C$38, 0.0353, 0)</f>
        <v>28.347100000000001</v>
      </c>
      <c r="G280" s="17">
        <f>26.5507 * CHOOSE(CONTROL!$C$15, $E$9, 100%, $G$9) + CHOOSE(CONTROL!$C$38, 0.0354, 0)</f>
        <v>26.586099999999998</v>
      </c>
      <c r="H280" s="17">
        <f>26.5507 * CHOOSE(CONTROL!$C$15, $E$9, 100%, $G$9) + CHOOSE(CONTROL!$C$38, 0.0354, 0)</f>
        <v>26.586099999999998</v>
      </c>
      <c r="I280" s="17">
        <f>26.5523 * CHOOSE(CONTROL!$C$15, $E$9, 100%, $G$9) + CHOOSE(CONTROL!$C$38, 0.0354, 0)</f>
        <v>26.587699999999998</v>
      </c>
      <c r="J280" s="44">
        <f>201.8442</f>
        <v>201.8442</v>
      </c>
    </row>
    <row r="281" spans="1:10" ht="15" x14ac:dyDescent="0.2">
      <c r="A281" s="15">
        <v>49461</v>
      </c>
      <c r="B281" s="17">
        <f>27.7474 * CHOOSE(CONTROL!$C$15, $E$9, 100%, $G$9) + CHOOSE(CONTROL!$C$38, 0.0353, 0)</f>
        <v>27.782699999999998</v>
      </c>
      <c r="C281" s="17">
        <f>25.988 * CHOOSE(CONTROL!$C$15, $E$9, 100%, $G$9) + CHOOSE(CONTROL!$C$38, 0.0354, 0)</f>
        <v>26.023399999999999</v>
      </c>
      <c r="D281" s="17">
        <f>25.9802 * CHOOSE(CONTROL!$C$15, $E$9, 100%, $G$9) + CHOOSE(CONTROL!$C$38, 0.0354, 0)</f>
        <v>26.015599999999999</v>
      </c>
      <c r="E281" s="17">
        <f>25.9802 * CHOOSE(CONTROL!$C$15, $E$9, 100%, $G$9) + CHOOSE(CONTROL!$C$38, 0.0354, 0)</f>
        <v>26.015599999999999</v>
      </c>
      <c r="F281" s="45">
        <f>27.7474 * CHOOSE(CONTROL!$C$15, $E$9, 100%, $G$9) + CHOOSE(CONTROL!$C$38, 0.0353, 0)</f>
        <v>27.782699999999998</v>
      </c>
      <c r="G281" s="17">
        <f>25.9864 * CHOOSE(CONTROL!$C$15, $E$9, 100%, $G$9) + CHOOSE(CONTROL!$C$38, 0.0354, 0)</f>
        <v>26.021799999999999</v>
      </c>
      <c r="H281" s="17">
        <f>25.9864 * CHOOSE(CONTROL!$C$15, $E$9, 100%, $G$9) + CHOOSE(CONTROL!$C$38, 0.0354, 0)</f>
        <v>26.021799999999999</v>
      </c>
      <c r="I281" s="17">
        <f>25.988 * CHOOSE(CONTROL!$C$15, $E$9, 100%, $G$9) + CHOOSE(CONTROL!$C$38, 0.0354, 0)</f>
        <v>26.023399999999999</v>
      </c>
      <c r="J281" s="44">
        <f>204.7526</f>
        <v>204.7526</v>
      </c>
    </row>
    <row r="282" spans="1:10" ht="15" x14ac:dyDescent="0.2">
      <c r="A282" s="15">
        <v>49491</v>
      </c>
      <c r="B282" s="17">
        <f>27.4254 * CHOOSE(CONTROL!$C$15, $E$9, 100%, $G$9) + CHOOSE(CONTROL!$C$38, 0.0353, 0)</f>
        <v>27.460699999999999</v>
      </c>
      <c r="C282" s="17">
        <f>25.6659 * CHOOSE(CONTROL!$C$15, $E$9, 100%, $G$9) + CHOOSE(CONTROL!$C$38, 0.0354, 0)</f>
        <v>25.7013</v>
      </c>
      <c r="D282" s="17">
        <f>25.6581 * CHOOSE(CONTROL!$C$15, $E$9, 100%, $G$9) + CHOOSE(CONTROL!$C$38, 0.0354, 0)</f>
        <v>25.6935</v>
      </c>
      <c r="E282" s="17">
        <f>25.6581 * CHOOSE(CONTROL!$C$15, $E$9, 100%, $G$9) + CHOOSE(CONTROL!$C$38, 0.0354, 0)</f>
        <v>25.6935</v>
      </c>
      <c r="F282" s="45">
        <f>27.4254 * CHOOSE(CONTROL!$C$15, $E$9, 100%, $G$9) + CHOOSE(CONTROL!$C$38, 0.0353, 0)</f>
        <v>27.460699999999999</v>
      </c>
      <c r="G282" s="17">
        <f>25.6644 * CHOOSE(CONTROL!$C$15, $E$9, 100%, $G$9) + CHOOSE(CONTROL!$C$38, 0.0354, 0)</f>
        <v>25.6998</v>
      </c>
      <c r="H282" s="17">
        <f>25.6644 * CHOOSE(CONTROL!$C$15, $E$9, 100%, $G$9) + CHOOSE(CONTROL!$C$38, 0.0354, 0)</f>
        <v>25.6998</v>
      </c>
      <c r="I282" s="17">
        <f>25.6659 * CHOOSE(CONTROL!$C$15, $E$9, 100%, $G$9) + CHOOSE(CONTROL!$C$38, 0.0354, 0)</f>
        <v>25.7013</v>
      </c>
      <c r="J282" s="44">
        <f>203.795</f>
        <v>203.79499999999999</v>
      </c>
    </row>
    <row r="283" spans="1:10" ht="15" x14ac:dyDescent="0.2">
      <c r="A283" s="15">
        <v>49522</v>
      </c>
      <c r="B283" s="17">
        <f>27.5843 * CHOOSE(CONTROL!$C$15, $E$9, 100%, $G$9) + CHOOSE(CONTROL!$C$38, 0.0353, 0)</f>
        <v>27.619599999999998</v>
      </c>
      <c r="C283" s="17">
        <f>25.8249 * CHOOSE(CONTROL!$C$15, $E$9, 100%, $G$9) + CHOOSE(CONTROL!$C$38, 0.0354, 0)</f>
        <v>25.860299999999999</v>
      </c>
      <c r="D283" s="17">
        <f>25.817 * CHOOSE(CONTROL!$C$15, $E$9, 100%, $G$9) + CHOOSE(CONTROL!$C$38, 0.0354, 0)</f>
        <v>25.852399999999999</v>
      </c>
      <c r="E283" s="17">
        <f>25.817 * CHOOSE(CONTROL!$C$15, $E$9, 100%, $G$9) + CHOOSE(CONTROL!$C$38, 0.0354, 0)</f>
        <v>25.852399999999999</v>
      </c>
      <c r="F283" s="45">
        <f>27.5843 * CHOOSE(CONTROL!$C$15, $E$9, 100%, $G$9) + CHOOSE(CONTROL!$C$38, 0.0353, 0)</f>
        <v>27.619599999999998</v>
      </c>
      <c r="G283" s="17">
        <f>25.8233 * CHOOSE(CONTROL!$C$15, $E$9, 100%, $G$9) + CHOOSE(CONTROL!$C$38, 0.0354, 0)</f>
        <v>25.858699999999999</v>
      </c>
      <c r="H283" s="17">
        <f>25.8233 * CHOOSE(CONTROL!$C$15, $E$9, 100%, $G$9) + CHOOSE(CONTROL!$C$38, 0.0354, 0)</f>
        <v>25.858699999999999</v>
      </c>
      <c r="I283" s="17">
        <f>25.8249 * CHOOSE(CONTROL!$C$15, $E$9, 100%, $G$9) + CHOOSE(CONTROL!$C$38, 0.0354, 0)</f>
        <v>25.860299999999999</v>
      </c>
      <c r="J283" s="44">
        <f>199.0507</f>
        <v>199.05070000000001</v>
      </c>
    </row>
    <row r="284" spans="1:10" ht="15" x14ac:dyDescent="0.2">
      <c r="A284" s="15">
        <v>49553</v>
      </c>
      <c r="B284" s="17">
        <f>28.016 * CHOOSE(CONTROL!$C$15, $E$9, 100%, $G$9) + CHOOSE(CONTROL!$C$38, 0.0353, 0)</f>
        <v>28.051299999999998</v>
      </c>
      <c r="C284" s="17">
        <f>26.2566 * CHOOSE(CONTROL!$C$15, $E$9, 100%, $G$9) + CHOOSE(CONTROL!$C$38, 0.0354, 0)</f>
        <v>26.291999999999998</v>
      </c>
      <c r="D284" s="17">
        <f>26.2488 * CHOOSE(CONTROL!$C$15, $E$9, 100%, $G$9) + CHOOSE(CONTROL!$C$38, 0.0354, 0)</f>
        <v>26.284199999999998</v>
      </c>
      <c r="E284" s="17">
        <f>26.2488 * CHOOSE(CONTROL!$C$15, $E$9, 100%, $G$9) + CHOOSE(CONTROL!$C$38, 0.0354, 0)</f>
        <v>26.284199999999998</v>
      </c>
      <c r="F284" s="45">
        <f>28.016 * CHOOSE(CONTROL!$C$15, $E$9, 100%, $G$9) + CHOOSE(CONTROL!$C$38, 0.0353, 0)</f>
        <v>28.051299999999998</v>
      </c>
      <c r="G284" s="17">
        <f>26.255 * CHOOSE(CONTROL!$C$15, $E$9, 100%, $G$9) + CHOOSE(CONTROL!$C$38, 0.0354, 0)</f>
        <v>26.290399999999998</v>
      </c>
      <c r="H284" s="17">
        <f>26.255 * CHOOSE(CONTROL!$C$15, $E$9, 100%, $G$9) + CHOOSE(CONTROL!$C$38, 0.0354, 0)</f>
        <v>26.290399999999998</v>
      </c>
      <c r="I284" s="17">
        <f>26.2566 * CHOOSE(CONTROL!$C$15, $E$9, 100%, $G$9) + CHOOSE(CONTROL!$C$38, 0.0354, 0)</f>
        <v>26.291999999999998</v>
      </c>
      <c r="J284" s="44">
        <f>192.4346</f>
        <v>192.43459999999999</v>
      </c>
    </row>
    <row r="285" spans="1:10" ht="15" x14ac:dyDescent="0.2">
      <c r="A285" s="15">
        <v>49583</v>
      </c>
      <c r="B285" s="17">
        <f>28.3776 * CHOOSE(CONTROL!$C$15, $E$9, 100%, $G$9) + CHOOSE(CONTROL!$C$38, 0.034, 0)</f>
        <v>28.4116</v>
      </c>
      <c r="C285" s="17">
        <f>26.6181 * CHOOSE(CONTROL!$C$15, $E$9, 100%, $G$9) + CHOOSE(CONTROL!$C$38, 0.0342, 0)</f>
        <v>26.652299999999997</v>
      </c>
      <c r="D285" s="17">
        <f>26.6103 * CHOOSE(CONTROL!$C$15, $E$9, 100%, $G$9) + CHOOSE(CONTROL!$C$38, 0.0342, 0)</f>
        <v>26.644499999999997</v>
      </c>
      <c r="E285" s="17">
        <f>26.6103 * CHOOSE(CONTROL!$C$15, $E$9, 100%, $G$9) + CHOOSE(CONTROL!$C$38, 0.0342, 0)</f>
        <v>26.644499999999997</v>
      </c>
      <c r="F285" s="45">
        <f>28.3776 * CHOOSE(CONTROL!$C$15, $E$9, 100%, $G$9) + CHOOSE(CONTROL!$C$38, 0.034, 0)</f>
        <v>28.4116</v>
      </c>
      <c r="G285" s="17">
        <f>26.6166 * CHOOSE(CONTROL!$C$15, $E$9, 100%, $G$9) + CHOOSE(CONTROL!$C$38, 0.0342, 0)</f>
        <v>26.650799999999997</v>
      </c>
      <c r="H285" s="17">
        <f>26.6166 * CHOOSE(CONTROL!$C$15, $E$9, 100%, $G$9) + CHOOSE(CONTROL!$C$38, 0.0342, 0)</f>
        <v>26.650799999999997</v>
      </c>
      <c r="I285" s="17">
        <f>26.6181 * CHOOSE(CONTROL!$C$15, $E$9, 100%, $G$9) + CHOOSE(CONTROL!$C$38, 0.0342, 0)</f>
        <v>26.652299999999997</v>
      </c>
      <c r="J285" s="44">
        <f>185.78</f>
        <v>185.78</v>
      </c>
    </row>
    <row r="286" spans="1:10" ht="15" x14ac:dyDescent="0.2">
      <c r="A286" s="15">
        <v>49614</v>
      </c>
      <c r="B286" s="17">
        <f>28.6793 * CHOOSE(CONTROL!$C$15, $E$9, 100%, $G$9) + CHOOSE(CONTROL!$C$38, 0.034, 0)</f>
        <v>28.7133</v>
      </c>
      <c r="C286" s="17">
        <f>26.9198 * CHOOSE(CONTROL!$C$15, $E$9, 100%, $G$9) + CHOOSE(CONTROL!$C$38, 0.0342, 0)</f>
        <v>26.953999999999997</v>
      </c>
      <c r="D286" s="17">
        <f>26.912 * CHOOSE(CONTROL!$C$15, $E$9, 100%, $G$9) + CHOOSE(CONTROL!$C$38, 0.0342, 0)</f>
        <v>26.946199999999997</v>
      </c>
      <c r="E286" s="17">
        <f>26.912 * CHOOSE(CONTROL!$C$15, $E$9, 100%, $G$9) + CHOOSE(CONTROL!$C$38, 0.0342, 0)</f>
        <v>26.946199999999997</v>
      </c>
      <c r="F286" s="45">
        <f>28.6793 * CHOOSE(CONTROL!$C$15, $E$9, 100%, $G$9) + CHOOSE(CONTROL!$C$38, 0.034, 0)</f>
        <v>28.7133</v>
      </c>
      <c r="G286" s="17">
        <f>26.9183 * CHOOSE(CONTROL!$C$15, $E$9, 100%, $G$9) + CHOOSE(CONTROL!$C$38, 0.0342, 0)</f>
        <v>26.952499999999997</v>
      </c>
      <c r="H286" s="17">
        <f>26.9183 * CHOOSE(CONTROL!$C$15, $E$9, 100%, $G$9) + CHOOSE(CONTROL!$C$38, 0.0342, 0)</f>
        <v>26.952499999999997</v>
      </c>
      <c r="I286" s="17">
        <f>26.9198 * CHOOSE(CONTROL!$C$15, $E$9, 100%, $G$9) + CHOOSE(CONTROL!$C$38, 0.0342, 0)</f>
        <v>26.953999999999997</v>
      </c>
      <c r="J286" s="44">
        <f>184.4563</f>
        <v>184.4563</v>
      </c>
    </row>
    <row r="287" spans="1:10" ht="15" x14ac:dyDescent="0.2">
      <c r="A287" s="15">
        <v>49644</v>
      </c>
      <c r="B287" s="17">
        <f>29.609 * CHOOSE(CONTROL!$C$15, $E$9, 100%, $G$9) + CHOOSE(CONTROL!$C$38, 0.034, 0)</f>
        <v>29.643000000000001</v>
      </c>
      <c r="C287" s="17">
        <f>27.8495 * CHOOSE(CONTROL!$C$15, $E$9, 100%, $G$9) + CHOOSE(CONTROL!$C$38, 0.0342, 0)</f>
        <v>27.883699999999997</v>
      </c>
      <c r="D287" s="17">
        <f>27.8417 * CHOOSE(CONTROL!$C$15, $E$9, 100%, $G$9) + CHOOSE(CONTROL!$C$38, 0.0342, 0)</f>
        <v>27.875899999999998</v>
      </c>
      <c r="E287" s="17">
        <f>27.8417 * CHOOSE(CONTROL!$C$15, $E$9, 100%, $G$9) + CHOOSE(CONTROL!$C$38, 0.0342, 0)</f>
        <v>27.875899999999998</v>
      </c>
      <c r="F287" s="45">
        <f>29.609 * CHOOSE(CONTROL!$C$15, $E$9, 100%, $G$9) + CHOOSE(CONTROL!$C$38, 0.034, 0)</f>
        <v>29.643000000000001</v>
      </c>
      <c r="G287" s="17">
        <f>27.8479 * CHOOSE(CONTROL!$C$15, $E$9, 100%, $G$9) + CHOOSE(CONTROL!$C$38, 0.0342, 0)</f>
        <v>27.882099999999998</v>
      </c>
      <c r="H287" s="17">
        <f>27.8479 * CHOOSE(CONTROL!$C$15, $E$9, 100%, $G$9) + CHOOSE(CONTROL!$C$38, 0.0342, 0)</f>
        <v>27.882099999999998</v>
      </c>
      <c r="I287" s="17">
        <f>27.8495 * CHOOSE(CONTROL!$C$15, $E$9, 100%, $G$9) + CHOOSE(CONTROL!$C$38, 0.0342, 0)</f>
        <v>27.883699999999997</v>
      </c>
      <c r="J287" s="44">
        <f>178.9825</f>
        <v>178.98249999999999</v>
      </c>
    </row>
    <row r="288" spans="1:10" ht="15" x14ac:dyDescent="0.2">
      <c r="A288" s="15">
        <v>49675</v>
      </c>
      <c r="B288" s="17">
        <f>30.8155 * CHOOSE(CONTROL!$C$15, $E$9, 100%, $G$9) + CHOOSE(CONTROL!$C$38, 0.034, 0)</f>
        <v>30.849499999999999</v>
      </c>
      <c r="C288" s="17">
        <f>29.0291 * CHOOSE(CONTROL!$C$15, $E$9, 100%, $G$9) + CHOOSE(CONTROL!$C$38, 0.0342, 0)</f>
        <v>29.063299999999998</v>
      </c>
      <c r="D288" s="17">
        <f>29.0213 * CHOOSE(CONTROL!$C$15, $E$9, 100%, $G$9) + CHOOSE(CONTROL!$C$38, 0.0342, 0)</f>
        <v>29.055499999999999</v>
      </c>
      <c r="E288" s="17">
        <f>29.0213 * CHOOSE(CONTROL!$C$15, $E$9, 100%, $G$9) + CHOOSE(CONTROL!$C$38, 0.0342, 0)</f>
        <v>29.055499999999999</v>
      </c>
      <c r="F288" s="45">
        <f>30.8155 * CHOOSE(CONTROL!$C$15, $E$9, 100%, $G$9) + CHOOSE(CONTROL!$C$38, 0.034, 0)</f>
        <v>30.849499999999999</v>
      </c>
      <c r="G288" s="17">
        <f>29.0275 * CHOOSE(CONTROL!$C$15, $E$9, 100%, $G$9) + CHOOSE(CONTROL!$C$38, 0.0342, 0)</f>
        <v>29.061699999999998</v>
      </c>
      <c r="H288" s="17">
        <f>29.0275 * CHOOSE(CONTROL!$C$15, $E$9, 100%, $G$9) + CHOOSE(CONTROL!$C$38, 0.0342, 0)</f>
        <v>29.061699999999998</v>
      </c>
      <c r="I288" s="17">
        <f>29.0291 * CHOOSE(CONTROL!$C$15, $E$9, 100%, $G$9) + CHOOSE(CONTROL!$C$38, 0.0342, 0)</f>
        <v>29.063299999999998</v>
      </c>
      <c r="J288" s="44">
        <f>178.8533</f>
        <v>178.85329999999999</v>
      </c>
    </row>
    <row r="289" spans="1:10" ht="15" x14ac:dyDescent="0.2">
      <c r="A289" s="15">
        <v>49706</v>
      </c>
      <c r="B289" s="17">
        <f>31.1598 * CHOOSE(CONTROL!$C$15, $E$9, 100%, $G$9) + CHOOSE(CONTROL!$C$38, 0.034, 0)</f>
        <v>31.1938</v>
      </c>
      <c r="C289" s="17">
        <f>29.3734 * CHOOSE(CONTROL!$C$15, $E$9, 100%, $G$9) + CHOOSE(CONTROL!$C$38, 0.0342, 0)</f>
        <v>29.407599999999999</v>
      </c>
      <c r="D289" s="17">
        <f>29.3656 * CHOOSE(CONTROL!$C$15, $E$9, 100%, $G$9) + CHOOSE(CONTROL!$C$38, 0.0342, 0)</f>
        <v>29.399799999999999</v>
      </c>
      <c r="E289" s="17">
        <f>29.3656 * CHOOSE(CONTROL!$C$15, $E$9, 100%, $G$9) + CHOOSE(CONTROL!$C$38, 0.0342, 0)</f>
        <v>29.399799999999999</v>
      </c>
      <c r="F289" s="45">
        <f>31.1598 * CHOOSE(CONTROL!$C$15, $E$9, 100%, $G$9) + CHOOSE(CONTROL!$C$38, 0.034, 0)</f>
        <v>31.1938</v>
      </c>
      <c r="G289" s="17">
        <f>29.3718 * CHOOSE(CONTROL!$C$15, $E$9, 100%, $G$9) + CHOOSE(CONTROL!$C$38, 0.0342, 0)</f>
        <v>29.405999999999999</v>
      </c>
      <c r="H289" s="17">
        <f>29.3718 * CHOOSE(CONTROL!$C$15, $E$9, 100%, $G$9) + CHOOSE(CONTROL!$C$38, 0.0342, 0)</f>
        <v>29.405999999999999</v>
      </c>
      <c r="I289" s="17">
        <f>29.3734 * CHOOSE(CONTROL!$C$15, $E$9, 100%, $G$9) + CHOOSE(CONTROL!$C$38, 0.0342, 0)</f>
        <v>29.407599999999999</v>
      </c>
      <c r="J289" s="44">
        <f>178.3562</f>
        <v>178.3562</v>
      </c>
    </row>
    <row r="290" spans="1:10" ht="15" x14ac:dyDescent="0.2">
      <c r="A290" s="15">
        <v>49735</v>
      </c>
      <c r="B290" s="17">
        <f>30.3628 * CHOOSE(CONTROL!$C$15, $E$9, 100%, $G$9) + CHOOSE(CONTROL!$C$38, 0.034, 0)</f>
        <v>30.396799999999999</v>
      </c>
      <c r="C290" s="17">
        <f>28.5764 * CHOOSE(CONTROL!$C$15, $E$9, 100%, $G$9) + CHOOSE(CONTROL!$C$38, 0.0342, 0)</f>
        <v>28.610599999999998</v>
      </c>
      <c r="D290" s="17">
        <f>28.5686 * CHOOSE(CONTROL!$C$15, $E$9, 100%, $G$9) + CHOOSE(CONTROL!$C$38, 0.0342, 0)</f>
        <v>28.602799999999998</v>
      </c>
      <c r="E290" s="17">
        <f>28.5686 * CHOOSE(CONTROL!$C$15, $E$9, 100%, $G$9) + CHOOSE(CONTROL!$C$38, 0.0342, 0)</f>
        <v>28.602799999999998</v>
      </c>
      <c r="F290" s="45">
        <f>30.3628 * CHOOSE(CONTROL!$C$15, $E$9, 100%, $G$9) + CHOOSE(CONTROL!$C$38, 0.034, 0)</f>
        <v>30.396799999999999</v>
      </c>
      <c r="G290" s="17">
        <f>28.5748 * CHOOSE(CONTROL!$C$15, $E$9, 100%, $G$9) + CHOOSE(CONTROL!$C$38, 0.0342, 0)</f>
        <v>28.608999999999998</v>
      </c>
      <c r="H290" s="17">
        <f>28.5748 * CHOOSE(CONTROL!$C$15, $E$9, 100%, $G$9) + CHOOSE(CONTROL!$C$38, 0.0342, 0)</f>
        <v>28.608999999999998</v>
      </c>
      <c r="I290" s="17">
        <f>28.5764 * CHOOSE(CONTROL!$C$15, $E$9, 100%, $G$9) + CHOOSE(CONTROL!$C$38, 0.0342, 0)</f>
        <v>28.610599999999998</v>
      </c>
      <c r="J290" s="44">
        <f>187.7566</f>
        <v>187.75659999999999</v>
      </c>
    </row>
    <row r="291" spans="1:10" ht="15" x14ac:dyDescent="0.2">
      <c r="A291" s="15">
        <v>49766</v>
      </c>
      <c r="B291" s="17">
        <f>29.5905 * CHOOSE(CONTROL!$C$15, $E$9, 100%, $G$9) + CHOOSE(CONTROL!$C$38, 0.034, 0)</f>
        <v>29.624499999999998</v>
      </c>
      <c r="C291" s="17">
        <f>27.8041 * CHOOSE(CONTROL!$C$15, $E$9, 100%, $G$9) + CHOOSE(CONTROL!$C$38, 0.0342, 0)</f>
        <v>27.838299999999997</v>
      </c>
      <c r="D291" s="17">
        <f>27.7962 * CHOOSE(CONTROL!$C$15, $E$9, 100%, $G$9) + CHOOSE(CONTROL!$C$38, 0.0342, 0)</f>
        <v>27.830399999999997</v>
      </c>
      <c r="E291" s="17">
        <f>27.7962 * CHOOSE(CONTROL!$C$15, $E$9, 100%, $G$9) + CHOOSE(CONTROL!$C$38, 0.0342, 0)</f>
        <v>27.830399999999997</v>
      </c>
      <c r="F291" s="45">
        <f>29.5905 * CHOOSE(CONTROL!$C$15, $E$9, 100%, $G$9) + CHOOSE(CONTROL!$C$38, 0.034, 0)</f>
        <v>29.624499999999998</v>
      </c>
      <c r="G291" s="17">
        <f>27.8025 * CHOOSE(CONTROL!$C$15, $E$9, 100%, $G$9) + CHOOSE(CONTROL!$C$38, 0.0342, 0)</f>
        <v>27.836699999999997</v>
      </c>
      <c r="H291" s="17">
        <f>27.8025 * CHOOSE(CONTROL!$C$15, $E$9, 100%, $G$9) + CHOOSE(CONTROL!$C$38, 0.0342, 0)</f>
        <v>27.836699999999997</v>
      </c>
      <c r="I291" s="17">
        <f>27.8041 * CHOOSE(CONTROL!$C$15, $E$9, 100%, $G$9) + CHOOSE(CONTROL!$C$38, 0.0342, 0)</f>
        <v>27.838299999999997</v>
      </c>
      <c r="J291" s="44">
        <f>199.9467</f>
        <v>199.94669999999999</v>
      </c>
    </row>
    <row r="292" spans="1:10" ht="15" x14ac:dyDescent="0.2">
      <c r="A292" s="15">
        <v>49796</v>
      </c>
      <c r="B292" s="17">
        <f>28.7855 * CHOOSE(CONTROL!$C$15, $E$9, 100%, $G$9) + CHOOSE(CONTROL!$C$38, 0.0353, 0)</f>
        <v>28.820799999999998</v>
      </c>
      <c r="C292" s="17">
        <f>26.9991 * CHOOSE(CONTROL!$C$15, $E$9, 100%, $G$9) + CHOOSE(CONTROL!$C$38, 0.0354, 0)</f>
        <v>27.034499999999998</v>
      </c>
      <c r="D292" s="17">
        <f>26.9913 * CHOOSE(CONTROL!$C$15, $E$9, 100%, $G$9) + CHOOSE(CONTROL!$C$38, 0.0354, 0)</f>
        <v>27.026699999999998</v>
      </c>
      <c r="E292" s="17">
        <f>26.9913 * CHOOSE(CONTROL!$C$15, $E$9, 100%, $G$9) + CHOOSE(CONTROL!$C$38, 0.0354, 0)</f>
        <v>27.026699999999998</v>
      </c>
      <c r="F292" s="45">
        <f>28.7855 * CHOOSE(CONTROL!$C$15, $E$9, 100%, $G$9) + CHOOSE(CONTROL!$C$38, 0.0353, 0)</f>
        <v>28.820799999999998</v>
      </c>
      <c r="G292" s="17">
        <f>26.9975 * CHOOSE(CONTROL!$C$15, $E$9, 100%, $G$9) + CHOOSE(CONTROL!$C$38, 0.0354, 0)</f>
        <v>27.032899999999998</v>
      </c>
      <c r="H292" s="17">
        <f>26.9975 * CHOOSE(CONTROL!$C$15, $E$9, 100%, $G$9) + CHOOSE(CONTROL!$C$38, 0.0354, 0)</f>
        <v>27.032899999999998</v>
      </c>
      <c r="I292" s="17">
        <f>26.9991 * CHOOSE(CONTROL!$C$15, $E$9, 100%, $G$9) + CHOOSE(CONTROL!$C$38, 0.0354, 0)</f>
        <v>27.034499999999998</v>
      </c>
      <c r="J292" s="44">
        <f>206.6565</f>
        <v>206.65649999999999</v>
      </c>
    </row>
    <row r="293" spans="1:10" ht="15" x14ac:dyDescent="0.2">
      <c r="A293" s="15">
        <v>49827</v>
      </c>
      <c r="B293" s="17">
        <f>28.2212 * CHOOSE(CONTROL!$C$15, $E$9, 100%, $G$9) + CHOOSE(CONTROL!$C$38, 0.0353, 0)</f>
        <v>28.256499999999999</v>
      </c>
      <c r="C293" s="17">
        <f>26.4348 * CHOOSE(CONTROL!$C$15, $E$9, 100%, $G$9) + CHOOSE(CONTROL!$C$38, 0.0354, 0)</f>
        <v>26.470199999999998</v>
      </c>
      <c r="D293" s="17">
        <f>26.4269 * CHOOSE(CONTROL!$C$15, $E$9, 100%, $G$9) + CHOOSE(CONTROL!$C$38, 0.0354, 0)</f>
        <v>26.462299999999999</v>
      </c>
      <c r="E293" s="17">
        <f>26.4269 * CHOOSE(CONTROL!$C$15, $E$9, 100%, $G$9) + CHOOSE(CONTROL!$C$38, 0.0354, 0)</f>
        <v>26.462299999999999</v>
      </c>
      <c r="F293" s="45">
        <f>28.2212 * CHOOSE(CONTROL!$C$15, $E$9, 100%, $G$9) + CHOOSE(CONTROL!$C$38, 0.0353, 0)</f>
        <v>28.256499999999999</v>
      </c>
      <c r="G293" s="17">
        <f>26.4332 * CHOOSE(CONTROL!$C$15, $E$9, 100%, $G$9) + CHOOSE(CONTROL!$C$38, 0.0354, 0)</f>
        <v>26.468599999999999</v>
      </c>
      <c r="H293" s="17">
        <f>26.4332 * CHOOSE(CONTROL!$C$15, $E$9, 100%, $G$9) + CHOOSE(CONTROL!$C$38, 0.0354, 0)</f>
        <v>26.468599999999999</v>
      </c>
      <c r="I293" s="17">
        <f>26.4348 * CHOOSE(CONTROL!$C$15, $E$9, 100%, $G$9) + CHOOSE(CONTROL!$C$38, 0.0354, 0)</f>
        <v>26.470199999999998</v>
      </c>
      <c r="J293" s="44">
        <f>209.6342</f>
        <v>209.63419999999999</v>
      </c>
    </row>
    <row r="294" spans="1:10" ht="15" x14ac:dyDescent="0.2">
      <c r="A294" s="15">
        <v>49857</v>
      </c>
      <c r="B294" s="17">
        <f>27.8991 * CHOOSE(CONTROL!$C$15, $E$9, 100%, $G$9) + CHOOSE(CONTROL!$C$38, 0.0353, 0)</f>
        <v>27.9344</v>
      </c>
      <c r="C294" s="17">
        <f>26.1127 * CHOOSE(CONTROL!$C$15, $E$9, 100%, $G$9) + CHOOSE(CONTROL!$C$38, 0.0354, 0)</f>
        <v>26.148099999999999</v>
      </c>
      <c r="D294" s="17">
        <f>26.1049 * CHOOSE(CONTROL!$C$15, $E$9, 100%, $G$9) + CHOOSE(CONTROL!$C$38, 0.0354, 0)</f>
        <v>26.1403</v>
      </c>
      <c r="E294" s="17">
        <f>26.1049 * CHOOSE(CONTROL!$C$15, $E$9, 100%, $G$9) + CHOOSE(CONTROL!$C$38, 0.0354, 0)</f>
        <v>26.1403</v>
      </c>
      <c r="F294" s="45">
        <f>27.8991 * CHOOSE(CONTROL!$C$15, $E$9, 100%, $G$9) + CHOOSE(CONTROL!$C$38, 0.0353, 0)</f>
        <v>27.9344</v>
      </c>
      <c r="G294" s="17">
        <f>26.1111 * CHOOSE(CONTROL!$C$15, $E$9, 100%, $G$9) + CHOOSE(CONTROL!$C$38, 0.0354, 0)</f>
        <v>26.1465</v>
      </c>
      <c r="H294" s="17">
        <f>26.1111 * CHOOSE(CONTROL!$C$15, $E$9, 100%, $G$9) + CHOOSE(CONTROL!$C$38, 0.0354, 0)</f>
        <v>26.1465</v>
      </c>
      <c r="I294" s="17">
        <f>26.1127 * CHOOSE(CONTROL!$C$15, $E$9, 100%, $G$9) + CHOOSE(CONTROL!$C$38, 0.0354, 0)</f>
        <v>26.148099999999999</v>
      </c>
      <c r="J294" s="44">
        <f>208.6538</f>
        <v>208.65379999999999</v>
      </c>
    </row>
    <row r="295" spans="1:10" ht="15" x14ac:dyDescent="0.2">
      <c r="A295" s="15">
        <v>49888</v>
      </c>
      <c r="B295" s="17">
        <f>28.0581 * CHOOSE(CONTROL!$C$15, $E$9, 100%, $G$9) + CHOOSE(CONTROL!$C$38, 0.0353, 0)</f>
        <v>28.093399999999999</v>
      </c>
      <c r="C295" s="17">
        <f>26.2716 * CHOOSE(CONTROL!$C$15, $E$9, 100%, $G$9) + CHOOSE(CONTROL!$C$38, 0.0354, 0)</f>
        <v>26.306999999999999</v>
      </c>
      <c r="D295" s="17">
        <f>26.2638 * CHOOSE(CONTROL!$C$15, $E$9, 100%, $G$9) + CHOOSE(CONTROL!$C$38, 0.0354, 0)</f>
        <v>26.299199999999999</v>
      </c>
      <c r="E295" s="17">
        <f>26.2638 * CHOOSE(CONTROL!$C$15, $E$9, 100%, $G$9) + CHOOSE(CONTROL!$C$38, 0.0354, 0)</f>
        <v>26.299199999999999</v>
      </c>
      <c r="F295" s="45">
        <f>28.0581 * CHOOSE(CONTROL!$C$15, $E$9, 100%, $G$9) + CHOOSE(CONTROL!$C$38, 0.0353, 0)</f>
        <v>28.093399999999999</v>
      </c>
      <c r="G295" s="17">
        <f>26.2701 * CHOOSE(CONTROL!$C$15, $E$9, 100%, $G$9) + CHOOSE(CONTROL!$C$38, 0.0354, 0)</f>
        <v>26.305499999999999</v>
      </c>
      <c r="H295" s="17">
        <f>26.2701 * CHOOSE(CONTROL!$C$15, $E$9, 100%, $G$9) + CHOOSE(CONTROL!$C$38, 0.0354, 0)</f>
        <v>26.305499999999999</v>
      </c>
      <c r="I295" s="17">
        <f>26.2716 * CHOOSE(CONTROL!$C$15, $E$9, 100%, $G$9) + CHOOSE(CONTROL!$C$38, 0.0354, 0)</f>
        <v>26.306999999999999</v>
      </c>
      <c r="J295" s="44">
        <f>203.7964</f>
        <v>203.79640000000001</v>
      </c>
    </row>
    <row r="296" spans="1:10" ht="15" x14ac:dyDescent="0.2">
      <c r="A296" s="15">
        <v>49919</v>
      </c>
      <c r="B296" s="17">
        <f>28.4898 * CHOOSE(CONTROL!$C$15, $E$9, 100%, $G$9) + CHOOSE(CONTROL!$C$38, 0.0353, 0)</f>
        <v>28.525099999999998</v>
      </c>
      <c r="C296" s="17">
        <f>26.7034 * CHOOSE(CONTROL!$C$15, $E$9, 100%, $G$9) + CHOOSE(CONTROL!$C$38, 0.0354, 0)</f>
        <v>26.738799999999998</v>
      </c>
      <c r="D296" s="17">
        <f>26.6955 * CHOOSE(CONTROL!$C$15, $E$9, 100%, $G$9) + CHOOSE(CONTROL!$C$38, 0.0354, 0)</f>
        <v>26.730899999999998</v>
      </c>
      <c r="E296" s="17">
        <f>26.6955 * CHOOSE(CONTROL!$C$15, $E$9, 100%, $G$9) + CHOOSE(CONTROL!$C$38, 0.0354, 0)</f>
        <v>26.730899999999998</v>
      </c>
      <c r="F296" s="45">
        <f>28.4898 * CHOOSE(CONTROL!$C$15, $E$9, 100%, $G$9) + CHOOSE(CONTROL!$C$38, 0.0353, 0)</f>
        <v>28.525099999999998</v>
      </c>
      <c r="G296" s="17">
        <f>26.7018 * CHOOSE(CONTROL!$C$15, $E$9, 100%, $G$9) + CHOOSE(CONTROL!$C$38, 0.0354, 0)</f>
        <v>26.737199999999998</v>
      </c>
      <c r="H296" s="17">
        <f>26.7018 * CHOOSE(CONTROL!$C$15, $E$9, 100%, $G$9) + CHOOSE(CONTROL!$C$38, 0.0354, 0)</f>
        <v>26.737199999999998</v>
      </c>
      <c r="I296" s="17">
        <f>26.7034 * CHOOSE(CONTROL!$C$15, $E$9, 100%, $G$9) + CHOOSE(CONTROL!$C$38, 0.0354, 0)</f>
        <v>26.738799999999998</v>
      </c>
      <c r="J296" s="44">
        <f>197.0226</f>
        <v>197.02260000000001</v>
      </c>
    </row>
    <row r="297" spans="1:10" ht="15" x14ac:dyDescent="0.2">
      <c r="A297" s="15">
        <v>49949</v>
      </c>
      <c r="B297" s="17">
        <f>28.8513 * CHOOSE(CONTROL!$C$15, $E$9, 100%, $G$9) + CHOOSE(CONTROL!$C$38, 0.034, 0)</f>
        <v>28.885299999999997</v>
      </c>
      <c r="C297" s="17">
        <f>27.0649 * CHOOSE(CONTROL!$C$15, $E$9, 100%, $G$9) + CHOOSE(CONTROL!$C$38, 0.0342, 0)</f>
        <v>27.0991</v>
      </c>
      <c r="D297" s="17">
        <f>27.0571 * CHOOSE(CONTROL!$C$15, $E$9, 100%, $G$9) + CHOOSE(CONTROL!$C$38, 0.0342, 0)</f>
        <v>27.091299999999997</v>
      </c>
      <c r="E297" s="17">
        <f>27.0571 * CHOOSE(CONTROL!$C$15, $E$9, 100%, $G$9) + CHOOSE(CONTROL!$C$38, 0.0342, 0)</f>
        <v>27.091299999999997</v>
      </c>
      <c r="F297" s="45">
        <f>28.8513 * CHOOSE(CONTROL!$C$15, $E$9, 100%, $G$9) + CHOOSE(CONTROL!$C$38, 0.034, 0)</f>
        <v>28.885299999999997</v>
      </c>
      <c r="G297" s="17">
        <f>27.0634 * CHOOSE(CONTROL!$C$15, $E$9, 100%, $G$9) + CHOOSE(CONTROL!$C$38, 0.0342, 0)</f>
        <v>27.0976</v>
      </c>
      <c r="H297" s="17">
        <f>27.0634 * CHOOSE(CONTROL!$C$15, $E$9, 100%, $G$9) + CHOOSE(CONTROL!$C$38, 0.0342, 0)</f>
        <v>27.0976</v>
      </c>
      <c r="I297" s="17">
        <f>27.0649 * CHOOSE(CONTROL!$C$15, $E$9, 100%, $G$9) + CHOOSE(CONTROL!$C$38, 0.0342, 0)</f>
        <v>27.0991</v>
      </c>
      <c r="J297" s="44">
        <f>190.2093</f>
        <v>190.20930000000001</v>
      </c>
    </row>
    <row r="298" spans="1:10" ht="15" x14ac:dyDescent="0.2">
      <c r="A298" s="15">
        <v>49980</v>
      </c>
      <c r="B298" s="17">
        <f>29.153 * CHOOSE(CONTROL!$C$15, $E$9, 100%, $G$9) + CHOOSE(CONTROL!$C$38, 0.034, 0)</f>
        <v>29.186999999999998</v>
      </c>
      <c r="C298" s="17">
        <f>27.3666 * CHOOSE(CONTROL!$C$15, $E$9, 100%, $G$9) + CHOOSE(CONTROL!$C$38, 0.0342, 0)</f>
        <v>27.400799999999997</v>
      </c>
      <c r="D298" s="17">
        <f>27.3588 * CHOOSE(CONTROL!$C$15, $E$9, 100%, $G$9) + CHOOSE(CONTROL!$C$38, 0.0342, 0)</f>
        <v>27.392999999999997</v>
      </c>
      <c r="E298" s="17">
        <f>27.3588 * CHOOSE(CONTROL!$C$15, $E$9, 100%, $G$9) + CHOOSE(CONTROL!$C$38, 0.0342, 0)</f>
        <v>27.392999999999997</v>
      </c>
      <c r="F298" s="45">
        <f>29.153 * CHOOSE(CONTROL!$C$15, $E$9, 100%, $G$9) + CHOOSE(CONTROL!$C$38, 0.034, 0)</f>
        <v>29.186999999999998</v>
      </c>
      <c r="G298" s="17">
        <f>27.3651 * CHOOSE(CONTROL!$C$15, $E$9, 100%, $G$9) + CHOOSE(CONTROL!$C$38, 0.0342, 0)</f>
        <v>27.3993</v>
      </c>
      <c r="H298" s="17">
        <f>27.3651 * CHOOSE(CONTROL!$C$15, $E$9, 100%, $G$9) + CHOOSE(CONTROL!$C$38, 0.0342, 0)</f>
        <v>27.3993</v>
      </c>
      <c r="I298" s="17">
        <f>27.3666 * CHOOSE(CONTROL!$C$15, $E$9, 100%, $G$9) + CHOOSE(CONTROL!$C$38, 0.0342, 0)</f>
        <v>27.400799999999997</v>
      </c>
      <c r="J298" s="44">
        <f>188.854</f>
        <v>188.85400000000001</v>
      </c>
    </row>
    <row r="299" spans="1:10" ht="15" x14ac:dyDescent="0.2">
      <c r="A299" s="15">
        <v>50010</v>
      </c>
      <c r="B299" s="17">
        <f>30.0827 * CHOOSE(CONTROL!$C$15, $E$9, 100%, $G$9) + CHOOSE(CONTROL!$C$38, 0.034, 0)</f>
        <v>30.116699999999998</v>
      </c>
      <c r="C299" s="17">
        <f>28.2963 * CHOOSE(CONTROL!$C$15, $E$9, 100%, $G$9) + CHOOSE(CONTROL!$C$38, 0.0342, 0)</f>
        <v>28.330499999999997</v>
      </c>
      <c r="D299" s="17">
        <f>28.2885 * CHOOSE(CONTROL!$C$15, $E$9, 100%, $G$9) + CHOOSE(CONTROL!$C$38, 0.0342, 0)</f>
        <v>28.322699999999998</v>
      </c>
      <c r="E299" s="17">
        <f>28.2885 * CHOOSE(CONTROL!$C$15, $E$9, 100%, $G$9) + CHOOSE(CONTROL!$C$38, 0.0342, 0)</f>
        <v>28.322699999999998</v>
      </c>
      <c r="F299" s="45">
        <f>30.0827 * CHOOSE(CONTROL!$C$15, $E$9, 100%, $G$9) + CHOOSE(CONTROL!$C$38, 0.034, 0)</f>
        <v>30.116699999999998</v>
      </c>
      <c r="G299" s="17">
        <f>28.2947 * CHOOSE(CONTROL!$C$15, $E$9, 100%, $G$9) + CHOOSE(CONTROL!$C$38, 0.0342, 0)</f>
        <v>28.328899999999997</v>
      </c>
      <c r="H299" s="17">
        <f>28.2947 * CHOOSE(CONTROL!$C$15, $E$9, 100%, $G$9) + CHOOSE(CONTROL!$C$38, 0.0342, 0)</f>
        <v>28.328899999999997</v>
      </c>
      <c r="I299" s="17">
        <f>28.2963 * CHOOSE(CONTROL!$C$15, $E$9, 100%, $G$9) + CHOOSE(CONTROL!$C$38, 0.0342, 0)</f>
        <v>28.330499999999997</v>
      </c>
      <c r="J299" s="44">
        <f>183.2498</f>
        <v>183.24979999999999</v>
      </c>
    </row>
    <row r="300" spans="1:10" ht="15" x14ac:dyDescent="0.2">
      <c r="A300" s="15">
        <v>50041</v>
      </c>
      <c r="B300" s="17">
        <f>31.2972 * CHOOSE(CONTROL!$C$15, $E$9, 100%, $G$9) + CHOOSE(CONTROL!$C$38, 0.034, 0)</f>
        <v>31.331199999999999</v>
      </c>
      <c r="C300" s="17">
        <f>29.4834 * CHOOSE(CONTROL!$C$15, $E$9, 100%, $G$9) + CHOOSE(CONTROL!$C$38, 0.0342, 0)</f>
        <v>29.517599999999998</v>
      </c>
      <c r="D300" s="17">
        <f>29.4756 * CHOOSE(CONTROL!$C$15, $E$9, 100%, $G$9) + CHOOSE(CONTROL!$C$38, 0.0342, 0)</f>
        <v>29.509799999999998</v>
      </c>
      <c r="E300" s="17">
        <f>29.4756 * CHOOSE(CONTROL!$C$15, $E$9, 100%, $G$9) + CHOOSE(CONTROL!$C$38, 0.0342, 0)</f>
        <v>29.509799999999998</v>
      </c>
      <c r="F300" s="45">
        <f>31.2972 * CHOOSE(CONTROL!$C$15, $E$9, 100%, $G$9) + CHOOSE(CONTROL!$C$38, 0.034, 0)</f>
        <v>31.331199999999999</v>
      </c>
      <c r="G300" s="17">
        <f>29.4818 * CHOOSE(CONTROL!$C$15, $E$9, 100%, $G$9) + CHOOSE(CONTROL!$C$38, 0.0342, 0)</f>
        <v>29.515999999999998</v>
      </c>
      <c r="H300" s="17">
        <f>29.4818 * CHOOSE(CONTROL!$C$15, $E$9, 100%, $G$9) + CHOOSE(CONTROL!$C$38, 0.0342, 0)</f>
        <v>29.515999999999998</v>
      </c>
      <c r="I300" s="17">
        <f>29.4834 * CHOOSE(CONTROL!$C$15, $E$9, 100%, $G$9) + CHOOSE(CONTROL!$C$38, 0.0342, 0)</f>
        <v>29.517599999999998</v>
      </c>
      <c r="J300" s="44">
        <f>183.1175</f>
        <v>183.11750000000001</v>
      </c>
    </row>
    <row r="301" spans="1:10" ht="15" x14ac:dyDescent="0.2">
      <c r="A301" s="15">
        <v>50072</v>
      </c>
      <c r="B301" s="17">
        <f>31.6415 * CHOOSE(CONTROL!$C$15, $E$9, 100%, $G$9) + CHOOSE(CONTROL!$C$38, 0.034, 0)</f>
        <v>31.6755</v>
      </c>
      <c r="C301" s="17">
        <f>29.8277 * CHOOSE(CONTROL!$C$15, $E$9, 100%, $G$9) + CHOOSE(CONTROL!$C$38, 0.0342, 0)</f>
        <v>29.861899999999999</v>
      </c>
      <c r="D301" s="17">
        <f>29.8199 * CHOOSE(CONTROL!$C$15, $E$9, 100%, $G$9) + CHOOSE(CONTROL!$C$38, 0.0342, 0)</f>
        <v>29.854099999999999</v>
      </c>
      <c r="E301" s="17">
        <f>29.8199 * CHOOSE(CONTROL!$C$15, $E$9, 100%, $G$9) + CHOOSE(CONTROL!$C$38, 0.0342, 0)</f>
        <v>29.854099999999999</v>
      </c>
      <c r="F301" s="45">
        <f>31.6415 * CHOOSE(CONTROL!$C$15, $E$9, 100%, $G$9) + CHOOSE(CONTROL!$C$38, 0.034, 0)</f>
        <v>31.6755</v>
      </c>
      <c r="G301" s="17">
        <f>29.8261 * CHOOSE(CONTROL!$C$15, $E$9, 100%, $G$9) + CHOOSE(CONTROL!$C$38, 0.0342, 0)</f>
        <v>29.860299999999999</v>
      </c>
      <c r="H301" s="17">
        <f>29.8261 * CHOOSE(CONTROL!$C$15, $E$9, 100%, $G$9) + CHOOSE(CONTROL!$C$38, 0.0342, 0)</f>
        <v>29.860299999999999</v>
      </c>
      <c r="I301" s="17">
        <f>29.8277 * CHOOSE(CONTROL!$C$15, $E$9, 100%, $G$9) + CHOOSE(CONTROL!$C$38, 0.0342, 0)</f>
        <v>29.861899999999999</v>
      </c>
      <c r="J301" s="44">
        <f>182.6085</f>
        <v>182.60849999999999</v>
      </c>
    </row>
    <row r="302" spans="1:10" ht="15" x14ac:dyDescent="0.2">
      <c r="A302" s="15">
        <v>50100</v>
      </c>
      <c r="B302" s="17">
        <f>30.8445 * CHOOSE(CONTROL!$C$15, $E$9, 100%, $G$9) + CHOOSE(CONTROL!$C$38, 0.034, 0)</f>
        <v>30.878499999999999</v>
      </c>
      <c r="C302" s="17">
        <f>29.0307 * CHOOSE(CONTROL!$C$15, $E$9, 100%, $G$9) + CHOOSE(CONTROL!$C$38, 0.0342, 0)</f>
        <v>29.064899999999998</v>
      </c>
      <c r="D302" s="17">
        <f>29.0228 * CHOOSE(CONTROL!$C$15, $E$9, 100%, $G$9) + CHOOSE(CONTROL!$C$38, 0.0342, 0)</f>
        <v>29.056999999999999</v>
      </c>
      <c r="E302" s="17">
        <f>29.0228 * CHOOSE(CONTROL!$C$15, $E$9, 100%, $G$9) + CHOOSE(CONTROL!$C$38, 0.0342, 0)</f>
        <v>29.056999999999999</v>
      </c>
      <c r="F302" s="45">
        <f>30.8445 * CHOOSE(CONTROL!$C$15, $E$9, 100%, $G$9) + CHOOSE(CONTROL!$C$38, 0.034, 0)</f>
        <v>30.878499999999999</v>
      </c>
      <c r="G302" s="17">
        <f>29.0291 * CHOOSE(CONTROL!$C$15, $E$9, 100%, $G$9) + CHOOSE(CONTROL!$C$38, 0.0342, 0)</f>
        <v>29.063299999999998</v>
      </c>
      <c r="H302" s="17">
        <f>29.0291 * CHOOSE(CONTROL!$C$15, $E$9, 100%, $G$9) + CHOOSE(CONTROL!$C$38, 0.0342, 0)</f>
        <v>29.063299999999998</v>
      </c>
      <c r="I302" s="17">
        <f>29.0307 * CHOOSE(CONTROL!$C$15, $E$9, 100%, $G$9) + CHOOSE(CONTROL!$C$38, 0.0342, 0)</f>
        <v>29.064899999999998</v>
      </c>
      <c r="J302" s="44">
        <f>192.233</f>
        <v>192.233</v>
      </c>
    </row>
    <row r="303" spans="1:10" ht="15" x14ac:dyDescent="0.2">
      <c r="A303" s="15">
        <v>50131</v>
      </c>
      <c r="B303" s="17">
        <f>30.0722 * CHOOSE(CONTROL!$C$15, $E$9, 100%, $G$9) + CHOOSE(CONTROL!$C$38, 0.034, 0)</f>
        <v>30.106199999999998</v>
      </c>
      <c r="C303" s="17">
        <f>28.2583 * CHOOSE(CONTROL!$C$15, $E$9, 100%, $G$9) + CHOOSE(CONTROL!$C$38, 0.0342, 0)</f>
        <v>28.292499999999997</v>
      </c>
      <c r="D303" s="17">
        <f>28.2505 * CHOOSE(CONTROL!$C$15, $E$9, 100%, $G$9) + CHOOSE(CONTROL!$C$38, 0.0342, 0)</f>
        <v>28.284699999999997</v>
      </c>
      <c r="E303" s="17">
        <f>28.2505 * CHOOSE(CONTROL!$C$15, $E$9, 100%, $G$9) + CHOOSE(CONTROL!$C$38, 0.0342, 0)</f>
        <v>28.284699999999997</v>
      </c>
      <c r="F303" s="45">
        <f>30.0722 * CHOOSE(CONTROL!$C$15, $E$9, 100%, $G$9) + CHOOSE(CONTROL!$C$38, 0.034, 0)</f>
        <v>30.106199999999998</v>
      </c>
      <c r="G303" s="17">
        <f>28.2568 * CHOOSE(CONTROL!$C$15, $E$9, 100%, $G$9) + CHOOSE(CONTROL!$C$38, 0.0342, 0)</f>
        <v>28.290999999999997</v>
      </c>
      <c r="H303" s="17">
        <f>28.2568 * CHOOSE(CONTROL!$C$15, $E$9, 100%, $G$9) + CHOOSE(CONTROL!$C$38, 0.0342, 0)</f>
        <v>28.290999999999997</v>
      </c>
      <c r="I303" s="17">
        <f>28.2583 * CHOOSE(CONTROL!$C$15, $E$9, 100%, $G$9) + CHOOSE(CONTROL!$C$38, 0.0342, 0)</f>
        <v>28.292499999999997</v>
      </c>
      <c r="J303" s="44">
        <f>204.7137</f>
        <v>204.71369999999999</v>
      </c>
    </row>
    <row r="304" spans="1:10" ht="15" x14ac:dyDescent="0.2">
      <c r="A304" s="15">
        <v>50161</v>
      </c>
      <c r="B304" s="17">
        <f>29.2672 * CHOOSE(CONTROL!$C$15, $E$9, 100%, $G$9) + CHOOSE(CONTROL!$C$38, 0.0353, 0)</f>
        <v>29.302499999999998</v>
      </c>
      <c r="C304" s="17">
        <f>27.4534 * CHOOSE(CONTROL!$C$15, $E$9, 100%, $G$9) + CHOOSE(CONTROL!$C$38, 0.0354, 0)</f>
        <v>27.488799999999998</v>
      </c>
      <c r="D304" s="17">
        <f>27.4456 * CHOOSE(CONTROL!$C$15, $E$9, 100%, $G$9) + CHOOSE(CONTROL!$C$38, 0.0354, 0)</f>
        <v>27.480999999999998</v>
      </c>
      <c r="E304" s="17">
        <f>27.4456 * CHOOSE(CONTROL!$C$15, $E$9, 100%, $G$9) + CHOOSE(CONTROL!$C$38, 0.0354, 0)</f>
        <v>27.480999999999998</v>
      </c>
      <c r="F304" s="45">
        <f>29.2672 * CHOOSE(CONTROL!$C$15, $E$9, 100%, $G$9) + CHOOSE(CONTROL!$C$38, 0.0353, 0)</f>
        <v>29.302499999999998</v>
      </c>
      <c r="G304" s="17">
        <f>27.4518 * CHOOSE(CONTROL!$C$15, $E$9, 100%, $G$9) + CHOOSE(CONTROL!$C$38, 0.0354, 0)</f>
        <v>27.487199999999998</v>
      </c>
      <c r="H304" s="17">
        <f>27.4518 * CHOOSE(CONTROL!$C$15, $E$9, 100%, $G$9) + CHOOSE(CONTROL!$C$38, 0.0354, 0)</f>
        <v>27.487199999999998</v>
      </c>
      <c r="I304" s="17">
        <f>27.4534 * CHOOSE(CONTROL!$C$15, $E$9, 100%, $G$9) + CHOOSE(CONTROL!$C$38, 0.0354, 0)</f>
        <v>27.488799999999998</v>
      </c>
      <c r="J304" s="44">
        <f>211.5835</f>
        <v>211.58349999999999</v>
      </c>
    </row>
    <row r="305" spans="1:10" ht="15" x14ac:dyDescent="0.2">
      <c r="A305" s="15">
        <v>50192</v>
      </c>
      <c r="B305" s="17">
        <f>28.7029 * CHOOSE(CONTROL!$C$15, $E$9, 100%, $G$9) + CHOOSE(CONTROL!$C$38, 0.0353, 0)</f>
        <v>28.738199999999999</v>
      </c>
      <c r="C305" s="17">
        <f>26.889 * CHOOSE(CONTROL!$C$15, $E$9, 100%, $G$9) + CHOOSE(CONTROL!$C$38, 0.0354, 0)</f>
        <v>26.924399999999999</v>
      </c>
      <c r="D305" s="17">
        <f>26.8812 * CHOOSE(CONTROL!$C$15, $E$9, 100%, $G$9) + CHOOSE(CONTROL!$C$38, 0.0354, 0)</f>
        <v>26.916599999999999</v>
      </c>
      <c r="E305" s="17">
        <f>26.8812 * CHOOSE(CONTROL!$C$15, $E$9, 100%, $G$9) + CHOOSE(CONTROL!$C$38, 0.0354, 0)</f>
        <v>26.916599999999999</v>
      </c>
      <c r="F305" s="45">
        <f>28.7029 * CHOOSE(CONTROL!$C$15, $E$9, 100%, $G$9) + CHOOSE(CONTROL!$C$38, 0.0353, 0)</f>
        <v>28.738199999999999</v>
      </c>
      <c r="G305" s="17">
        <f>26.8875 * CHOOSE(CONTROL!$C$15, $E$9, 100%, $G$9) + CHOOSE(CONTROL!$C$38, 0.0354, 0)</f>
        <v>26.922899999999998</v>
      </c>
      <c r="H305" s="17">
        <f>26.8875 * CHOOSE(CONTROL!$C$15, $E$9, 100%, $G$9) + CHOOSE(CONTROL!$C$38, 0.0354, 0)</f>
        <v>26.922899999999998</v>
      </c>
      <c r="I305" s="17">
        <f>26.889 * CHOOSE(CONTROL!$C$15, $E$9, 100%, $G$9) + CHOOSE(CONTROL!$C$38, 0.0354, 0)</f>
        <v>26.924399999999999</v>
      </c>
      <c r="J305" s="44">
        <f>214.6322</f>
        <v>214.63220000000001</v>
      </c>
    </row>
    <row r="306" spans="1:10" ht="15" x14ac:dyDescent="0.2">
      <c r="A306" s="15">
        <v>50222</v>
      </c>
      <c r="B306" s="17">
        <f>28.3808 * CHOOSE(CONTROL!$C$15, $E$9, 100%, $G$9) + CHOOSE(CONTROL!$C$38, 0.0353, 0)</f>
        <v>28.4161</v>
      </c>
      <c r="C306" s="17">
        <f>26.567 * CHOOSE(CONTROL!$C$15, $E$9, 100%, $G$9) + CHOOSE(CONTROL!$C$38, 0.0354, 0)</f>
        <v>26.602399999999999</v>
      </c>
      <c r="D306" s="17">
        <f>26.5592 * CHOOSE(CONTROL!$C$15, $E$9, 100%, $G$9) + CHOOSE(CONTROL!$C$38, 0.0354, 0)</f>
        <v>26.5946</v>
      </c>
      <c r="E306" s="17">
        <f>26.5592 * CHOOSE(CONTROL!$C$15, $E$9, 100%, $G$9) + CHOOSE(CONTROL!$C$38, 0.0354, 0)</f>
        <v>26.5946</v>
      </c>
      <c r="F306" s="45">
        <f>28.3808 * CHOOSE(CONTROL!$C$15, $E$9, 100%, $G$9) + CHOOSE(CONTROL!$C$38, 0.0353, 0)</f>
        <v>28.4161</v>
      </c>
      <c r="G306" s="17">
        <f>26.5654 * CHOOSE(CONTROL!$C$15, $E$9, 100%, $G$9) + CHOOSE(CONTROL!$C$38, 0.0354, 0)</f>
        <v>26.6008</v>
      </c>
      <c r="H306" s="17">
        <f>26.5654 * CHOOSE(CONTROL!$C$15, $E$9, 100%, $G$9) + CHOOSE(CONTROL!$C$38, 0.0354, 0)</f>
        <v>26.6008</v>
      </c>
      <c r="I306" s="17">
        <f>26.567 * CHOOSE(CONTROL!$C$15, $E$9, 100%, $G$9) + CHOOSE(CONTROL!$C$38, 0.0354, 0)</f>
        <v>26.602399999999999</v>
      </c>
      <c r="J306" s="44">
        <f>213.6284</f>
        <v>213.6284</v>
      </c>
    </row>
    <row r="307" spans="1:10" ht="15" x14ac:dyDescent="0.2">
      <c r="A307" s="15">
        <v>50253</v>
      </c>
      <c r="B307" s="17">
        <f>28.5397 * CHOOSE(CONTROL!$C$15, $E$9, 100%, $G$9) + CHOOSE(CONTROL!$C$38, 0.0353, 0)</f>
        <v>28.574999999999999</v>
      </c>
      <c r="C307" s="17">
        <f>26.7259 * CHOOSE(CONTROL!$C$15, $E$9, 100%, $G$9) + CHOOSE(CONTROL!$C$38, 0.0354, 0)</f>
        <v>26.761299999999999</v>
      </c>
      <c r="D307" s="17">
        <f>26.7181 * CHOOSE(CONTROL!$C$15, $E$9, 100%, $G$9) + CHOOSE(CONTROL!$C$38, 0.0354, 0)</f>
        <v>26.753499999999999</v>
      </c>
      <c r="E307" s="17">
        <f>26.7181 * CHOOSE(CONTROL!$C$15, $E$9, 100%, $G$9) + CHOOSE(CONTROL!$C$38, 0.0354, 0)</f>
        <v>26.753499999999999</v>
      </c>
      <c r="F307" s="45">
        <f>28.5397 * CHOOSE(CONTROL!$C$15, $E$9, 100%, $G$9) + CHOOSE(CONTROL!$C$38, 0.0353, 0)</f>
        <v>28.574999999999999</v>
      </c>
      <c r="G307" s="17">
        <f>26.7244 * CHOOSE(CONTROL!$C$15, $E$9, 100%, $G$9) + CHOOSE(CONTROL!$C$38, 0.0354, 0)</f>
        <v>26.759799999999998</v>
      </c>
      <c r="H307" s="17">
        <f>26.7244 * CHOOSE(CONTROL!$C$15, $E$9, 100%, $G$9) + CHOOSE(CONTROL!$C$38, 0.0354, 0)</f>
        <v>26.759799999999998</v>
      </c>
      <c r="I307" s="17">
        <f>26.7259 * CHOOSE(CONTROL!$C$15, $E$9, 100%, $G$9) + CHOOSE(CONTROL!$C$38, 0.0354, 0)</f>
        <v>26.761299999999999</v>
      </c>
      <c r="J307" s="44">
        <f>208.6552</f>
        <v>208.65520000000001</v>
      </c>
    </row>
    <row r="308" spans="1:10" ht="15" x14ac:dyDescent="0.2">
      <c r="A308" s="15">
        <v>50284</v>
      </c>
      <c r="B308" s="17">
        <f>28.9715 * CHOOSE(CONTROL!$C$15, $E$9, 100%, $G$9) + CHOOSE(CONTROL!$C$38, 0.0353, 0)</f>
        <v>29.006799999999998</v>
      </c>
      <c r="C308" s="17">
        <f>27.1576 * CHOOSE(CONTROL!$C$15, $E$9, 100%, $G$9) + CHOOSE(CONTROL!$C$38, 0.0354, 0)</f>
        <v>27.192999999999998</v>
      </c>
      <c r="D308" s="17">
        <f>27.1498 * CHOOSE(CONTROL!$C$15, $E$9, 100%, $G$9) + CHOOSE(CONTROL!$C$38, 0.0354, 0)</f>
        <v>27.185199999999998</v>
      </c>
      <c r="E308" s="17">
        <f>27.1498 * CHOOSE(CONTROL!$C$15, $E$9, 100%, $G$9) + CHOOSE(CONTROL!$C$38, 0.0354, 0)</f>
        <v>27.185199999999998</v>
      </c>
      <c r="F308" s="45">
        <f>28.9715 * CHOOSE(CONTROL!$C$15, $E$9, 100%, $G$9) + CHOOSE(CONTROL!$C$38, 0.0353, 0)</f>
        <v>29.006799999999998</v>
      </c>
      <c r="G308" s="17">
        <f>27.1561 * CHOOSE(CONTROL!$C$15, $E$9, 100%, $G$9) + CHOOSE(CONTROL!$C$38, 0.0354, 0)</f>
        <v>27.191499999999998</v>
      </c>
      <c r="H308" s="17">
        <f>27.1561 * CHOOSE(CONTROL!$C$15, $E$9, 100%, $G$9) + CHOOSE(CONTROL!$C$38, 0.0354, 0)</f>
        <v>27.191499999999998</v>
      </c>
      <c r="I308" s="17">
        <f>27.1576 * CHOOSE(CONTROL!$C$15, $E$9, 100%, $G$9) + CHOOSE(CONTROL!$C$38, 0.0354, 0)</f>
        <v>27.192999999999998</v>
      </c>
      <c r="J308" s="44">
        <f>201.7199</f>
        <v>201.7199</v>
      </c>
    </row>
    <row r="309" spans="1:10" ht="15" x14ac:dyDescent="0.2">
      <c r="A309" s="15">
        <v>50314</v>
      </c>
      <c r="B309" s="17">
        <f>29.333 * CHOOSE(CONTROL!$C$15, $E$9, 100%, $G$9) + CHOOSE(CONTROL!$C$38, 0.034, 0)</f>
        <v>29.366999999999997</v>
      </c>
      <c r="C309" s="17">
        <f>27.5192 * CHOOSE(CONTROL!$C$15, $E$9, 100%, $G$9) + CHOOSE(CONTROL!$C$38, 0.0342, 0)</f>
        <v>27.5534</v>
      </c>
      <c r="D309" s="17">
        <f>27.5114 * CHOOSE(CONTROL!$C$15, $E$9, 100%, $G$9) + CHOOSE(CONTROL!$C$38, 0.0342, 0)</f>
        <v>27.545599999999997</v>
      </c>
      <c r="E309" s="17">
        <f>27.5114 * CHOOSE(CONTROL!$C$15, $E$9, 100%, $G$9) + CHOOSE(CONTROL!$C$38, 0.0342, 0)</f>
        <v>27.545599999999997</v>
      </c>
      <c r="F309" s="45">
        <f>29.333 * CHOOSE(CONTROL!$C$15, $E$9, 100%, $G$9) + CHOOSE(CONTROL!$C$38, 0.034, 0)</f>
        <v>29.366999999999997</v>
      </c>
      <c r="G309" s="17">
        <f>27.5177 * CHOOSE(CONTROL!$C$15, $E$9, 100%, $G$9) + CHOOSE(CONTROL!$C$38, 0.0342, 0)</f>
        <v>27.5519</v>
      </c>
      <c r="H309" s="17">
        <f>27.5177 * CHOOSE(CONTROL!$C$15, $E$9, 100%, $G$9) + CHOOSE(CONTROL!$C$38, 0.0342, 0)</f>
        <v>27.5519</v>
      </c>
      <c r="I309" s="17">
        <f>27.5192 * CHOOSE(CONTROL!$C$15, $E$9, 100%, $G$9) + CHOOSE(CONTROL!$C$38, 0.0342, 0)</f>
        <v>27.5534</v>
      </c>
      <c r="J309" s="44">
        <f>194.7442</f>
        <v>194.74420000000001</v>
      </c>
    </row>
    <row r="310" spans="1:10" ht="15" x14ac:dyDescent="0.2">
      <c r="A310" s="15">
        <v>50345</v>
      </c>
      <c r="B310" s="17">
        <f>29.6347 * CHOOSE(CONTROL!$C$15, $E$9, 100%, $G$9) + CHOOSE(CONTROL!$C$38, 0.034, 0)</f>
        <v>29.668699999999998</v>
      </c>
      <c r="C310" s="17">
        <f>27.8209 * CHOOSE(CONTROL!$C$15, $E$9, 100%, $G$9) + CHOOSE(CONTROL!$C$38, 0.0342, 0)</f>
        <v>27.8551</v>
      </c>
      <c r="D310" s="17">
        <f>27.8131 * CHOOSE(CONTROL!$C$15, $E$9, 100%, $G$9) + CHOOSE(CONTROL!$C$38, 0.0342, 0)</f>
        <v>27.847299999999997</v>
      </c>
      <c r="E310" s="17">
        <f>27.8131 * CHOOSE(CONTROL!$C$15, $E$9, 100%, $G$9) + CHOOSE(CONTROL!$C$38, 0.0342, 0)</f>
        <v>27.847299999999997</v>
      </c>
      <c r="F310" s="45">
        <f>29.6347 * CHOOSE(CONTROL!$C$15, $E$9, 100%, $G$9) + CHOOSE(CONTROL!$C$38, 0.034, 0)</f>
        <v>29.668699999999998</v>
      </c>
      <c r="G310" s="17">
        <f>27.8194 * CHOOSE(CONTROL!$C$15, $E$9, 100%, $G$9) + CHOOSE(CONTROL!$C$38, 0.0342, 0)</f>
        <v>27.8536</v>
      </c>
      <c r="H310" s="17">
        <f>27.8194 * CHOOSE(CONTROL!$C$15, $E$9, 100%, $G$9) + CHOOSE(CONTROL!$C$38, 0.0342, 0)</f>
        <v>27.8536</v>
      </c>
      <c r="I310" s="17">
        <f>27.8209 * CHOOSE(CONTROL!$C$15, $E$9, 100%, $G$9) + CHOOSE(CONTROL!$C$38, 0.0342, 0)</f>
        <v>27.8551</v>
      </c>
      <c r="J310" s="44">
        <f>193.3566</f>
        <v>193.35659999999999</v>
      </c>
    </row>
    <row r="311" spans="1:10" ht="15" x14ac:dyDescent="0.2">
      <c r="A311" s="15">
        <v>50375</v>
      </c>
      <c r="B311" s="17">
        <f>30.5644 * CHOOSE(CONTROL!$C$15, $E$9, 100%, $G$9) + CHOOSE(CONTROL!$C$38, 0.034, 0)</f>
        <v>30.598399999999998</v>
      </c>
      <c r="C311" s="17">
        <f>28.7506 * CHOOSE(CONTROL!$C$15, $E$9, 100%, $G$9) + CHOOSE(CONTROL!$C$38, 0.0342, 0)</f>
        <v>28.784799999999997</v>
      </c>
      <c r="D311" s="17">
        <f>28.7428 * CHOOSE(CONTROL!$C$15, $E$9, 100%, $G$9) + CHOOSE(CONTROL!$C$38, 0.0342, 0)</f>
        <v>28.776999999999997</v>
      </c>
      <c r="E311" s="17">
        <f>28.7428 * CHOOSE(CONTROL!$C$15, $E$9, 100%, $G$9) + CHOOSE(CONTROL!$C$38, 0.0342, 0)</f>
        <v>28.776999999999997</v>
      </c>
      <c r="F311" s="45">
        <f>30.5644 * CHOOSE(CONTROL!$C$15, $E$9, 100%, $G$9) + CHOOSE(CONTROL!$C$38, 0.034, 0)</f>
        <v>30.598399999999998</v>
      </c>
      <c r="G311" s="17">
        <f>28.749 * CHOOSE(CONTROL!$C$15, $E$9, 100%, $G$9) + CHOOSE(CONTROL!$C$38, 0.0342, 0)</f>
        <v>28.783199999999997</v>
      </c>
      <c r="H311" s="17">
        <f>28.749 * CHOOSE(CONTROL!$C$15, $E$9, 100%, $G$9) + CHOOSE(CONTROL!$C$38, 0.0342, 0)</f>
        <v>28.783199999999997</v>
      </c>
      <c r="I311" s="17">
        <f>28.7506 * CHOOSE(CONTROL!$C$15, $E$9, 100%, $G$9) + CHOOSE(CONTROL!$C$38, 0.0342, 0)</f>
        <v>28.784799999999997</v>
      </c>
      <c r="J311" s="44">
        <f>187.6187</f>
        <v>187.61869999999999</v>
      </c>
    </row>
    <row r="312" spans="1:10" ht="15.75" x14ac:dyDescent="0.25">
      <c r="A312" s="14">
        <v>50436</v>
      </c>
      <c r="B312" s="17">
        <f>31.787 * CHOOSE(CONTROL!$C$15, $E$9, 100%, $G$9) + CHOOSE(CONTROL!$C$38, 0.034, 0)</f>
        <v>31.820999999999998</v>
      </c>
      <c r="C312" s="17">
        <f>29.9453 * CHOOSE(CONTROL!$C$15, $E$9, 100%, $G$9) + CHOOSE(CONTROL!$C$38, 0.0342, 0)</f>
        <v>29.979499999999998</v>
      </c>
      <c r="D312" s="17">
        <f>29.9375 * CHOOSE(CONTROL!$C$15, $E$9, 100%, $G$9) + CHOOSE(CONTROL!$C$38, 0.0342, 0)</f>
        <v>29.971699999999998</v>
      </c>
      <c r="E312" s="17">
        <f>29.9375 * CHOOSE(CONTROL!$C$15, $E$9, 100%, $G$9) + CHOOSE(CONTROL!$C$38, 0.0342, 0)</f>
        <v>29.971699999999998</v>
      </c>
      <c r="F312" s="45">
        <f>31.787 * CHOOSE(CONTROL!$C$15, $E$9, 100%, $G$9) + CHOOSE(CONTROL!$C$38, 0.034, 0)</f>
        <v>31.820999999999998</v>
      </c>
      <c r="G312" s="17">
        <f>29.9437 * CHOOSE(CONTROL!$C$15, $E$9, 100%, $G$9) + CHOOSE(CONTROL!$C$38, 0.0342, 0)</f>
        <v>29.977899999999998</v>
      </c>
      <c r="H312" s="17">
        <f>29.9437 * CHOOSE(CONTROL!$C$15, $E$9, 100%, $G$9) + CHOOSE(CONTROL!$C$38, 0.0342, 0)</f>
        <v>29.977899999999998</v>
      </c>
      <c r="I312" s="17">
        <f>29.9453 * CHOOSE(CONTROL!$C$15, $E$9, 100%, $G$9) + CHOOSE(CONTROL!$C$38, 0.0342, 0)</f>
        <v>29.979499999999998</v>
      </c>
      <c r="J312" s="44">
        <f>187.4833</f>
        <v>187.48330000000001</v>
      </c>
    </row>
    <row r="313" spans="1:10" ht="15.75" x14ac:dyDescent="0.25">
      <c r="A313" s="14">
        <v>50464</v>
      </c>
      <c r="B313" s="17">
        <f>32.1313 * CHOOSE(CONTROL!$C$15, $E$9, 100%, $G$9) + CHOOSE(CONTROL!$C$38, 0.034, 0)</f>
        <v>32.165300000000002</v>
      </c>
      <c r="C313" s="17">
        <f>30.2896 * CHOOSE(CONTROL!$C$15, $E$9, 100%, $G$9) + CHOOSE(CONTROL!$C$38, 0.0342, 0)</f>
        <v>30.323799999999999</v>
      </c>
      <c r="D313" s="17">
        <f>30.2818 * CHOOSE(CONTROL!$C$15, $E$9, 100%, $G$9) + CHOOSE(CONTROL!$C$38, 0.0342, 0)</f>
        <v>30.315999999999999</v>
      </c>
      <c r="E313" s="17">
        <f>30.2818 * CHOOSE(CONTROL!$C$15, $E$9, 100%, $G$9) + CHOOSE(CONTROL!$C$38, 0.0342, 0)</f>
        <v>30.315999999999999</v>
      </c>
      <c r="F313" s="45">
        <f>32.1313 * CHOOSE(CONTROL!$C$15, $E$9, 100%, $G$9) + CHOOSE(CONTROL!$C$38, 0.034, 0)</f>
        <v>32.165300000000002</v>
      </c>
      <c r="G313" s="17">
        <f>30.2881 * CHOOSE(CONTROL!$C$15, $E$9, 100%, $G$9) + CHOOSE(CONTROL!$C$38, 0.0342, 0)</f>
        <v>30.322299999999998</v>
      </c>
      <c r="H313" s="17">
        <f>30.2881 * CHOOSE(CONTROL!$C$15, $E$9, 100%, $G$9) + CHOOSE(CONTROL!$C$38, 0.0342, 0)</f>
        <v>30.322299999999998</v>
      </c>
      <c r="I313" s="17">
        <f>30.2896 * CHOOSE(CONTROL!$C$15, $E$9, 100%, $G$9) + CHOOSE(CONTROL!$C$38, 0.0342, 0)</f>
        <v>30.323799999999999</v>
      </c>
      <c r="J313" s="44">
        <f>186.9621</f>
        <v>186.96209999999999</v>
      </c>
    </row>
    <row r="314" spans="1:10" ht="15.75" x14ac:dyDescent="0.25">
      <c r="A314" s="14">
        <v>50495</v>
      </c>
      <c r="B314" s="17">
        <f>31.3342 * CHOOSE(CONTROL!$C$15, $E$9, 100%, $G$9) + CHOOSE(CONTROL!$C$38, 0.034, 0)</f>
        <v>31.368199999999998</v>
      </c>
      <c r="C314" s="17">
        <f>29.4926 * CHOOSE(CONTROL!$C$15, $E$9, 100%, $G$9) + CHOOSE(CONTROL!$C$38, 0.0342, 0)</f>
        <v>29.526799999999998</v>
      </c>
      <c r="D314" s="17">
        <f>29.4848 * CHOOSE(CONTROL!$C$15, $E$9, 100%, $G$9) + CHOOSE(CONTROL!$C$38, 0.0342, 0)</f>
        <v>29.518999999999998</v>
      </c>
      <c r="E314" s="17">
        <f>29.4848 * CHOOSE(CONTROL!$C$15, $E$9, 100%, $G$9) + CHOOSE(CONTROL!$C$38, 0.0342, 0)</f>
        <v>29.518999999999998</v>
      </c>
      <c r="F314" s="45">
        <f>31.3342 * CHOOSE(CONTROL!$C$15, $E$9, 100%, $G$9) + CHOOSE(CONTROL!$C$38, 0.034, 0)</f>
        <v>31.368199999999998</v>
      </c>
      <c r="G314" s="17">
        <f>29.491 * CHOOSE(CONTROL!$C$15, $E$9, 100%, $G$9) + CHOOSE(CONTROL!$C$38, 0.0342, 0)</f>
        <v>29.525199999999998</v>
      </c>
      <c r="H314" s="17">
        <f>29.491 * CHOOSE(CONTROL!$C$15, $E$9, 100%, $G$9) + CHOOSE(CONTROL!$C$38, 0.0342, 0)</f>
        <v>29.525199999999998</v>
      </c>
      <c r="I314" s="17">
        <f>29.4926 * CHOOSE(CONTROL!$C$15, $E$9, 100%, $G$9) + CHOOSE(CONTROL!$C$38, 0.0342, 0)</f>
        <v>29.526799999999998</v>
      </c>
      <c r="J314" s="44">
        <f>196.8161</f>
        <v>196.81610000000001</v>
      </c>
    </row>
    <row r="315" spans="1:10" ht="15.75" x14ac:dyDescent="0.25">
      <c r="A315" s="14">
        <v>50525</v>
      </c>
      <c r="B315" s="17">
        <f>30.5619 * CHOOSE(CONTROL!$C$15, $E$9, 100%, $G$9) + CHOOSE(CONTROL!$C$38, 0.034, 0)</f>
        <v>30.5959</v>
      </c>
      <c r="C315" s="17">
        <f>28.7203 * CHOOSE(CONTROL!$C$15, $E$9, 100%, $G$9) + CHOOSE(CONTROL!$C$38, 0.0342, 0)</f>
        <v>28.7545</v>
      </c>
      <c r="D315" s="17">
        <f>28.7125 * CHOOSE(CONTROL!$C$15, $E$9, 100%, $G$9) + CHOOSE(CONTROL!$C$38, 0.0342, 0)</f>
        <v>28.746699999999997</v>
      </c>
      <c r="E315" s="17">
        <f>28.7125 * CHOOSE(CONTROL!$C$15, $E$9, 100%, $G$9) + CHOOSE(CONTROL!$C$38, 0.0342, 0)</f>
        <v>28.746699999999997</v>
      </c>
      <c r="F315" s="45">
        <f>30.5619 * CHOOSE(CONTROL!$C$15, $E$9, 100%, $G$9) + CHOOSE(CONTROL!$C$38, 0.034, 0)</f>
        <v>30.5959</v>
      </c>
      <c r="G315" s="17">
        <f>28.7187 * CHOOSE(CONTROL!$C$15, $E$9, 100%, $G$9) + CHOOSE(CONTROL!$C$38, 0.0342, 0)</f>
        <v>28.752899999999997</v>
      </c>
      <c r="H315" s="17">
        <f>28.7187 * CHOOSE(CONTROL!$C$15, $E$9, 100%, $G$9) + CHOOSE(CONTROL!$C$38, 0.0342, 0)</f>
        <v>28.752899999999997</v>
      </c>
      <c r="I315" s="17">
        <f>28.7203 * CHOOSE(CONTROL!$C$15, $E$9, 100%, $G$9) + CHOOSE(CONTROL!$C$38, 0.0342, 0)</f>
        <v>28.7545</v>
      </c>
      <c r="J315" s="44">
        <f>209.5944</f>
        <v>209.59440000000001</v>
      </c>
    </row>
    <row r="316" spans="1:10" ht="15.75" x14ac:dyDescent="0.25">
      <c r="A316" s="14">
        <v>50556</v>
      </c>
      <c r="B316" s="17">
        <f>29.757 * CHOOSE(CONTROL!$C$15, $E$9, 100%, $G$9) + CHOOSE(CONTROL!$C$38, 0.0353, 0)</f>
        <v>29.792300000000001</v>
      </c>
      <c r="C316" s="17">
        <f>27.9153 * CHOOSE(CONTROL!$C$15, $E$9, 100%, $G$9) + CHOOSE(CONTROL!$C$38, 0.0354, 0)</f>
        <v>27.950699999999998</v>
      </c>
      <c r="D316" s="17">
        <f>27.9075 * CHOOSE(CONTROL!$C$15, $E$9, 100%, $G$9) + CHOOSE(CONTROL!$C$38, 0.0354, 0)</f>
        <v>27.942899999999998</v>
      </c>
      <c r="E316" s="17">
        <f>27.9075 * CHOOSE(CONTROL!$C$15, $E$9, 100%, $G$9) + CHOOSE(CONTROL!$C$38, 0.0354, 0)</f>
        <v>27.942899999999998</v>
      </c>
      <c r="F316" s="45">
        <f>29.757 * CHOOSE(CONTROL!$C$15, $E$9, 100%, $G$9) + CHOOSE(CONTROL!$C$38, 0.0353, 0)</f>
        <v>29.792300000000001</v>
      </c>
      <c r="G316" s="17">
        <f>27.9138 * CHOOSE(CONTROL!$C$15, $E$9, 100%, $G$9) + CHOOSE(CONTROL!$C$38, 0.0354, 0)</f>
        <v>27.949199999999998</v>
      </c>
      <c r="H316" s="17">
        <f>27.9138 * CHOOSE(CONTROL!$C$15, $E$9, 100%, $G$9) + CHOOSE(CONTROL!$C$38, 0.0354, 0)</f>
        <v>27.949199999999998</v>
      </c>
      <c r="I316" s="17">
        <f>27.9153 * CHOOSE(CONTROL!$C$15, $E$9, 100%, $G$9) + CHOOSE(CONTROL!$C$38, 0.0354, 0)</f>
        <v>27.950699999999998</v>
      </c>
      <c r="J316" s="44">
        <f>216.6279</f>
        <v>216.62790000000001</v>
      </c>
    </row>
    <row r="317" spans="1:10" ht="15.75" x14ac:dyDescent="0.25">
      <c r="A317" s="14">
        <v>50586</v>
      </c>
      <c r="B317" s="17">
        <f>29.1926 * CHOOSE(CONTROL!$C$15, $E$9, 100%, $G$9) + CHOOSE(CONTROL!$C$38, 0.0353, 0)</f>
        <v>29.227899999999998</v>
      </c>
      <c r="C317" s="17">
        <f>27.351 * CHOOSE(CONTROL!$C$15, $E$9, 100%, $G$9) + CHOOSE(CONTROL!$C$38, 0.0354, 0)</f>
        <v>27.386399999999998</v>
      </c>
      <c r="D317" s="17">
        <f>27.3432 * CHOOSE(CONTROL!$C$15, $E$9, 100%, $G$9) + CHOOSE(CONTROL!$C$38, 0.0354, 0)</f>
        <v>27.378599999999999</v>
      </c>
      <c r="E317" s="17">
        <f>27.3432 * CHOOSE(CONTROL!$C$15, $E$9, 100%, $G$9) + CHOOSE(CONTROL!$C$38, 0.0354, 0)</f>
        <v>27.378599999999999</v>
      </c>
      <c r="F317" s="45">
        <f>29.1926 * CHOOSE(CONTROL!$C$15, $E$9, 100%, $G$9) + CHOOSE(CONTROL!$C$38, 0.0353, 0)</f>
        <v>29.227899999999998</v>
      </c>
      <c r="G317" s="17">
        <f>27.3494 * CHOOSE(CONTROL!$C$15, $E$9, 100%, $G$9) + CHOOSE(CONTROL!$C$38, 0.0354, 0)</f>
        <v>27.384799999999998</v>
      </c>
      <c r="H317" s="17">
        <f>27.3494 * CHOOSE(CONTROL!$C$15, $E$9, 100%, $G$9) + CHOOSE(CONTROL!$C$38, 0.0354, 0)</f>
        <v>27.384799999999998</v>
      </c>
      <c r="I317" s="17">
        <f>27.351 * CHOOSE(CONTROL!$C$15, $E$9, 100%, $G$9) + CHOOSE(CONTROL!$C$38, 0.0354, 0)</f>
        <v>27.386399999999998</v>
      </c>
      <c r="J317" s="44">
        <f>219.7493</f>
        <v>219.74930000000001</v>
      </c>
    </row>
    <row r="318" spans="1:10" ht="15.75" x14ac:dyDescent="0.25">
      <c r="A318" s="14">
        <v>50617</v>
      </c>
      <c r="B318" s="17">
        <f>28.8706 * CHOOSE(CONTROL!$C$15, $E$9, 100%, $G$9) + CHOOSE(CONTROL!$C$38, 0.0353, 0)</f>
        <v>28.905899999999999</v>
      </c>
      <c r="C318" s="17">
        <f>27.0289 * CHOOSE(CONTROL!$C$15, $E$9, 100%, $G$9) + CHOOSE(CONTROL!$C$38, 0.0354, 0)</f>
        <v>27.064299999999999</v>
      </c>
      <c r="D318" s="17">
        <f>27.0211 * CHOOSE(CONTROL!$C$15, $E$9, 100%, $G$9) + CHOOSE(CONTROL!$C$38, 0.0354, 0)</f>
        <v>27.0565</v>
      </c>
      <c r="E318" s="17">
        <f>27.0211 * CHOOSE(CONTROL!$C$15, $E$9, 100%, $G$9) + CHOOSE(CONTROL!$C$38, 0.0354, 0)</f>
        <v>27.0565</v>
      </c>
      <c r="F318" s="45">
        <f>28.8706 * CHOOSE(CONTROL!$C$15, $E$9, 100%, $G$9) + CHOOSE(CONTROL!$C$38, 0.0353, 0)</f>
        <v>28.905899999999999</v>
      </c>
      <c r="G318" s="17">
        <f>27.0274 * CHOOSE(CONTROL!$C$15, $E$9, 100%, $G$9) + CHOOSE(CONTROL!$C$38, 0.0354, 0)</f>
        <v>27.062799999999999</v>
      </c>
      <c r="H318" s="17">
        <f>27.0274 * CHOOSE(CONTROL!$C$15, $E$9, 100%, $G$9) + CHOOSE(CONTROL!$C$38, 0.0354, 0)</f>
        <v>27.062799999999999</v>
      </c>
      <c r="I318" s="17">
        <f>27.0289 * CHOOSE(CONTROL!$C$15, $E$9, 100%, $G$9) + CHOOSE(CONTROL!$C$38, 0.0354, 0)</f>
        <v>27.064299999999999</v>
      </c>
      <c r="J318" s="44">
        <f>218.7216</f>
        <v>218.7216</v>
      </c>
    </row>
    <row r="319" spans="1:10" ht="15.75" x14ac:dyDescent="0.25">
      <c r="A319" s="14">
        <v>50648</v>
      </c>
      <c r="B319" s="17">
        <f>29.0295 * CHOOSE(CONTROL!$C$15, $E$9, 100%, $G$9) + CHOOSE(CONTROL!$C$38, 0.0353, 0)</f>
        <v>29.064799999999998</v>
      </c>
      <c r="C319" s="17">
        <f>27.1879 * CHOOSE(CONTROL!$C$15, $E$9, 100%, $G$9) + CHOOSE(CONTROL!$C$38, 0.0354, 0)</f>
        <v>27.223299999999998</v>
      </c>
      <c r="D319" s="17">
        <f>27.1801 * CHOOSE(CONTROL!$C$15, $E$9, 100%, $G$9) + CHOOSE(CONTROL!$C$38, 0.0354, 0)</f>
        <v>27.215499999999999</v>
      </c>
      <c r="E319" s="17">
        <f>27.1801 * CHOOSE(CONTROL!$C$15, $E$9, 100%, $G$9) + CHOOSE(CONTROL!$C$38, 0.0354, 0)</f>
        <v>27.215499999999999</v>
      </c>
      <c r="F319" s="45">
        <f>29.0295 * CHOOSE(CONTROL!$C$15, $E$9, 100%, $G$9) + CHOOSE(CONTROL!$C$38, 0.0353, 0)</f>
        <v>29.064799999999998</v>
      </c>
      <c r="G319" s="17">
        <f>27.1863 * CHOOSE(CONTROL!$C$15, $E$9, 100%, $G$9) + CHOOSE(CONTROL!$C$38, 0.0354, 0)</f>
        <v>27.221699999999998</v>
      </c>
      <c r="H319" s="17">
        <f>27.1863 * CHOOSE(CONTROL!$C$15, $E$9, 100%, $G$9) + CHOOSE(CONTROL!$C$38, 0.0354, 0)</f>
        <v>27.221699999999998</v>
      </c>
      <c r="I319" s="17">
        <f>27.1879 * CHOOSE(CONTROL!$C$15, $E$9, 100%, $G$9) + CHOOSE(CONTROL!$C$38, 0.0354, 0)</f>
        <v>27.223299999999998</v>
      </c>
      <c r="J319" s="44">
        <f>213.6299</f>
        <v>213.62989999999999</v>
      </c>
    </row>
    <row r="320" spans="1:10" ht="15.75" x14ac:dyDescent="0.25">
      <c r="A320" s="14">
        <v>50678</v>
      </c>
      <c r="B320" s="17">
        <f>29.4612 * CHOOSE(CONTROL!$C$15, $E$9, 100%, $G$9) + CHOOSE(CONTROL!$C$38, 0.0353, 0)</f>
        <v>29.496500000000001</v>
      </c>
      <c r="C320" s="17">
        <f>27.6196 * CHOOSE(CONTROL!$C$15, $E$9, 100%, $G$9) + CHOOSE(CONTROL!$C$38, 0.0354, 0)</f>
        <v>27.654999999999998</v>
      </c>
      <c r="D320" s="17">
        <f>27.6118 * CHOOSE(CONTROL!$C$15, $E$9, 100%, $G$9) + CHOOSE(CONTROL!$C$38, 0.0354, 0)</f>
        <v>27.647199999999998</v>
      </c>
      <c r="E320" s="17">
        <f>27.6118 * CHOOSE(CONTROL!$C$15, $E$9, 100%, $G$9) + CHOOSE(CONTROL!$C$38, 0.0354, 0)</f>
        <v>27.647199999999998</v>
      </c>
      <c r="F320" s="45">
        <f>29.4612 * CHOOSE(CONTROL!$C$15, $E$9, 100%, $G$9) + CHOOSE(CONTROL!$C$38, 0.0353, 0)</f>
        <v>29.496500000000001</v>
      </c>
      <c r="G320" s="17">
        <f>27.618 * CHOOSE(CONTROL!$C$15, $E$9, 100%, $G$9) + CHOOSE(CONTROL!$C$38, 0.0354, 0)</f>
        <v>27.653399999999998</v>
      </c>
      <c r="H320" s="17">
        <f>27.618 * CHOOSE(CONTROL!$C$15, $E$9, 100%, $G$9) + CHOOSE(CONTROL!$C$38, 0.0354, 0)</f>
        <v>27.653399999999998</v>
      </c>
      <c r="I320" s="17">
        <f>27.6196 * CHOOSE(CONTROL!$C$15, $E$9, 100%, $G$9) + CHOOSE(CONTROL!$C$38, 0.0354, 0)</f>
        <v>27.654999999999998</v>
      </c>
      <c r="J320" s="44">
        <f>206.5292</f>
        <v>206.5292</v>
      </c>
    </row>
    <row r="321" spans="1:10" ht="15.75" x14ac:dyDescent="0.25">
      <c r="A321" s="14">
        <v>50709</v>
      </c>
      <c r="B321" s="17">
        <f>29.8228 * CHOOSE(CONTROL!$C$15, $E$9, 100%, $G$9) + CHOOSE(CONTROL!$C$38, 0.034, 0)</f>
        <v>29.8568</v>
      </c>
      <c r="C321" s="17">
        <f>27.9811 * CHOOSE(CONTROL!$C$15, $E$9, 100%, $G$9) + CHOOSE(CONTROL!$C$38, 0.0342, 0)</f>
        <v>28.0153</v>
      </c>
      <c r="D321" s="17">
        <f>27.9733 * CHOOSE(CONTROL!$C$15, $E$9, 100%, $G$9) + CHOOSE(CONTROL!$C$38, 0.0342, 0)</f>
        <v>28.007499999999997</v>
      </c>
      <c r="E321" s="17">
        <f>27.9733 * CHOOSE(CONTROL!$C$15, $E$9, 100%, $G$9) + CHOOSE(CONTROL!$C$38, 0.0342, 0)</f>
        <v>28.007499999999997</v>
      </c>
      <c r="F321" s="45">
        <f>29.8228 * CHOOSE(CONTROL!$C$15, $E$9, 100%, $G$9) + CHOOSE(CONTROL!$C$38, 0.034, 0)</f>
        <v>29.8568</v>
      </c>
      <c r="G321" s="17">
        <f>27.9796 * CHOOSE(CONTROL!$C$15, $E$9, 100%, $G$9) + CHOOSE(CONTROL!$C$38, 0.0342, 0)</f>
        <v>28.0138</v>
      </c>
      <c r="H321" s="17">
        <f>27.9796 * CHOOSE(CONTROL!$C$15, $E$9, 100%, $G$9) + CHOOSE(CONTROL!$C$38, 0.0342, 0)</f>
        <v>28.0138</v>
      </c>
      <c r="I321" s="17">
        <f>27.9811 * CHOOSE(CONTROL!$C$15, $E$9, 100%, $G$9) + CHOOSE(CONTROL!$C$38, 0.0342, 0)</f>
        <v>28.0153</v>
      </c>
      <c r="J321" s="44">
        <f>199.3872</f>
        <v>199.38720000000001</v>
      </c>
    </row>
    <row r="322" spans="1:10" ht="15.75" x14ac:dyDescent="0.25">
      <c r="A322" s="14">
        <v>50739</v>
      </c>
      <c r="B322" s="17">
        <f>30.1245 * CHOOSE(CONTROL!$C$15, $E$9, 100%, $G$9) + CHOOSE(CONTROL!$C$38, 0.034, 0)</f>
        <v>30.1585</v>
      </c>
      <c r="C322" s="17">
        <f>28.2828 * CHOOSE(CONTROL!$C$15, $E$9, 100%, $G$9) + CHOOSE(CONTROL!$C$38, 0.0342, 0)</f>
        <v>28.317</v>
      </c>
      <c r="D322" s="17">
        <f>28.275 * CHOOSE(CONTROL!$C$15, $E$9, 100%, $G$9) + CHOOSE(CONTROL!$C$38, 0.0342, 0)</f>
        <v>28.309199999999997</v>
      </c>
      <c r="E322" s="17">
        <f>28.275 * CHOOSE(CONTROL!$C$15, $E$9, 100%, $G$9) + CHOOSE(CONTROL!$C$38, 0.0342, 0)</f>
        <v>28.309199999999997</v>
      </c>
      <c r="F322" s="45">
        <f>30.1245 * CHOOSE(CONTROL!$C$15, $E$9, 100%, $G$9) + CHOOSE(CONTROL!$C$38, 0.034, 0)</f>
        <v>30.1585</v>
      </c>
      <c r="G322" s="17">
        <f>28.2813 * CHOOSE(CONTROL!$C$15, $E$9, 100%, $G$9) + CHOOSE(CONTROL!$C$38, 0.0342, 0)</f>
        <v>28.3155</v>
      </c>
      <c r="H322" s="17">
        <f>28.2813 * CHOOSE(CONTROL!$C$15, $E$9, 100%, $G$9) + CHOOSE(CONTROL!$C$38, 0.0342, 0)</f>
        <v>28.3155</v>
      </c>
      <c r="I322" s="17">
        <f>28.2828 * CHOOSE(CONTROL!$C$15, $E$9, 100%, $G$9) + CHOOSE(CONTROL!$C$38, 0.0342, 0)</f>
        <v>28.317</v>
      </c>
      <c r="J322" s="44">
        <f>197.9665</f>
        <v>197.9665</v>
      </c>
    </row>
    <row r="323" spans="1:10" ht="15.75" x14ac:dyDescent="0.25">
      <c r="A323" s="14">
        <v>50770</v>
      </c>
      <c r="B323" s="17">
        <f>31.0542 * CHOOSE(CONTROL!$C$15, $E$9, 100%, $G$9) + CHOOSE(CONTROL!$C$38, 0.034, 0)</f>
        <v>31.088200000000001</v>
      </c>
      <c r="C323" s="17">
        <f>29.2125 * CHOOSE(CONTROL!$C$15, $E$9, 100%, $G$9) + CHOOSE(CONTROL!$C$38, 0.0342, 0)</f>
        <v>29.246699999999997</v>
      </c>
      <c r="D323" s="17">
        <f>29.2047 * CHOOSE(CONTROL!$C$15, $E$9, 100%, $G$9) + CHOOSE(CONTROL!$C$38, 0.0342, 0)</f>
        <v>29.238899999999997</v>
      </c>
      <c r="E323" s="17">
        <f>29.2047 * CHOOSE(CONTROL!$C$15, $E$9, 100%, $G$9) + CHOOSE(CONTROL!$C$38, 0.0342, 0)</f>
        <v>29.238899999999997</v>
      </c>
      <c r="F323" s="45">
        <f>31.0542 * CHOOSE(CONTROL!$C$15, $E$9, 100%, $G$9) + CHOOSE(CONTROL!$C$38, 0.034, 0)</f>
        <v>31.088200000000001</v>
      </c>
      <c r="G323" s="17">
        <f>29.2109 * CHOOSE(CONTROL!$C$15, $E$9, 100%, $G$9) + CHOOSE(CONTROL!$C$38, 0.0342, 0)</f>
        <v>29.245099999999997</v>
      </c>
      <c r="H323" s="17">
        <f>29.2109 * CHOOSE(CONTROL!$C$15, $E$9, 100%, $G$9) + CHOOSE(CONTROL!$C$38, 0.0342, 0)</f>
        <v>29.245099999999997</v>
      </c>
      <c r="I323" s="17">
        <f>29.2125 * CHOOSE(CONTROL!$C$15, $E$9, 100%, $G$9) + CHOOSE(CONTROL!$C$38, 0.0342, 0)</f>
        <v>29.246699999999997</v>
      </c>
      <c r="J323" s="44">
        <f>192.0918</f>
        <v>192.09180000000001</v>
      </c>
    </row>
    <row r="324" spans="1:10" ht="15.75" x14ac:dyDescent="0.25">
      <c r="A324" s="14">
        <v>50801</v>
      </c>
      <c r="B324" s="17">
        <f>32.285 * CHOOSE(CONTROL!$C$15, $E$9, 100%, $G$9) + CHOOSE(CONTROL!$C$38, 0.034, 0)</f>
        <v>32.318999999999996</v>
      </c>
      <c r="C324" s="17">
        <f>30.415 * CHOOSE(CONTROL!$C$15, $E$9, 100%, $G$9) + CHOOSE(CONTROL!$C$38, 0.0342, 0)</f>
        <v>30.449199999999998</v>
      </c>
      <c r="D324" s="17">
        <f>30.4072 * CHOOSE(CONTROL!$C$15, $E$9, 100%, $G$9) + CHOOSE(CONTROL!$C$38, 0.0342, 0)</f>
        <v>30.441399999999998</v>
      </c>
      <c r="E324" s="17">
        <f>30.4072 * CHOOSE(CONTROL!$C$15, $E$9, 100%, $G$9) + CHOOSE(CONTROL!$C$38, 0.0342, 0)</f>
        <v>30.441399999999998</v>
      </c>
      <c r="F324" s="45">
        <f>32.285 * CHOOSE(CONTROL!$C$15, $E$9, 100%, $G$9) + CHOOSE(CONTROL!$C$38, 0.034, 0)</f>
        <v>32.318999999999996</v>
      </c>
      <c r="G324" s="17">
        <f>30.4134 * CHOOSE(CONTROL!$C$15, $E$9, 100%, $G$9) + CHOOSE(CONTROL!$C$38, 0.0342, 0)</f>
        <v>30.447599999999998</v>
      </c>
      <c r="H324" s="17">
        <f>30.4134 * CHOOSE(CONTROL!$C$15, $E$9, 100%, $G$9) + CHOOSE(CONTROL!$C$38, 0.0342, 0)</f>
        <v>30.447599999999998</v>
      </c>
      <c r="I324" s="17">
        <f>30.415 * CHOOSE(CONTROL!$C$15, $E$9, 100%, $G$9) + CHOOSE(CONTROL!$C$38, 0.0342, 0)</f>
        <v>30.449199999999998</v>
      </c>
      <c r="J324" s="44">
        <f>191.9531</f>
        <v>191.95310000000001</v>
      </c>
    </row>
    <row r="325" spans="1:10" ht="15.75" x14ac:dyDescent="0.25">
      <c r="A325" s="14">
        <v>50829</v>
      </c>
      <c r="B325" s="17">
        <f>32.6293 * CHOOSE(CONTROL!$C$15, $E$9, 100%, $G$9) + CHOOSE(CONTROL!$C$38, 0.034, 0)</f>
        <v>32.6633</v>
      </c>
      <c r="C325" s="17">
        <f>30.7593 * CHOOSE(CONTROL!$C$15, $E$9, 100%, $G$9) + CHOOSE(CONTROL!$C$38, 0.0342, 0)</f>
        <v>30.793499999999998</v>
      </c>
      <c r="D325" s="17">
        <f>30.7515 * CHOOSE(CONTROL!$C$15, $E$9, 100%, $G$9) + CHOOSE(CONTROL!$C$38, 0.0342, 0)</f>
        <v>30.785699999999999</v>
      </c>
      <c r="E325" s="17">
        <f>30.7515 * CHOOSE(CONTROL!$C$15, $E$9, 100%, $G$9) + CHOOSE(CONTROL!$C$38, 0.0342, 0)</f>
        <v>30.785699999999999</v>
      </c>
      <c r="F325" s="45">
        <f>32.6293 * CHOOSE(CONTROL!$C$15, $E$9, 100%, $G$9) + CHOOSE(CONTROL!$C$38, 0.034, 0)</f>
        <v>32.6633</v>
      </c>
      <c r="G325" s="17">
        <f>30.7577 * CHOOSE(CONTROL!$C$15, $E$9, 100%, $G$9) + CHOOSE(CONTROL!$C$38, 0.0342, 0)</f>
        <v>30.791899999999998</v>
      </c>
      <c r="H325" s="17">
        <f>30.7577 * CHOOSE(CONTROL!$C$15, $E$9, 100%, $G$9) + CHOOSE(CONTROL!$C$38, 0.0342, 0)</f>
        <v>30.791899999999998</v>
      </c>
      <c r="I325" s="17">
        <f>30.7593 * CHOOSE(CONTROL!$C$15, $E$9, 100%, $G$9) + CHOOSE(CONTROL!$C$38, 0.0342, 0)</f>
        <v>30.793499999999998</v>
      </c>
      <c r="J325" s="44">
        <f>191.4196</f>
        <v>191.4196</v>
      </c>
    </row>
    <row r="326" spans="1:10" ht="15.75" x14ac:dyDescent="0.25">
      <c r="A326" s="14">
        <v>50860</v>
      </c>
      <c r="B326" s="17">
        <f>31.8322 * CHOOSE(CONTROL!$C$15, $E$9, 100%, $G$9) + CHOOSE(CONTROL!$C$38, 0.034, 0)</f>
        <v>31.866199999999999</v>
      </c>
      <c r="C326" s="17">
        <f>29.9623 * CHOOSE(CONTROL!$C$15, $E$9, 100%, $G$9) + CHOOSE(CONTROL!$C$38, 0.0342, 0)</f>
        <v>29.996499999999997</v>
      </c>
      <c r="D326" s="17">
        <f>29.9545 * CHOOSE(CONTROL!$C$15, $E$9, 100%, $G$9) + CHOOSE(CONTROL!$C$38, 0.0342, 0)</f>
        <v>29.988699999999998</v>
      </c>
      <c r="E326" s="17">
        <f>29.9545 * CHOOSE(CONTROL!$C$15, $E$9, 100%, $G$9) + CHOOSE(CONTROL!$C$38, 0.0342, 0)</f>
        <v>29.988699999999998</v>
      </c>
      <c r="F326" s="45">
        <f>31.8322 * CHOOSE(CONTROL!$C$15, $E$9, 100%, $G$9) + CHOOSE(CONTROL!$C$38, 0.034, 0)</f>
        <v>31.866199999999999</v>
      </c>
      <c r="G326" s="17">
        <f>29.9607 * CHOOSE(CONTROL!$C$15, $E$9, 100%, $G$9) + CHOOSE(CONTROL!$C$38, 0.0342, 0)</f>
        <v>29.994899999999998</v>
      </c>
      <c r="H326" s="17">
        <f>29.9607 * CHOOSE(CONTROL!$C$15, $E$9, 100%, $G$9) + CHOOSE(CONTROL!$C$38, 0.0342, 0)</f>
        <v>29.994899999999998</v>
      </c>
      <c r="I326" s="17">
        <f>29.9623 * CHOOSE(CONTROL!$C$15, $E$9, 100%, $G$9) + CHOOSE(CONTROL!$C$38, 0.0342, 0)</f>
        <v>29.996499999999997</v>
      </c>
      <c r="J326" s="44">
        <f>201.5085</f>
        <v>201.5085</v>
      </c>
    </row>
    <row r="327" spans="1:10" ht="15.75" x14ac:dyDescent="0.25">
      <c r="A327" s="14">
        <v>50890</v>
      </c>
      <c r="B327" s="17">
        <f>31.0599 * CHOOSE(CONTROL!$C$15, $E$9, 100%, $G$9) + CHOOSE(CONTROL!$C$38, 0.034, 0)</f>
        <v>31.093899999999998</v>
      </c>
      <c r="C327" s="17">
        <f>29.19 * CHOOSE(CONTROL!$C$15, $E$9, 100%, $G$9) + CHOOSE(CONTROL!$C$38, 0.0342, 0)</f>
        <v>29.2242</v>
      </c>
      <c r="D327" s="17">
        <f>29.1821 * CHOOSE(CONTROL!$C$15, $E$9, 100%, $G$9) + CHOOSE(CONTROL!$C$38, 0.0342, 0)</f>
        <v>29.216299999999997</v>
      </c>
      <c r="E327" s="17">
        <f>29.1821 * CHOOSE(CONTROL!$C$15, $E$9, 100%, $G$9) + CHOOSE(CONTROL!$C$38, 0.0342, 0)</f>
        <v>29.216299999999997</v>
      </c>
      <c r="F327" s="45">
        <f>31.0599 * CHOOSE(CONTROL!$C$15, $E$9, 100%, $G$9) + CHOOSE(CONTROL!$C$38, 0.034, 0)</f>
        <v>31.093899999999998</v>
      </c>
      <c r="G327" s="17">
        <f>29.1884 * CHOOSE(CONTROL!$C$15, $E$9, 100%, $G$9) + CHOOSE(CONTROL!$C$38, 0.0342, 0)</f>
        <v>29.2226</v>
      </c>
      <c r="H327" s="17">
        <f>29.1884 * CHOOSE(CONTROL!$C$15, $E$9, 100%, $G$9) + CHOOSE(CONTROL!$C$38, 0.0342, 0)</f>
        <v>29.2226</v>
      </c>
      <c r="I327" s="17">
        <f>29.19 * CHOOSE(CONTROL!$C$15, $E$9, 100%, $G$9) + CHOOSE(CONTROL!$C$38, 0.0342, 0)</f>
        <v>29.2242</v>
      </c>
      <c r="J327" s="44">
        <f>214.5914</f>
        <v>214.59139999999999</v>
      </c>
    </row>
    <row r="328" spans="1:10" ht="15.75" x14ac:dyDescent="0.25">
      <c r="A328" s="14">
        <v>50921</v>
      </c>
      <c r="B328" s="17">
        <f>30.255 * CHOOSE(CONTROL!$C$15, $E$9, 100%, $G$9) + CHOOSE(CONTROL!$C$38, 0.0353, 0)</f>
        <v>30.290299999999998</v>
      </c>
      <c r="C328" s="17">
        <f>28.385 * CHOOSE(CONTROL!$C$15, $E$9, 100%, $G$9) + CHOOSE(CONTROL!$C$38, 0.0354, 0)</f>
        <v>28.420400000000001</v>
      </c>
      <c r="D328" s="17">
        <f>28.3772 * CHOOSE(CONTROL!$C$15, $E$9, 100%, $G$9) + CHOOSE(CONTROL!$C$38, 0.0354, 0)</f>
        <v>28.412599999999998</v>
      </c>
      <c r="E328" s="17">
        <f>28.3772 * CHOOSE(CONTROL!$C$15, $E$9, 100%, $G$9) + CHOOSE(CONTROL!$C$38, 0.0354, 0)</f>
        <v>28.412599999999998</v>
      </c>
      <c r="F328" s="45">
        <f>30.255 * CHOOSE(CONTROL!$C$15, $E$9, 100%, $G$9) + CHOOSE(CONTROL!$C$38, 0.0353, 0)</f>
        <v>30.290299999999998</v>
      </c>
      <c r="G328" s="17">
        <f>28.3834 * CHOOSE(CONTROL!$C$15, $E$9, 100%, $G$9) + CHOOSE(CONTROL!$C$38, 0.0354, 0)</f>
        <v>28.418800000000001</v>
      </c>
      <c r="H328" s="17">
        <f>28.3834 * CHOOSE(CONTROL!$C$15, $E$9, 100%, $G$9) + CHOOSE(CONTROL!$C$38, 0.0354, 0)</f>
        <v>28.418800000000001</v>
      </c>
      <c r="I328" s="17">
        <f>28.385 * CHOOSE(CONTROL!$C$15, $E$9, 100%, $G$9) + CHOOSE(CONTROL!$C$38, 0.0354, 0)</f>
        <v>28.420400000000001</v>
      </c>
      <c r="J328" s="44">
        <f>221.7927</f>
        <v>221.7927</v>
      </c>
    </row>
    <row r="329" spans="1:10" ht="15.75" x14ac:dyDescent="0.25">
      <c r="A329" s="14">
        <v>50951</v>
      </c>
      <c r="B329" s="17">
        <f>29.6906 * CHOOSE(CONTROL!$C$15, $E$9, 100%, $G$9) + CHOOSE(CONTROL!$C$38, 0.0353, 0)</f>
        <v>29.725899999999999</v>
      </c>
      <c r="C329" s="17">
        <f>27.8207 * CHOOSE(CONTROL!$C$15, $E$9, 100%, $G$9) + CHOOSE(CONTROL!$C$38, 0.0354, 0)</f>
        <v>27.856099999999998</v>
      </c>
      <c r="D329" s="17">
        <f>27.8129 * CHOOSE(CONTROL!$C$15, $E$9, 100%, $G$9) + CHOOSE(CONTROL!$C$38, 0.0354, 0)</f>
        <v>27.848299999999998</v>
      </c>
      <c r="E329" s="17">
        <f>27.8129 * CHOOSE(CONTROL!$C$15, $E$9, 100%, $G$9) + CHOOSE(CONTROL!$C$38, 0.0354, 0)</f>
        <v>27.848299999999998</v>
      </c>
      <c r="F329" s="45">
        <f>29.6906 * CHOOSE(CONTROL!$C$15, $E$9, 100%, $G$9) + CHOOSE(CONTROL!$C$38, 0.0353, 0)</f>
        <v>29.725899999999999</v>
      </c>
      <c r="G329" s="17">
        <f>27.8191 * CHOOSE(CONTROL!$C$15, $E$9, 100%, $G$9) + CHOOSE(CONTROL!$C$38, 0.0354, 0)</f>
        <v>27.854499999999998</v>
      </c>
      <c r="H329" s="17">
        <f>27.8191 * CHOOSE(CONTROL!$C$15, $E$9, 100%, $G$9) + CHOOSE(CONTROL!$C$38, 0.0354, 0)</f>
        <v>27.854499999999998</v>
      </c>
      <c r="I329" s="17">
        <f>27.8207 * CHOOSE(CONTROL!$C$15, $E$9, 100%, $G$9) + CHOOSE(CONTROL!$C$38, 0.0354, 0)</f>
        <v>27.856099999999998</v>
      </c>
      <c r="J329" s="44">
        <f>224.9885</f>
        <v>224.98849999999999</v>
      </c>
    </row>
    <row r="330" spans="1:10" ht="15.75" x14ac:dyDescent="0.25">
      <c r="A330" s="14">
        <v>50982</v>
      </c>
      <c r="B330" s="17">
        <f>29.3686 * CHOOSE(CONTROL!$C$15, $E$9, 100%, $G$9) + CHOOSE(CONTROL!$C$38, 0.0353, 0)</f>
        <v>29.4039</v>
      </c>
      <c r="C330" s="17">
        <f>27.4986 * CHOOSE(CONTROL!$C$15, $E$9, 100%, $G$9) + CHOOSE(CONTROL!$C$38, 0.0354, 0)</f>
        <v>27.533999999999999</v>
      </c>
      <c r="D330" s="17">
        <f>27.4908 * CHOOSE(CONTROL!$C$15, $E$9, 100%, $G$9) + CHOOSE(CONTROL!$C$38, 0.0354, 0)</f>
        <v>27.526199999999999</v>
      </c>
      <c r="E330" s="17">
        <f>27.4908 * CHOOSE(CONTROL!$C$15, $E$9, 100%, $G$9) + CHOOSE(CONTROL!$C$38, 0.0354, 0)</f>
        <v>27.526199999999999</v>
      </c>
      <c r="F330" s="45">
        <f>29.3686 * CHOOSE(CONTROL!$C$15, $E$9, 100%, $G$9) + CHOOSE(CONTROL!$C$38, 0.0353, 0)</f>
        <v>29.4039</v>
      </c>
      <c r="G330" s="17">
        <f>27.497 * CHOOSE(CONTROL!$C$15, $E$9, 100%, $G$9) + CHOOSE(CONTROL!$C$38, 0.0354, 0)</f>
        <v>27.532399999999999</v>
      </c>
      <c r="H330" s="17">
        <f>27.497 * CHOOSE(CONTROL!$C$15, $E$9, 100%, $G$9) + CHOOSE(CONTROL!$C$38, 0.0354, 0)</f>
        <v>27.532399999999999</v>
      </c>
      <c r="I330" s="17">
        <f>27.4986 * CHOOSE(CONTROL!$C$15, $E$9, 100%, $G$9) + CHOOSE(CONTROL!$C$38, 0.0354, 0)</f>
        <v>27.533999999999999</v>
      </c>
      <c r="J330" s="44">
        <f>223.9363</f>
        <v>223.93629999999999</v>
      </c>
    </row>
    <row r="331" spans="1:10" ht="15.75" x14ac:dyDescent="0.25">
      <c r="A331" s="14">
        <v>51013</v>
      </c>
      <c r="B331" s="17">
        <f>29.5275 * CHOOSE(CONTROL!$C$15, $E$9, 100%, $G$9) + CHOOSE(CONTROL!$C$38, 0.0353, 0)</f>
        <v>29.562799999999999</v>
      </c>
      <c r="C331" s="17">
        <f>27.6576 * CHOOSE(CONTROL!$C$15, $E$9, 100%, $G$9) + CHOOSE(CONTROL!$C$38, 0.0354, 0)</f>
        <v>27.692999999999998</v>
      </c>
      <c r="D331" s="17">
        <f>27.6497 * CHOOSE(CONTROL!$C$15, $E$9, 100%, $G$9) + CHOOSE(CONTROL!$C$38, 0.0354, 0)</f>
        <v>27.685099999999998</v>
      </c>
      <c r="E331" s="17">
        <f>27.6497 * CHOOSE(CONTROL!$C$15, $E$9, 100%, $G$9) + CHOOSE(CONTROL!$C$38, 0.0354, 0)</f>
        <v>27.685099999999998</v>
      </c>
      <c r="F331" s="45">
        <f>29.5275 * CHOOSE(CONTROL!$C$15, $E$9, 100%, $G$9) + CHOOSE(CONTROL!$C$38, 0.0353, 0)</f>
        <v>29.562799999999999</v>
      </c>
      <c r="G331" s="17">
        <f>27.656 * CHOOSE(CONTROL!$C$15, $E$9, 100%, $G$9) + CHOOSE(CONTROL!$C$38, 0.0354, 0)</f>
        <v>27.691399999999998</v>
      </c>
      <c r="H331" s="17">
        <f>27.656 * CHOOSE(CONTROL!$C$15, $E$9, 100%, $G$9) + CHOOSE(CONTROL!$C$38, 0.0354, 0)</f>
        <v>27.691399999999998</v>
      </c>
      <c r="I331" s="17">
        <f>27.6576 * CHOOSE(CONTROL!$C$15, $E$9, 100%, $G$9) + CHOOSE(CONTROL!$C$38, 0.0354, 0)</f>
        <v>27.692999999999998</v>
      </c>
      <c r="J331" s="44">
        <f>218.7231</f>
        <v>218.72309999999999</v>
      </c>
    </row>
    <row r="332" spans="1:10" ht="15.75" x14ac:dyDescent="0.25">
      <c r="A332" s="14">
        <v>51043</v>
      </c>
      <c r="B332" s="17">
        <f>29.9592 * CHOOSE(CONTROL!$C$15, $E$9, 100%, $G$9) + CHOOSE(CONTROL!$C$38, 0.0353, 0)</f>
        <v>29.994499999999999</v>
      </c>
      <c r="C332" s="17">
        <f>28.0893 * CHOOSE(CONTROL!$C$15, $E$9, 100%, $G$9) + CHOOSE(CONTROL!$C$38, 0.0354, 0)</f>
        <v>28.124700000000001</v>
      </c>
      <c r="D332" s="17">
        <f>28.0814 * CHOOSE(CONTROL!$C$15, $E$9, 100%, $G$9) + CHOOSE(CONTROL!$C$38, 0.0354, 0)</f>
        <v>28.116799999999998</v>
      </c>
      <c r="E332" s="17">
        <f>28.0814 * CHOOSE(CONTROL!$C$15, $E$9, 100%, $G$9) + CHOOSE(CONTROL!$C$38, 0.0354, 0)</f>
        <v>28.116799999999998</v>
      </c>
      <c r="F332" s="45">
        <f>29.9592 * CHOOSE(CONTROL!$C$15, $E$9, 100%, $G$9) + CHOOSE(CONTROL!$C$38, 0.0353, 0)</f>
        <v>29.994499999999999</v>
      </c>
      <c r="G332" s="17">
        <f>28.0877 * CHOOSE(CONTROL!$C$15, $E$9, 100%, $G$9) + CHOOSE(CONTROL!$C$38, 0.0354, 0)</f>
        <v>28.123100000000001</v>
      </c>
      <c r="H332" s="17">
        <f>28.0877 * CHOOSE(CONTROL!$C$15, $E$9, 100%, $G$9) + CHOOSE(CONTROL!$C$38, 0.0354, 0)</f>
        <v>28.123100000000001</v>
      </c>
      <c r="I332" s="17">
        <f>28.0893 * CHOOSE(CONTROL!$C$15, $E$9, 100%, $G$9) + CHOOSE(CONTROL!$C$38, 0.0354, 0)</f>
        <v>28.124700000000001</v>
      </c>
      <c r="J332" s="44">
        <f>211.4531</f>
        <v>211.45310000000001</v>
      </c>
    </row>
    <row r="333" spans="1:10" ht="15.75" x14ac:dyDescent="0.25">
      <c r="A333" s="14">
        <v>51074</v>
      </c>
      <c r="B333" s="17">
        <f>30.3208 * CHOOSE(CONTROL!$C$15, $E$9, 100%, $G$9) + CHOOSE(CONTROL!$C$38, 0.034, 0)</f>
        <v>30.354799999999997</v>
      </c>
      <c r="C333" s="17">
        <f>28.4508 * CHOOSE(CONTROL!$C$15, $E$9, 100%, $G$9) + CHOOSE(CONTROL!$C$38, 0.0342, 0)</f>
        <v>28.484999999999999</v>
      </c>
      <c r="D333" s="17">
        <f>28.443 * CHOOSE(CONTROL!$C$15, $E$9, 100%, $G$9) + CHOOSE(CONTROL!$C$38, 0.0342, 0)</f>
        <v>28.4772</v>
      </c>
      <c r="E333" s="17">
        <f>28.443 * CHOOSE(CONTROL!$C$15, $E$9, 100%, $G$9) + CHOOSE(CONTROL!$C$38, 0.0342, 0)</f>
        <v>28.4772</v>
      </c>
      <c r="F333" s="45">
        <f>30.3208 * CHOOSE(CONTROL!$C$15, $E$9, 100%, $G$9) + CHOOSE(CONTROL!$C$38, 0.034, 0)</f>
        <v>30.354799999999997</v>
      </c>
      <c r="G333" s="17">
        <f>28.4493 * CHOOSE(CONTROL!$C$15, $E$9, 100%, $G$9) + CHOOSE(CONTROL!$C$38, 0.0342, 0)</f>
        <v>28.483499999999999</v>
      </c>
      <c r="H333" s="17">
        <f>28.4493 * CHOOSE(CONTROL!$C$15, $E$9, 100%, $G$9) + CHOOSE(CONTROL!$C$38, 0.0342, 0)</f>
        <v>28.483499999999999</v>
      </c>
      <c r="I333" s="17">
        <f>28.4508 * CHOOSE(CONTROL!$C$15, $E$9, 100%, $G$9) + CHOOSE(CONTROL!$C$38, 0.0342, 0)</f>
        <v>28.484999999999999</v>
      </c>
      <c r="J333" s="44">
        <f>204.1409</f>
        <v>204.14089999999999</v>
      </c>
    </row>
    <row r="334" spans="1:10" ht="15.75" x14ac:dyDescent="0.25">
      <c r="A334" s="14">
        <v>51104</v>
      </c>
      <c r="B334" s="17">
        <f>30.6225 * CHOOSE(CONTROL!$C$15, $E$9, 100%, $G$9) + CHOOSE(CONTROL!$C$38, 0.034, 0)</f>
        <v>30.656499999999998</v>
      </c>
      <c r="C334" s="17">
        <f>28.7525 * CHOOSE(CONTROL!$C$15, $E$9, 100%, $G$9) + CHOOSE(CONTROL!$C$38, 0.0342, 0)</f>
        <v>28.7867</v>
      </c>
      <c r="D334" s="17">
        <f>28.7447 * CHOOSE(CONTROL!$C$15, $E$9, 100%, $G$9) + CHOOSE(CONTROL!$C$38, 0.0342, 0)</f>
        <v>28.7789</v>
      </c>
      <c r="E334" s="17">
        <f>28.7447 * CHOOSE(CONTROL!$C$15, $E$9, 100%, $G$9) + CHOOSE(CONTROL!$C$38, 0.0342, 0)</f>
        <v>28.7789</v>
      </c>
      <c r="F334" s="45">
        <f>30.6225 * CHOOSE(CONTROL!$C$15, $E$9, 100%, $G$9) + CHOOSE(CONTROL!$C$38, 0.034, 0)</f>
        <v>30.656499999999998</v>
      </c>
      <c r="G334" s="17">
        <f>28.751 * CHOOSE(CONTROL!$C$15, $E$9, 100%, $G$9) + CHOOSE(CONTROL!$C$38, 0.0342, 0)</f>
        <v>28.7852</v>
      </c>
      <c r="H334" s="17">
        <f>28.751 * CHOOSE(CONTROL!$C$15, $E$9, 100%, $G$9) + CHOOSE(CONTROL!$C$38, 0.0342, 0)</f>
        <v>28.7852</v>
      </c>
      <c r="I334" s="17">
        <f>28.7525 * CHOOSE(CONTROL!$C$15, $E$9, 100%, $G$9) + CHOOSE(CONTROL!$C$38, 0.0342, 0)</f>
        <v>28.7867</v>
      </c>
      <c r="J334" s="44">
        <f>202.6863</f>
        <v>202.68629999999999</v>
      </c>
    </row>
    <row r="335" spans="1:10" ht="15.75" x14ac:dyDescent="0.25">
      <c r="A335" s="14">
        <v>51135</v>
      </c>
      <c r="B335" s="17">
        <f>31.5522 * CHOOSE(CONTROL!$C$15, $E$9, 100%, $G$9) + CHOOSE(CONTROL!$C$38, 0.034, 0)</f>
        <v>31.586199999999998</v>
      </c>
      <c r="C335" s="17">
        <f>29.6822 * CHOOSE(CONTROL!$C$15, $E$9, 100%, $G$9) + CHOOSE(CONTROL!$C$38, 0.0342, 0)</f>
        <v>29.7164</v>
      </c>
      <c r="D335" s="17">
        <f>29.6744 * CHOOSE(CONTROL!$C$15, $E$9, 100%, $G$9) + CHOOSE(CONTROL!$C$38, 0.0342, 0)</f>
        <v>29.708599999999997</v>
      </c>
      <c r="E335" s="17">
        <f>29.6744 * CHOOSE(CONTROL!$C$15, $E$9, 100%, $G$9) + CHOOSE(CONTROL!$C$38, 0.0342, 0)</f>
        <v>29.708599999999997</v>
      </c>
      <c r="F335" s="45">
        <f>31.5522 * CHOOSE(CONTROL!$C$15, $E$9, 100%, $G$9) + CHOOSE(CONTROL!$C$38, 0.034, 0)</f>
        <v>31.586199999999998</v>
      </c>
      <c r="G335" s="17">
        <f>29.6806 * CHOOSE(CONTROL!$C$15, $E$9, 100%, $G$9) + CHOOSE(CONTROL!$C$38, 0.0342, 0)</f>
        <v>29.714799999999997</v>
      </c>
      <c r="H335" s="17">
        <f>29.6806 * CHOOSE(CONTROL!$C$15, $E$9, 100%, $G$9) + CHOOSE(CONTROL!$C$38, 0.0342, 0)</f>
        <v>29.714799999999997</v>
      </c>
      <c r="I335" s="17">
        <f>29.6822 * CHOOSE(CONTROL!$C$15, $E$9, 100%, $G$9) + CHOOSE(CONTROL!$C$38, 0.0342, 0)</f>
        <v>29.7164</v>
      </c>
      <c r="J335" s="44">
        <f>196.6716</f>
        <v>196.67160000000001</v>
      </c>
    </row>
    <row r="336" spans="1:10" ht="15.75" x14ac:dyDescent="0.25">
      <c r="A336" s="14">
        <v>51166</v>
      </c>
      <c r="B336" s="17">
        <f>32.7913 * CHOOSE(CONTROL!$C$15, $E$9, 100%, $G$9) + CHOOSE(CONTROL!$C$38, 0.034, 0)</f>
        <v>32.825299999999999</v>
      </c>
      <c r="C336" s="17">
        <f>30.8926 * CHOOSE(CONTROL!$C$15, $E$9, 100%, $G$9) + CHOOSE(CONTROL!$C$38, 0.0342, 0)</f>
        <v>30.9268</v>
      </c>
      <c r="D336" s="17">
        <f>30.8848 * CHOOSE(CONTROL!$C$15, $E$9, 100%, $G$9) + CHOOSE(CONTROL!$C$38, 0.0342, 0)</f>
        <v>30.918999999999997</v>
      </c>
      <c r="E336" s="17">
        <f>30.8848 * CHOOSE(CONTROL!$C$15, $E$9, 100%, $G$9) + CHOOSE(CONTROL!$C$38, 0.0342, 0)</f>
        <v>30.918999999999997</v>
      </c>
      <c r="F336" s="45">
        <f>32.7913 * CHOOSE(CONTROL!$C$15, $E$9, 100%, $G$9) + CHOOSE(CONTROL!$C$38, 0.034, 0)</f>
        <v>32.825299999999999</v>
      </c>
      <c r="G336" s="17">
        <f>30.891 * CHOOSE(CONTROL!$C$15, $E$9, 100%, $G$9) + CHOOSE(CONTROL!$C$38, 0.0342, 0)</f>
        <v>30.925199999999997</v>
      </c>
      <c r="H336" s="17">
        <f>30.891 * CHOOSE(CONTROL!$C$15, $E$9, 100%, $G$9) + CHOOSE(CONTROL!$C$38, 0.0342, 0)</f>
        <v>30.925199999999997</v>
      </c>
      <c r="I336" s="17">
        <f>30.8926 * CHOOSE(CONTROL!$C$15, $E$9, 100%, $G$9) + CHOOSE(CONTROL!$C$38, 0.0342, 0)</f>
        <v>30.9268</v>
      </c>
      <c r="J336" s="44">
        <f>196.5296</f>
        <v>196.52959999999999</v>
      </c>
    </row>
    <row r="337" spans="1:10" ht="15.75" x14ac:dyDescent="0.25">
      <c r="A337" s="14">
        <v>51194</v>
      </c>
      <c r="B337" s="17">
        <f>33.1356 * CHOOSE(CONTROL!$C$15, $E$9, 100%, $G$9) + CHOOSE(CONTROL!$C$38, 0.034, 0)</f>
        <v>33.169599999999996</v>
      </c>
      <c r="C337" s="17">
        <f>31.2369 * CHOOSE(CONTROL!$C$15, $E$9, 100%, $G$9) + CHOOSE(CONTROL!$C$38, 0.0342, 0)</f>
        <v>31.271099999999997</v>
      </c>
      <c r="D337" s="17">
        <f>31.2291 * CHOOSE(CONTROL!$C$15, $E$9, 100%, $G$9) + CHOOSE(CONTROL!$C$38, 0.0342, 0)</f>
        <v>31.263299999999997</v>
      </c>
      <c r="E337" s="17">
        <f>31.2291 * CHOOSE(CONTROL!$C$15, $E$9, 100%, $G$9) + CHOOSE(CONTROL!$C$38, 0.0342, 0)</f>
        <v>31.263299999999997</v>
      </c>
      <c r="F337" s="45">
        <f>33.1356 * CHOOSE(CONTROL!$C$15, $E$9, 100%, $G$9) + CHOOSE(CONTROL!$C$38, 0.034, 0)</f>
        <v>33.169599999999996</v>
      </c>
      <c r="G337" s="17">
        <f>31.2353 * CHOOSE(CONTROL!$C$15, $E$9, 100%, $G$9) + CHOOSE(CONTROL!$C$38, 0.0342, 0)</f>
        <v>31.269499999999997</v>
      </c>
      <c r="H337" s="17">
        <f>31.2353 * CHOOSE(CONTROL!$C$15, $E$9, 100%, $G$9) + CHOOSE(CONTROL!$C$38, 0.0342, 0)</f>
        <v>31.269499999999997</v>
      </c>
      <c r="I337" s="17">
        <f>31.2369 * CHOOSE(CONTROL!$C$15, $E$9, 100%, $G$9) + CHOOSE(CONTROL!$C$38, 0.0342, 0)</f>
        <v>31.271099999999997</v>
      </c>
      <c r="J337" s="44">
        <f>195.9833</f>
        <v>195.98330000000001</v>
      </c>
    </row>
    <row r="338" spans="1:10" ht="15.75" x14ac:dyDescent="0.25">
      <c r="A338" s="14">
        <v>51226</v>
      </c>
      <c r="B338" s="17">
        <f>32.3386 * CHOOSE(CONTROL!$C$15, $E$9, 100%, $G$9) + CHOOSE(CONTROL!$C$38, 0.034, 0)</f>
        <v>32.372599999999998</v>
      </c>
      <c r="C338" s="17">
        <f>30.4399 * CHOOSE(CONTROL!$C$15, $E$9, 100%, $G$9) + CHOOSE(CONTROL!$C$38, 0.0342, 0)</f>
        <v>30.4741</v>
      </c>
      <c r="D338" s="17">
        <f>30.432 * CHOOSE(CONTROL!$C$15, $E$9, 100%, $G$9) + CHOOSE(CONTROL!$C$38, 0.0342, 0)</f>
        <v>30.466199999999997</v>
      </c>
      <c r="E338" s="17">
        <f>30.432 * CHOOSE(CONTROL!$C$15, $E$9, 100%, $G$9) + CHOOSE(CONTROL!$C$38, 0.0342, 0)</f>
        <v>30.466199999999997</v>
      </c>
      <c r="F338" s="45">
        <f>32.3386 * CHOOSE(CONTROL!$C$15, $E$9, 100%, $G$9) + CHOOSE(CONTROL!$C$38, 0.034, 0)</f>
        <v>32.372599999999998</v>
      </c>
      <c r="G338" s="17">
        <f>30.4383 * CHOOSE(CONTROL!$C$15, $E$9, 100%, $G$9) + CHOOSE(CONTROL!$C$38, 0.0342, 0)</f>
        <v>30.4725</v>
      </c>
      <c r="H338" s="17">
        <f>30.4383 * CHOOSE(CONTROL!$C$15, $E$9, 100%, $G$9) + CHOOSE(CONTROL!$C$38, 0.0342, 0)</f>
        <v>30.4725</v>
      </c>
      <c r="I338" s="17">
        <f>30.4399 * CHOOSE(CONTROL!$C$15, $E$9, 100%, $G$9) + CHOOSE(CONTROL!$C$38, 0.0342, 0)</f>
        <v>30.4741</v>
      </c>
      <c r="J338" s="44">
        <f>206.3128</f>
        <v>206.31280000000001</v>
      </c>
    </row>
    <row r="339" spans="1:10" ht="15.75" x14ac:dyDescent="0.25">
      <c r="A339" s="14">
        <v>51256</v>
      </c>
      <c r="B339" s="17">
        <f>31.5663 * CHOOSE(CONTROL!$C$15, $E$9, 100%, $G$9) + CHOOSE(CONTROL!$C$38, 0.034, 0)</f>
        <v>31.600299999999997</v>
      </c>
      <c r="C339" s="17">
        <f>29.6675 * CHOOSE(CONTROL!$C$15, $E$9, 100%, $G$9) + CHOOSE(CONTROL!$C$38, 0.0342, 0)</f>
        <v>29.701699999999999</v>
      </c>
      <c r="D339" s="17">
        <f>29.6597 * CHOOSE(CONTROL!$C$15, $E$9, 100%, $G$9) + CHOOSE(CONTROL!$C$38, 0.0342, 0)</f>
        <v>29.693899999999999</v>
      </c>
      <c r="E339" s="17">
        <f>29.6597 * CHOOSE(CONTROL!$C$15, $E$9, 100%, $G$9) + CHOOSE(CONTROL!$C$38, 0.0342, 0)</f>
        <v>29.693899999999999</v>
      </c>
      <c r="F339" s="45">
        <f>31.5663 * CHOOSE(CONTROL!$C$15, $E$9, 100%, $G$9) + CHOOSE(CONTROL!$C$38, 0.034, 0)</f>
        <v>31.600299999999997</v>
      </c>
      <c r="G339" s="17">
        <f>29.666 * CHOOSE(CONTROL!$C$15, $E$9, 100%, $G$9) + CHOOSE(CONTROL!$C$38, 0.0342, 0)</f>
        <v>29.700199999999999</v>
      </c>
      <c r="H339" s="17">
        <f>29.666 * CHOOSE(CONTROL!$C$15, $E$9, 100%, $G$9) + CHOOSE(CONTROL!$C$38, 0.0342, 0)</f>
        <v>29.700199999999999</v>
      </c>
      <c r="I339" s="17">
        <f>29.6675 * CHOOSE(CONTROL!$C$15, $E$9, 100%, $G$9) + CHOOSE(CONTROL!$C$38, 0.0342, 0)</f>
        <v>29.701699999999999</v>
      </c>
      <c r="J339" s="44">
        <f>219.7076</f>
        <v>219.70760000000001</v>
      </c>
    </row>
    <row r="340" spans="1:10" ht="15.75" x14ac:dyDescent="0.25">
      <c r="A340" s="14">
        <v>51287</v>
      </c>
      <c r="B340" s="17">
        <f>30.7613 * CHOOSE(CONTROL!$C$15, $E$9, 100%, $G$9) + CHOOSE(CONTROL!$C$38, 0.0353, 0)</f>
        <v>30.796599999999998</v>
      </c>
      <c r="C340" s="17">
        <f>28.8626 * CHOOSE(CONTROL!$C$15, $E$9, 100%, $G$9) + CHOOSE(CONTROL!$C$38, 0.0354, 0)</f>
        <v>28.898</v>
      </c>
      <c r="D340" s="17">
        <f>28.8548 * CHOOSE(CONTROL!$C$15, $E$9, 100%, $G$9) + CHOOSE(CONTROL!$C$38, 0.0354, 0)</f>
        <v>28.8902</v>
      </c>
      <c r="E340" s="17">
        <f>28.8548 * CHOOSE(CONTROL!$C$15, $E$9, 100%, $G$9) + CHOOSE(CONTROL!$C$38, 0.0354, 0)</f>
        <v>28.8902</v>
      </c>
      <c r="F340" s="45">
        <f>30.7613 * CHOOSE(CONTROL!$C$15, $E$9, 100%, $G$9) + CHOOSE(CONTROL!$C$38, 0.0353, 0)</f>
        <v>30.796599999999998</v>
      </c>
      <c r="G340" s="17">
        <f>28.861 * CHOOSE(CONTROL!$C$15, $E$9, 100%, $G$9) + CHOOSE(CONTROL!$C$38, 0.0354, 0)</f>
        <v>28.8964</v>
      </c>
      <c r="H340" s="17">
        <f>28.861 * CHOOSE(CONTROL!$C$15, $E$9, 100%, $G$9) + CHOOSE(CONTROL!$C$38, 0.0354, 0)</f>
        <v>28.8964</v>
      </c>
      <c r="I340" s="17">
        <f>28.8626 * CHOOSE(CONTROL!$C$15, $E$9, 100%, $G$9) + CHOOSE(CONTROL!$C$38, 0.0354, 0)</f>
        <v>28.898</v>
      </c>
      <c r="J340" s="44">
        <f>227.0805</f>
        <v>227.0805</v>
      </c>
    </row>
    <row r="341" spans="1:10" ht="15.75" x14ac:dyDescent="0.25">
      <c r="A341" s="14">
        <v>51317</v>
      </c>
      <c r="B341" s="17">
        <f>30.197 * CHOOSE(CONTROL!$C$15, $E$9, 100%, $G$9) + CHOOSE(CONTROL!$C$38, 0.0353, 0)</f>
        <v>30.232299999999999</v>
      </c>
      <c r="C341" s="17">
        <f>28.2982 * CHOOSE(CONTROL!$C$15, $E$9, 100%, $G$9) + CHOOSE(CONTROL!$C$38, 0.0354, 0)</f>
        <v>28.333600000000001</v>
      </c>
      <c r="D341" s="17">
        <f>28.2904 * CHOOSE(CONTROL!$C$15, $E$9, 100%, $G$9) + CHOOSE(CONTROL!$C$38, 0.0354, 0)</f>
        <v>28.325800000000001</v>
      </c>
      <c r="E341" s="17">
        <f>28.2904 * CHOOSE(CONTROL!$C$15, $E$9, 100%, $G$9) + CHOOSE(CONTROL!$C$38, 0.0354, 0)</f>
        <v>28.325800000000001</v>
      </c>
      <c r="F341" s="45">
        <f>30.197 * CHOOSE(CONTROL!$C$15, $E$9, 100%, $G$9) + CHOOSE(CONTROL!$C$38, 0.0353, 0)</f>
        <v>30.232299999999999</v>
      </c>
      <c r="G341" s="17">
        <f>28.2967 * CHOOSE(CONTROL!$C$15, $E$9, 100%, $G$9) + CHOOSE(CONTROL!$C$38, 0.0354, 0)</f>
        <v>28.332100000000001</v>
      </c>
      <c r="H341" s="17">
        <f>28.2967 * CHOOSE(CONTROL!$C$15, $E$9, 100%, $G$9) + CHOOSE(CONTROL!$C$38, 0.0354, 0)</f>
        <v>28.332100000000001</v>
      </c>
      <c r="I341" s="17">
        <f>28.2982 * CHOOSE(CONTROL!$C$15, $E$9, 100%, $G$9) + CHOOSE(CONTROL!$C$38, 0.0354, 0)</f>
        <v>28.333600000000001</v>
      </c>
      <c r="J341" s="44">
        <f>230.3525</f>
        <v>230.35249999999999</v>
      </c>
    </row>
    <row r="342" spans="1:10" ht="15.75" x14ac:dyDescent="0.25">
      <c r="A342" s="14">
        <v>51348</v>
      </c>
      <c r="B342" s="17">
        <f>29.8749 * CHOOSE(CONTROL!$C$15, $E$9, 100%, $G$9) + CHOOSE(CONTROL!$C$38, 0.0353, 0)</f>
        <v>29.9102</v>
      </c>
      <c r="C342" s="17">
        <f>27.9762 * CHOOSE(CONTROL!$C$15, $E$9, 100%, $G$9) + CHOOSE(CONTROL!$C$38, 0.0354, 0)</f>
        <v>28.011599999999998</v>
      </c>
      <c r="D342" s="17">
        <f>27.9684 * CHOOSE(CONTROL!$C$15, $E$9, 100%, $G$9) + CHOOSE(CONTROL!$C$38, 0.0354, 0)</f>
        <v>28.003799999999998</v>
      </c>
      <c r="E342" s="17">
        <f>27.9684 * CHOOSE(CONTROL!$C$15, $E$9, 100%, $G$9) + CHOOSE(CONTROL!$C$38, 0.0354, 0)</f>
        <v>28.003799999999998</v>
      </c>
      <c r="F342" s="45">
        <f>29.8749 * CHOOSE(CONTROL!$C$15, $E$9, 100%, $G$9) + CHOOSE(CONTROL!$C$38, 0.0353, 0)</f>
        <v>29.9102</v>
      </c>
      <c r="G342" s="17">
        <f>27.9746 * CHOOSE(CONTROL!$C$15, $E$9, 100%, $G$9) + CHOOSE(CONTROL!$C$38, 0.0354, 0)</f>
        <v>28.009999999999998</v>
      </c>
      <c r="H342" s="17">
        <f>27.9746 * CHOOSE(CONTROL!$C$15, $E$9, 100%, $G$9) + CHOOSE(CONTROL!$C$38, 0.0354, 0)</f>
        <v>28.009999999999998</v>
      </c>
      <c r="I342" s="17">
        <f>27.9762 * CHOOSE(CONTROL!$C$15, $E$9, 100%, $G$9) + CHOOSE(CONTROL!$C$38, 0.0354, 0)</f>
        <v>28.011599999999998</v>
      </c>
      <c r="J342" s="44">
        <f>229.2752</f>
        <v>229.27520000000001</v>
      </c>
    </row>
    <row r="343" spans="1:10" ht="15.75" x14ac:dyDescent="0.25">
      <c r="A343" s="14">
        <v>51379</v>
      </c>
      <c r="B343" s="17">
        <f>30.0339 * CHOOSE(CONTROL!$C$15, $E$9, 100%, $G$9) + CHOOSE(CONTROL!$C$38, 0.0353, 0)</f>
        <v>30.069199999999999</v>
      </c>
      <c r="C343" s="17">
        <f>28.1351 * CHOOSE(CONTROL!$C$15, $E$9, 100%, $G$9) + CHOOSE(CONTROL!$C$38, 0.0354, 0)</f>
        <v>28.170500000000001</v>
      </c>
      <c r="D343" s="17">
        <f>28.1273 * CHOOSE(CONTROL!$C$15, $E$9, 100%, $G$9) + CHOOSE(CONTROL!$C$38, 0.0354, 0)</f>
        <v>28.162700000000001</v>
      </c>
      <c r="E343" s="17">
        <f>28.1273 * CHOOSE(CONTROL!$C$15, $E$9, 100%, $G$9) + CHOOSE(CONTROL!$C$38, 0.0354, 0)</f>
        <v>28.162700000000001</v>
      </c>
      <c r="F343" s="45">
        <f>30.0339 * CHOOSE(CONTROL!$C$15, $E$9, 100%, $G$9) + CHOOSE(CONTROL!$C$38, 0.0353, 0)</f>
        <v>30.069199999999999</v>
      </c>
      <c r="G343" s="17">
        <f>28.1336 * CHOOSE(CONTROL!$C$15, $E$9, 100%, $G$9) + CHOOSE(CONTROL!$C$38, 0.0354, 0)</f>
        <v>28.169</v>
      </c>
      <c r="H343" s="17">
        <f>28.1336 * CHOOSE(CONTROL!$C$15, $E$9, 100%, $G$9) + CHOOSE(CONTROL!$C$38, 0.0354, 0)</f>
        <v>28.169</v>
      </c>
      <c r="I343" s="17">
        <f>28.1351 * CHOOSE(CONTROL!$C$15, $E$9, 100%, $G$9) + CHOOSE(CONTROL!$C$38, 0.0354, 0)</f>
        <v>28.170500000000001</v>
      </c>
      <c r="J343" s="44">
        <f>223.9378</f>
        <v>223.93780000000001</v>
      </c>
    </row>
    <row r="344" spans="1:10" ht="15.75" x14ac:dyDescent="0.25">
      <c r="A344" s="14">
        <v>51409</v>
      </c>
      <c r="B344" s="17">
        <f>30.4656 * CHOOSE(CONTROL!$C$15, $E$9, 100%, $G$9) + CHOOSE(CONTROL!$C$38, 0.0353, 0)</f>
        <v>30.500899999999998</v>
      </c>
      <c r="C344" s="17">
        <f>28.5668 * CHOOSE(CONTROL!$C$15, $E$9, 100%, $G$9) + CHOOSE(CONTROL!$C$38, 0.0354, 0)</f>
        <v>28.6022</v>
      </c>
      <c r="D344" s="17">
        <f>28.559 * CHOOSE(CONTROL!$C$15, $E$9, 100%, $G$9) + CHOOSE(CONTROL!$C$38, 0.0354, 0)</f>
        <v>28.5944</v>
      </c>
      <c r="E344" s="17">
        <f>28.559 * CHOOSE(CONTROL!$C$15, $E$9, 100%, $G$9) + CHOOSE(CONTROL!$C$38, 0.0354, 0)</f>
        <v>28.5944</v>
      </c>
      <c r="F344" s="45">
        <f>30.4656 * CHOOSE(CONTROL!$C$15, $E$9, 100%, $G$9) + CHOOSE(CONTROL!$C$38, 0.0353, 0)</f>
        <v>30.500899999999998</v>
      </c>
      <c r="G344" s="17">
        <f>28.5653 * CHOOSE(CONTROL!$C$15, $E$9, 100%, $G$9) + CHOOSE(CONTROL!$C$38, 0.0354, 0)</f>
        <v>28.6007</v>
      </c>
      <c r="H344" s="17">
        <f>28.5653 * CHOOSE(CONTROL!$C$15, $E$9, 100%, $G$9) + CHOOSE(CONTROL!$C$38, 0.0354, 0)</f>
        <v>28.6007</v>
      </c>
      <c r="I344" s="17">
        <f>28.5668 * CHOOSE(CONTROL!$C$15, $E$9, 100%, $G$9) + CHOOSE(CONTROL!$C$38, 0.0354, 0)</f>
        <v>28.6022</v>
      </c>
      <c r="J344" s="44">
        <f>216.4945</f>
        <v>216.49449999999999</v>
      </c>
    </row>
    <row r="345" spans="1:10" ht="15.75" x14ac:dyDescent="0.25">
      <c r="A345" s="14">
        <v>51440</v>
      </c>
      <c r="B345" s="17">
        <f>30.8272 * CHOOSE(CONTROL!$C$15, $E$9, 100%, $G$9) + CHOOSE(CONTROL!$C$38, 0.034, 0)</f>
        <v>30.8612</v>
      </c>
      <c r="C345" s="17">
        <f>28.9284 * CHOOSE(CONTROL!$C$15, $E$9, 100%, $G$9) + CHOOSE(CONTROL!$C$38, 0.0342, 0)</f>
        <v>28.962599999999998</v>
      </c>
      <c r="D345" s="17">
        <f>28.9206 * CHOOSE(CONTROL!$C$15, $E$9, 100%, $G$9) + CHOOSE(CONTROL!$C$38, 0.0342, 0)</f>
        <v>28.954799999999999</v>
      </c>
      <c r="E345" s="17">
        <f>28.9206 * CHOOSE(CONTROL!$C$15, $E$9, 100%, $G$9) + CHOOSE(CONTROL!$C$38, 0.0342, 0)</f>
        <v>28.954799999999999</v>
      </c>
      <c r="F345" s="45">
        <f>30.8272 * CHOOSE(CONTROL!$C$15, $E$9, 100%, $G$9) + CHOOSE(CONTROL!$C$38, 0.034, 0)</f>
        <v>30.8612</v>
      </c>
      <c r="G345" s="17">
        <f>28.9268 * CHOOSE(CONTROL!$C$15, $E$9, 100%, $G$9) + CHOOSE(CONTROL!$C$38, 0.0342, 0)</f>
        <v>28.960999999999999</v>
      </c>
      <c r="H345" s="17">
        <f>28.9268 * CHOOSE(CONTROL!$C$15, $E$9, 100%, $G$9) + CHOOSE(CONTROL!$C$38, 0.0342, 0)</f>
        <v>28.960999999999999</v>
      </c>
      <c r="I345" s="17">
        <f>28.9284 * CHOOSE(CONTROL!$C$15, $E$9, 100%, $G$9) + CHOOSE(CONTROL!$C$38, 0.0342, 0)</f>
        <v>28.962599999999998</v>
      </c>
      <c r="J345" s="44">
        <f>209.0079</f>
        <v>209.00790000000001</v>
      </c>
    </row>
    <row r="346" spans="1:10" ht="15.75" x14ac:dyDescent="0.25">
      <c r="A346" s="14">
        <v>51470</v>
      </c>
      <c r="B346" s="17">
        <f>31.1289 * CHOOSE(CONTROL!$C$15, $E$9, 100%, $G$9) + CHOOSE(CONTROL!$C$38, 0.034, 0)</f>
        <v>31.1629</v>
      </c>
      <c r="C346" s="17">
        <f>29.2301 * CHOOSE(CONTROL!$C$15, $E$9, 100%, $G$9) + CHOOSE(CONTROL!$C$38, 0.0342, 0)</f>
        <v>29.264299999999999</v>
      </c>
      <c r="D346" s="17">
        <f>29.2223 * CHOOSE(CONTROL!$C$15, $E$9, 100%, $G$9) + CHOOSE(CONTROL!$C$38, 0.0342, 0)</f>
        <v>29.256499999999999</v>
      </c>
      <c r="E346" s="17">
        <f>29.2223 * CHOOSE(CONTROL!$C$15, $E$9, 100%, $G$9) + CHOOSE(CONTROL!$C$38, 0.0342, 0)</f>
        <v>29.256499999999999</v>
      </c>
      <c r="F346" s="45">
        <f>31.1289 * CHOOSE(CONTROL!$C$15, $E$9, 100%, $G$9) + CHOOSE(CONTROL!$C$38, 0.034, 0)</f>
        <v>31.1629</v>
      </c>
      <c r="G346" s="17">
        <f>29.2285 * CHOOSE(CONTROL!$C$15, $E$9, 100%, $G$9) + CHOOSE(CONTROL!$C$38, 0.0342, 0)</f>
        <v>29.262699999999999</v>
      </c>
      <c r="H346" s="17">
        <f>29.2285 * CHOOSE(CONTROL!$C$15, $E$9, 100%, $G$9) + CHOOSE(CONTROL!$C$38, 0.0342, 0)</f>
        <v>29.262699999999999</v>
      </c>
      <c r="I346" s="17">
        <f>29.2301 * CHOOSE(CONTROL!$C$15, $E$9, 100%, $G$9) + CHOOSE(CONTROL!$C$38, 0.0342, 0)</f>
        <v>29.264299999999999</v>
      </c>
      <c r="J346" s="44">
        <f>207.5187</f>
        <v>207.5187</v>
      </c>
    </row>
    <row r="347" spans="1:10" ht="15.75" x14ac:dyDescent="0.25">
      <c r="A347" s="14">
        <v>51501</v>
      </c>
      <c r="B347" s="17">
        <f>32.0585 * CHOOSE(CONTROL!$C$15, $E$9, 100%, $G$9) + CHOOSE(CONTROL!$C$38, 0.034, 0)</f>
        <v>32.092500000000001</v>
      </c>
      <c r="C347" s="17">
        <f>30.1598 * CHOOSE(CONTROL!$C$15, $E$9, 100%, $G$9) + CHOOSE(CONTROL!$C$38, 0.0342, 0)</f>
        <v>30.193999999999999</v>
      </c>
      <c r="D347" s="17">
        <f>30.152 * CHOOSE(CONTROL!$C$15, $E$9, 100%, $G$9) + CHOOSE(CONTROL!$C$38, 0.0342, 0)</f>
        <v>30.186199999999999</v>
      </c>
      <c r="E347" s="17">
        <f>30.152 * CHOOSE(CONTROL!$C$15, $E$9, 100%, $G$9) + CHOOSE(CONTROL!$C$38, 0.0342, 0)</f>
        <v>30.186199999999999</v>
      </c>
      <c r="F347" s="45">
        <f>32.0585 * CHOOSE(CONTROL!$C$15, $E$9, 100%, $G$9) + CHOOSE(CONTROL!$C$38, 0.034, 0)</f>
        <v>32.092500000000001</v>
      </c>
      <c r="G347" s="17">
        <f>30.1582 * CHOOSE(CONTROL!$C$15, $E$9, 100%, $G$9) + CHOOSE(CONTROL!$C$38, 0.0342, 0)</f>
        <v>30.192399999999999</v>
      </c>
      <c r="H347" s="17">
        <f>30.1582 * CHOOSE(CONTROL!$C$15, $E$9, 100%, $G$9) + CHOOSE(CONTROL!$C$38, 0.0342, 0)</f>
        <v>30.192399999999999</v>
      </c>
      <c r="I347" s="17">
        <f>30.1598 * CHOOSE(CONTROL!$C$15, $E$9, 100%, $G$9) + CHOOSE(CONTROL!$C$38, 0.0342, 0)</f>
        <v>30.193999999999999</v>
      </c>
      <c r="J347" s="44">
        <f>201.3605</f>
        <v>201.3605</v>
      </c>
    </row>
    <row r="348" spans="1:10" ht="15.75" x14ac:dyDescent="0.25">
      <c r="A348" s="14">
        <v>51532</v>
      </c>
      <c r="B348" s="17">
        <f>33.3062 * CHOOSE(CONTROL!$C$15, $E$9, 100%, $G$9) + CHOOSE(CONTROL!$C$38, 0.034, 0)</f>
        <v>33.340199999999996</v>
      </c>
      <c r="C348" s="17">
        <f>31.3782 * CHOOSE(CONTROL!$C$15, $E$9, 100%, $G$9) + CHOOSE(CONTROL!$C$38, 0.0342, 0)</f>
        <v>31.412399999999998</v>
      </c>
      <c r="D348" s="17">
        <f>31.3704 * CHOOSE(CONTROL!$C$15, $E$9, 100%, $G$9) + CHOOSE(CONTROL!$C$38, 0.0342, 0)</f>
        <v>31.404599999999999</v>
      </c>
      <c r="E348" s="17">
        <f>31.3704 * CHOOSE(CONTROL!$C$15, $E$9, 100%, $G$9) + CHOOSE(CONTROL!$C$38, 0.0342, 0)</f>
        <v>31.404599999999999</v>
      </c>
      <c r="F348" s="45">
        <f>33.3062 * CHOOSE(CONTROL!$C$15, $E$9, 100%, $G$9) + CHOOSE(CONTROL!$C$38, 0.034, 0)</f>
        <v>33.340199999999996</v>
      </c>
      <c r="G348" s="17">
        <f>31.3766 * CHOOSE(CONTROL!$C$15, $E$9, 100%, $G$9) + CHOOSE(CONTROL!$C$38, 0.0342, 0)</f>
        <v>31.410799999999998</v>
      </c>
      <c r="H348" s="17">
        <f>31.3766 * CHOOSE(CONTROL!$C$15, $E$9, 100%, $G$9) + CHOOSE(CONTROL!$C$38, 0.0342, 0)</f>
        <v>31.410799999999998</v>
      </c>
      <c r="I348" s="17">
        <f>31.3782 * CHOOSE(CONTROL!$C$15, $E$9, 100%, $G$9) + CHOOSE(CONTROL!$C$38, 0.0342, 0)</f>
        <v>31.412399999999998</v>
      </c>
      <c r="J348" s="44">
        <f>201.2151</f>
        <v>201.21510000000001</v>
      </c>
    </row>
    <row r="349" spans="1:10" ht="15.75" x14ac:dyDescent="0.25">
      <c r="A349" s="14">
        <v>51560</v>
      </c>
      <c r="B349" s="17">
        <f>33.6505 * CHOOSE(CONTROL!$C$15, $E$9, 100%, $G$9) + CHOOSE(CONTROL!$C$38, 0.034, 0)</f>
        <v>33.6845</v>
      </c>
      <c r="C349" s="17">
        <f>31.7225 * CHOOSE(CONTROL!$C$15, $E$9, 100%, $G$9) + CHOOSE(CONTROL!$C$38, 0.0342, 0)</f>
        <v>31.756699999999999</v>
      </c>
      <c r="D349" s="17">
        <f>31.7147 * CHOOSE(CONTROL!$C$15, $E$9, 100%, $G$9) + CHOOSE(CONTROL!$C$38, 0.0342, 0)</f>
        <v>31.748899999999999</v>
      </c>
      <c r="E349" s="17">
        <f>31.7147 * CHOOSE(CONTROL!$C$15, $E$9, 100%, $G$9) + CHOOSE(CONTROL!$C$38, 0.0342, 0)</f>
        <v>31.748899999999999</v>
      </c>
      <c r="F349" s="45">
        <f>33.6505 * CHOOSE(CONTROL!$C$15, $E$9, 100%, $G$9) + CHOOSE(CONTROL!$C$38, 0.034, 0)</f>
        <v>33.6845</v>
      </c>
      <c r="G349" s="17">
        <f>31.7209 * CHOOSE(CONTROL!$C$15, $E$9, 100%, $G$9) + CHOOSE(CONTROL!$C$38, 0.0342, 0)</f>
        <v>31.755099999999999</v>
      </c>
      <c r="H349" s="17">
        <f>31.7209 * CHOOSE(CONTROL!$C$15, $E$9, 100%, $G$9) + CHOOSE(CONTROL!$C$38, 0.0342, 0)</f>
        <v>31.755099999999999</v>
      </c>
      <c r="I349" s="17">
        <f>31.7225 * CHOOSE(CONTROL!$C$15, $E$9, 100%, $G$9) + CHOOSE(CONTROL!$C$38, 0.0342, 0)</f>
        <v>31.756699999999999</v>
      </c>
      <c r="J349" s="44">
        <f>200.6558</f>
        <v>200.6558</v>
      </c>
    </row>
    <row r="350" spans="1:10" ht="15.75" x14ac:dyDescent="0.25">
      <c r="A350" s="14">
        <v>51591</v>
      </c>
      <c r="B350" s="17">
        <f>32.8535 * CHOOSE(CONTROL!$C$15, $E$9, 100%, $G$9) + CHOOSE(CONTROL!$C$38, 0.034, 0)</f>
        <v>32.887499999999996</v>
      </c>
      <c r="C350" s="17">
        <f>30.9255 * CHOOSE(CONTROL!$C$15, $E$9, 100%, $G$9) + CHOOSE(CONTROL!$C$38, 0.0342, 0)</f>
        <v>30.959699999999998</v>
      </c>
      <c r="D350" s="17">
        <f>30.9176 * CHOOSE(CONTROL!$C$15, $E$9, 100%, $G$9) + CHOOSE(CONTROL!$C$38, 0.0342, 0)</f>
        <v>30.951799999999999</v>
      </c>
      <c r="E350" s="17">
        <f>30.9176 * CHOOSE(CONTROL!$C$15, $E$9, 100%, $G$9) + CHOOSE(CONTROL!$C$38, 0.0342, 0)</f>
        <v>30.951799999999999</v>
      </c>
      <c r="F350" s="45">
        <f>32.8535 * CHOOSE(CONTROL!$C$15, $E$9, 100%, $G$9) + CHOOSE(CONTROL!$C$38, 0.034, 0)</f>
        <v>32.887499999999996</v>
      </c>
      <c r="G350" s="17">
        <f>30.9239 * CHOOSE(CONTROL!$C$15, $E$9, 100%, $G$9) + CHOOSE(CONTROL!$C$38, 0.0342, 0)</f>
        <v>30.958099999999998</v>
      </c>
      <c r="H350" s="17">
        <f>30.9239 * CHOOSE(CONTROL!$C$15, $E$9, 100%, $G$9) + CHOOSE(CONTROL!$C$38, 0.0342, 0)</f>
        <v>30.958099999999998</v>
      </c>
      <c r="I350" s="17">
        <f>30.9255 * CHOOSE(CONTROL!$C$15, $E$9, 100%, $G$9) + CHOOSE(CONTROL!$C$38, 0.0342, 0)</f>
        <v>30.959699999999998</v>
      </c>
      <c r="J350" s="44">
        <f>211.2316</f>
        <v>211.23159999999999</v>
      </c>
    </row>
    <row r="351" spans="1:10" ht="15.75" x14ac:dyDescent="0.25">
      <c r="A351" s="14">
        <v>51621</v>
      </c>
      <c r="B351" s="17">
        <f>32.0812 * CHOOSE(CONTROL!$C$15, $E$9, 100%, $G$9) + CHOOSE(CONTROL!$C$38, 0.034, 0)</f>
        <v>32.115200000000002</v>
      </c>
      <c r="C351" s="17">
        <f>30.1531 * CHOOSE(CONTROL!$C$15, $E$9, 100%, $G$9) + CHOOSE(CONTROL!$C$38, 0.0342, 0)</f>
        <v>30.187299999999997</v>
      </c>
      <c r="D351" s="17">
        <f>30.1453 * CHOOSE(CONTROL!$C$15, $E$9, 100%, $G$9) + CHOOSE(CONTROL!$C$38, 0.0342, 0)</f>
        <v>30.179499999999997</v>
      </c>
      <c r="E351" s="17">
        <f>30.1453 * CHOOSE(CONTROL!$C$15, $E$9, 100%, $G$9) + CHOOSE(CONTROL!$C$38, 0.0342, 0)</f>
        <v>30.179499999999997</v>
      </c>
      <c r="F351" s="45">
        <f>32.0812 * CHOOSE(CONTROL!$C$15, $E$9, 100%, $G$9) + CHOOSE(CONTROL!$C$38, 0.034, 0)</f>
        <v>32.115200000000002</v>
      </c>
      <c r="G351" s="17">
        <f>30.1516 * CHOOSE(CONTROL!$C$15, $E$9, 100%, $G$9) + CHOOSE(CONTROL!$C$38, 0.0342, 0)</f>
        <v>30.185799999999997</v>
      </c>
      <c r="H351" s="17">
        <f>30.1516 * CHOOSE(CONTROL!$C$15, $E$9, 100%, $G$9) + CHOOSE(CONTROL!$C$38, 0.0342, 0)</f>
        <v>30.185799999999997</v>
      </c>
      <c r="I351" s="17">
        <f>30.1531 * CHOOSE(CONTROL!$C$15, $E$9, 100%, $G$9) + CHOOSE(CONTROL!$C$38, 0.0342, 0)</f>
        <v>30.187299999999997</v>
      </c>
      <c r="J351" s="44">
        <f>224.9457</f>
        <v>224.94569999999999</v>
      </c>
    </row>
    <row r="352" spans="1:10" ht="15.75" x14ac:dyDescent="0.25">
      <c r="A352" s="14">
        <v>51652</v>
      </c>
      <c r="B352" s="17">
        <f>31.2762 * CHOOSE(CONTROL!$C$15, $E$9, 100%, $G$9) + CHOOSE(CONTROL!$C$38, 0.0353, 0)</f>
        <v>31.311499999999999</v>
      </c>
      <c r="C352" s="17">
        <f>29.3482 * CHOOSE(CONTROL!$C$15, $E$9, 100%, $G$9) + CHOOSE(CONTROL!$C$38, 0.0354, 0)</f>
        <v>29.383599999999998</v>
      </c>
      <c r="D352" s="17">
        <f>29.3404 * CHOOSE(CONTROL!$C$15, $E$9, 100%, $G$9) + CHOOSE(CONTROL!$C$38, 0.0354, 0)</f>
        <v>29.375799999999998</v>
      </c>
      <c r="E352" s="17">
        <f>29.3404 * CHOOSE(CONTROL!$C$15, $E$9, 100%, $G$9) + CHOOSE(CONTROL!$C$38, 0.0354, 0)</f>
        <v>29.375799999999998</v>
      </c>
      <c r="F352" s="45">
        <f>31.2762 * CHOOSE(CONTROL!$C$15, $E$9, 100%, $G$9) + CHOOSE(CONTROL!$C$38, 0.0353, 0)</f>
        <v>31.311499999999999</v>
      </c>
      <c r="G352" s="17">
        <f>29.3466 * CHOOSE(CONTROL!$C$15, $E$9, 100%, $G$9) + CHOOSE(CONTROL!$C$38, 0.0354, 0)</f>
        <v>29.381999999999998</v>
      </c>
      <c r="H352" s="17">
        <f>29.3466 * CHOOSE(CONTROL!$C$15, $E$9, 100%, $G$9) + CHOOSE(CONTROL!$C$38, 0.0354, 0)</f>
        <v>29.381999999999998</v>
      </c>
      <c r="I352" s="17">
        <f>29.3482 * CHOOSE(CONTROL!$C$15, $E$9, 100%, $G$9) + CHOOSE(CONTROL!$C$38, 0.0354, 0)</f>
        <v>29.383599999999998</v>
      </c>
      <c r="J352" s="44">
        <f>232.4945</f>
        <v>232.49449999999999</v>
      </c>
    </row>
    <row r="353" spans="1:10" ht="15.75" x14ac:dyDescent="0.25">
      <c r="A353" s="14">
        <v>51682</v>
      </c>
      <c r="B353" s="17">
        <f>30.7119 * CHOOSE(CONTROL!$C$15, $E$9, 100%, $G$9) + CHOOSE(CONTROL!$C$38, 0.0353, 0)</f>
        <v>30.747199999999999</v>
      </c>
      <c r="C353" s="17">
        <f>28.7838 * CHOOSE(CONTROL!$C$15, $E$9, 100%, $G$9) + CHOOSE(CONTROL!$C$38, 0.0354, 0)</f>
        <v>28.819199999999999</v>
      </c>
      <c r="D353" s="17">
        <f>28.776 * CHOOSE(CONTROL!$C$15, $E$9, 100%, $G$9) + CHOOSE(CONTROL!$C$38, 0.0354, 0)</f>
        <v>28.811399999999999</v>
      </c>
      <c r="E353" s="17">
        <f>28.776 * CHOOSE(CONTROL!$C$15, $E$9, 100%, $G$9) + CHOOSE(CONTROL!$C$38, 0.0354, 0)</f>
        <v>28.811399999999999</v>
      </c>
      <c r="F353" s="45">
        <f>30.7119 * CHOOSE(CONTROL!$C$15, $E$9, 100%, $G$9) + CHOOSE(CONTROL!$C$38, 0.0353, 0)</f>
        <v>30.747199999999999</v>
      </c>
      <c r="G353" s="17">
        <f>28.7823 * CHOOSE(CONTROL!$C$15, $E$9, 100%, $G$9) + CHOOSE(CONTROL!$C$38, 0.0354, 0)</f>
        <v>28.817699999999999</v>
      </c>
      <c r="H353" s="17">
        <f>28.7823 * CHOOSE(CONTROL!$C$15, $E$9, 100%, $G$9) + CHOOSE(CONTROL!$C$38, 0.0354, 0)</f>
        <v>28.817699999999999</v>
      </c>
      <c r="I353" s="17">
        <f>28.7838 * CHOOSE(CONTROL!$C$15, $E$9, 100%, $G$9) + CHOOSE(CONTROL!$C$38, 0.0354, 0)</f>
        <v>28.819199999999999</v>
      </c>
      <c r="J353" s="44">
        <f>235.8445</f>
        <v>235.84450000000001</v>
      </c>
    </row>
    <row r="354" spans="1:10" ht="15.75" x14ac:dyDescent="0.25">
      <c r="A354" s="14">
        <v>51713</v>
      </c>
      <c r="B354" s="17">
        <f>30.3898 * CHOOSE(CONTROL!$C$15, $E$9, 100%, $G$9) + CHOOSE(CONTROL!$C$38, 0.0353, 0)</f>
        <v>30.4251</v>
      </c>
      <c r="C354" s="17">
        <f>28.4618 * CHOOSE(CONTROL!$C$15, $E$9, 100%, $G$9) + CHOOSE(CONTROL!$C$38, 0.0354, 0)</f>
        <v>28.497199999999999</v>
      </c>
      <c r="D354" s="17">
        <f>28.454 * CHOOSE(CONTROL!$C$15, $E$9, 100%, $G$9) + CHOOSE(CONTROL!$C$38, 0.0354, 0)</f>
        <v>28.4894</v>
      </c>
      <c r="E354" s="17">
        <f>28.454 * CHOOSE(CONTROL!$C$15, $E$9, 100%, $G$9) + CHOOSE(CONTROL!$C$38, 0.0354, 0)</f>
        <v>28.4894</v>
      </c>
      <c r="F354" s="45">
        <f>30.3898 * CHOOSE(CONTROL!$C$15, $E$9, 100%, $G$9) + CHOOSE(CONTROL!$C$38, 0.0353, 0)</f>
        <v>30.4251</v>
      </c>
      <c r="G354" s="17">
        <f>28.4602 * CHOOSE(CONTROL!$C$15, $E$9, 100%, $G$9) + CHOOSE(CONTROL!$C$38, 0.0354, 0)</f>
        <v>28.4956</v>
      </c>
      <c r="H354" s="17">
        <f>28.4602 * CHOOSE(CONTROL!$C$15, $E$9, 100%, $G$9) + CHOOSE(CONTROL!$C$38, 0.0354, 0)</f>
        <v>28.4956</v>
      </c>
      <c r="I354" s="17">
        <f>28.4618 * CHOOSE(CONTROL!$C$15, $E$9, 100%, $G$9) + CHOOSE(CONTROL!$C$38, 0.0354, 0)</f>
        <v>28.497199999999999</v>
      </c>
      <c r="J354" s="44">
        <f>234.7415</f>
        <v>234.7415</v>
      </c>
    </row>
    <row r="355" spans="1:10" ht="15.75" x14ac:dyDescent="0.25">
      <c r="A355" s="14">
        <v>51744</v>
      </c>
      <c r="B355" s="17">
        <f>30.5488 * CHOOSE(CONTROL!$C$15, $E$9, 100%, $G$9) + CHOOSE(CONTROL!$C$38, 0.0353, 0)</f>
        <v>30.584099999999999</v>
      </c>
      <c r="C355" s="17">
        <f>28.6207 * CHOOSE(CONTROL!$C$15, $E$9, 100%, $G$9) + CHOOSE(CONTROL!$C$38, 0.0354, 0)</f>
        <v>28.656099999999999</v>
      </c>
      <c r="D355" s="17">
        <f>28.6129 * CHOOSE(CONTROL!$C$15, $E$9, 100%, $G$9) + CHOOSE(CONTROL!$C$38, 0.0354, 0)</f>
        <v>28.648299999999999</v>
      </c>
      <c r="E355" s="17">
        <f>28.6129 * CHOOSE(CONTROL!$C$15, $E$9, 100%, $G$9) + CHOOSE(CONTROL!$C$38, 0.0354, 0)</f>
        <v>28.648299999999999</v>
      </c>
      <c r="F355" s="45">
        <f>30.5488 * CHOOSE(CONTROL!$C$15, $E$9, 100%, $G$9) + CHOOSE(CONTROL!$C$38, 0.0353, 0)</f>
        <v>30.584099999999999</v>
      </c>
      <c r="G355" s="17">
        <f>28.6192 * CHOOSE(CONTROL!$C$15, $E$9, 100%, $G$9) + CHOOSE(CONTROL!$C$38, 0.0354, 0)</f>
        <v>28.654599999999999</v>
      </c>
      <c r="H355" s="17">
        <f>28.6192 * CHOOSE(CONTROL!$C$15, $E$9, 100%, $G$9) + CHOOSE(CONTROL!$C$38, 0.0354, 0)</f>
        <v>28.654599999999999</v>
      </c>
      <c r="I355" s="17">
        <f>28.6207 * CHOOSE(CONTROL!$C$15, $E$9, 100%, $G$9) + CHOOSE(CONTROL!$C$38, 0.0354, 0)</f>
        <v>28.656099999999999</v>
      </c>
      <c r="J355" s="44">
        <f>229.2768</f>
        <v>229.27680000000001</v>
      </c>
    </row>
    <row r="356" spans="1:10" ht="15.75" x14ac:dyDescent="0.25">
      <c r="A356" s="14">
        <v>51774</v>
      </c>
      <c r="B356" s="17">
        <f>30.9805 * CHOOSE(CONTROL!$C$15, $E$9, 100%, $G$9) + CHOOSE(CONTROL!$C$38, 0.0353, 0)</f>
        <v>31.015799999999999</v>
      </c>
      <c r="C356" s="17">
        <f>29.0524 * CHOOSE(CONTROL!$C$15, $E$9, 100%, $G$9) + CHOOSE(CONTROL!$C$38, 0.0354, 0)</f>
        <v>29.087799999999998</v>
      </c>
      <c r="D356" s="17">
        <f>29.0446 * CHOOSE(CONTROL!$C$15, $E$9, 100%, $G$9) + CHOOSE(CONTROL!$C$38, 0.0354, 0)</f>
        <v>29.08</v>
      </c>
      <c r="E356" s="17">
        <f>29.0446 * CHOOSE(CONTROL!$C$15, $E$9, 100%, $G$9) + CHOOSE(CONTROL!$C$38, 0.0354, 0)</f>
        <v>29.08</v>
      </c>
      <c r="F356" s="45">
        <f>30.9805 * CHOOSE(CONTROL!$C$15, $E$9, 100%, $G$9) + CHOOSE(CONTROL!$C$38, 0.0353, 0)</f>
        <v>31.015799999999999</v>
      </c>
      <c r="G356" s="17">
        <f>29.0509 * CHOOSE(CONTROL!$C$15, $E$9, 100%, $G$9) + CHOOSE(CONTROL!$C$38, 0.0354, 0)</f>
        <v>29.086299999999998</v>
      </c>
      <c r="H356" s="17">
        <f>29.0509 * CHOOSE(CONTROL!$C$15, $E$9, 100%, $G$9) + CHOOSE(CONTROL!$C$38, 0.0354, 0)</f>
        <v>29.086299999999998</v>
      </c>
      <c r="I356" s="17">
        <f>29.0524 * CHOOSE(CONTROL!$C$15, $E$9, 100%, $G$9) + CHOOSE(CONTROL!$C$38, 0.0354, 0)</f>
        <v>29.087799999999998</v>
      </c>
      <c r="J356" s="44">
        <f>221.656</f>
        <v>221.65600000000001</v>
      </c>
    </row>
    <row r="357" spans="1:10" ht="15.75" x14ac:dyDescent="0.25">
      <c r="A357" s="14">
        <v>51805</v>
      </c>
      <c r="B357" s="17">
        <f>31.342 * CHOOSE(CONTROL!$C$15, $E$9, 100%, $G$9) + CHOOSE(CONTROL!$C$38, 0.034, 0)</f>
        <v>31.375999999999998</v>
      </c>
      <c r="C357" s="17">
        <f>29.414 * CHOOSE(CONTROL!$C$15, $E$9, 100%, $G$9) + CHOOSE(CONTROL!$C$38, 0.0342, 0)</f>
        <v>29.4482</v>
      </c>
      <c r="D357" s="17">
        <f>29.4062 * CHOOSE(CONTROL!$C$15, $E$9, 100%, $G$9) + CHOOSE(CONTROL!$C$38, 0.0342, 0)</f>
        <v>29.440399999999997</v>
      </c>
      <c r="E357" s="17">
        <f>29.4062 * CHOOSE(CONTROL!$C$15, $E$9, 100%, $G$9) + CHOOSE(CONTROL!$C$38, 0.0342, 0)</f>
        <v>29.440399999999997</v>
      </c>
      <c r="F357" s="45">
        <f>31.342 * CHOOSE(CONTROL!$C$15, $E$9, 100%, $G$9) + CHOOSE(CONTROL!$C$38, 0.034, 0)</f>
        <v>31.375999999999998</v>
      </c>
      <c r="G357" s="17">
        <f>29.4124 * CHOOSE(CONTROL!$C$15, $E$9, 100%, $G$9) + CHOOSE(CONTROL!$C$38, 0.0342, 0)</f>
        <v>29.4466</v>
      </c>
      <c r="H357" s="17">
        <f>29.4124 * CHOOSE(CONTROL!$C$15, $E$9, 100%, $G$9) + CHOOSE(CONTROL!$C$38, 0.0342, 0)</f>
        <v>29.4466</v>
      </c>
      <c r="I357" s="17">
        <f>29.414 * CHOOSE(CONTROL!$C$15, $E$9, 100%, $G$9) + CHOOSE(CONTROL!$C$38, 0.0342, 0)</f>
        <v>29.4482</v>
      </c>
      <c r="J357" s="44">
        <f>213.991</f>
        <v>213.99100000000001</v>
      </c>
    </row>
    <row r="358" spans="1:10" ht="15.75" x14ac:dyDescent="0.25">
      <c r="A358" s="14">
        <v>51835</v>
      </c>
      <c r="B358" s="17">
        <f>31.6437 * CHOOSE(CONTROL!$C$15, $E$9, 100%, $G$9) + CHOOSE(CONTROL!$C$38, 0.034, 0)</f>
        <v>31.677699999999998</v>
      </c>
      <c r="C358" s="17">
        <f>29.7157 * CHOOSE(CONTROL!$C$15, $E$9, 100%, $G$9) + CHOOSE(CONTROL!$C$38, 0.0342, 0)</f>
        <v>29.749899999999997</v>
      </c>
      <c r="D358" s="17">
        <f>29.7079 * CHOOSE(CONTROL!$C$15, $E$9, 100%, $G$9) + CHOOSE(CONTROL!$C$38, 0.0342, 0)</f>
        <v>29.742099999999997</v>
      </c>
      <c r="E358" s="17">
        <f>29.7079 * CHOOSE(CONTROL!$C$15, $E$9, 100%, $G$9) + CHOOSE(CONTROL!$C$38, 0.0342, 0)</f>
        <v>29.742099999999997</v>
      </c>
      <c r="F358" s="45">
        <f>31.6437 * CHOOSE(CONTROL!$C$15, $E$9, 100%, $G$9) + CHOOSE(CONTROL!$C$38, 0.034, 0)</f>
        <v>31.677699999999998</v>
      </c>
      <c r="G358" s="17">
        <f>29.7141 * CHOOSE(CONTROL!$C$15, $E$9, 100%, $G$9) + CHOOSE(CONTROL!$C$38, 0.0342, 0)</f>
        <v>29.748299999999997</v>
      </c>
      <c r="H358" s="17">
        <f>29.7141 * CHOOSE(CONTROL!$C$15, $E$9, 100%, $G$9) + CHOOSE(CONTROL!$C$38, 0.0342, 0)</f>
        <v>29.748299999999997</v>
      </c>
      <c r="I358" s="17">
        <f>29.7157 * CHOOSE(CONTROL!$C$15, $E$9, 100%, $G$9) + CHOOSE(CONTROL!$C$38, 0.0342, 0)</f>
        <v>29.749899999999997</v>
      </c>
      <c r="J358" s="44">
        <f>212.4662</f>
        <v>212.46619999999999</v>
      </c>
    </row>
    <row r="359" spans="1:10" ht="15.75" x14ac:dyDescent="0.25">
      <c r="A359" s="14">
        <v>51866</v>
      </c>
      <c r="B359" s="17">
        <f>32.5734 * CHOOSE(CONTROL!$C$15, $E$9, 100%, $G$9) + CHOOSE(CONTROL!$C$38, 0.034, 0)</f>
        <v>32.607399999999998</v>
      </c>
      <c r="C359" s="17">
        <f>30.6454 * CHOOSE(CONTROL!$C$15, $E$9, 100%, $G$9) + CHOOSE(CONTROL!$C$38, 0.0342, 0)</f>
        <v>30.679599999999997</v>
      </c>
      <c r="D359" s="17">
        <f>30.6376 * CHOOSE(CONTROL!$C$15, $E$9, 100%, $G$9) + CHOOSE(CONTROL!$C$38, 0.0342, 0)</f>
        <v>30.671799999999998</v>
      </c>
      <c r="E359" s="17">
        <f>30.6376 * CHOOSE(CONTROL!$C$15, $E$9, 100%, $G$9) + CHOOSE(CONTROL!$C$38, 0.0342, 0)</f>
        <v>30.671799999999998</v>
      </c>
      <c r="F359" s="45">
        <f>32.5734 * CHOOSE(CONTROL!$C$15, $E$9, 100%, $G$9) + CHOOSE(CONTROL!$C$38, 0.034, 0)</f>
        <v>32.607399999999998</v>
      </c>
      <c r="G359" s="17">
        <f>30.6438 * CHOOSE(CONTROL!$C$15, $E$9, 100%, $G$9) + CHOOSE(CONTROL!$C$38, 0.0342, 0)</f>
        <v>30.677999999999997</v>
      </c>
      <c r="H359" s="17">
        <f>30.6438 * CHOOSE(CONTROL!$C$15, $E$9, 100%, $G$9) + CHOOSE(CONTROL!$C$38, 0.0342, 0)</f>
        <v>30.677999999999997</v>
      </c>
      <c r="I359" s="17">
        <f>30.6454 * CHOOSE(CONTROL!$C$15, $E$9, 100%, $G$9) + CHOOSE(CONTROL!$C$38, 0.0342, 0)</f>
        <v>30.679599999999997</v>
      </c>
      <c r="J359" s="44">
        <f>206.1613</f>
        <v>206.16130000000001</v>
      </c>
    </row>
    <row r="360" spans="1:10" ht="15.75" x14ac:dyDescent="0.25">
      <c r="A360" s="14">
        <v>51897</v>
      </c>
      <c r="B360" s="17">
        <f>33.8297 * CHOOSE(CONTROL!$C$15, $E$9, 100%, $G$9) + CHOOSE(CONTROL!$C$38, 0.034, 0)</f>
        <v>33.863700000000001</v>
      </c>
      <c r="C360" s="17">
        <f>31.8719 * CHOOSE(CONTROL!$C$15, $E$9, 100%, $G$9) + CHOOSE(CONTROL!$C$38, 0.0342, 0)</f>
        <v>31.906099999999999</v>
      </c>
      <c r="D360" s="17">
        <f>31.8641 * CHOOSE(CONTROL!$C$15, $E$9, 100%, $G$9) + CHOOSE(CONTROL!$C$38, 0.0342, 0)</f>
        <v>31.898299999999999</v>
      </c>
      <c r="E360" s="17">
        <f>31.8641 * CHOOSE(CONTROL!$C$15, $E$9, 100%, $G$9) + CHOOSE(CONTROL!$C$38, 0.0342, 0)</f>
        <v>31.898299999999999</v>
      </c>
      <c r="F360" s="45">
        <f>33.8297 * CHOOSE(CONTROL!$C$15, $E$9, 100%, $G$9) + CHOOSE(CONTROL!$C$38, 0.034, 0)</f>
        <v>33.863700000000001</v>
      </c>
      <c r="G360" s="17">
        <f>31.8704 * CHOOSE(CONTROL!$C$15, $E$9, 100%, $G$9) + CHOOSE(CONTROL!$C$38, 0.0342, 0)</f>
        <v>31.904599999999999</v>
      </c>
      <c r="H360" s="17">
        <f>31.8704 * CHOOSE(CONTROL!$C$15, $E$9, 100%, $G$9) + CHOOSE(CONTROL!$C$38, 0.0342, 0)</f>
        <v>31.904599999999999</v>
      </c>
      <c r="I360" s="17">
        <f>31.8719 * CHOOSE(CONTROL!$C$15, $E$9, 100%, $G$9) + CHOOSE(CONTROL!$C$38, 0.0342, 0)</f>
        <v>31.906099999999999</v>
      </c>
      <c r="J360" s="44">
        <f>206.0124</f>
        <v>206.01240000000001</v>
      </c>
    </row>
    <row r="361" spans="1:10" ht="15.75" x14ac:dyDescent="0.25">
      <c r="A361" s="14">
        <v>51925</v>
      </c>
      <c r="B361" s="17">
        <f>34.174 * CHOOSE(CONTROL!$C$15, $E$9, 100%, $G$9) + CHOOSE(CONTROL!$C$38, 0.034, 0)</f>
        <v>34.207999999999998</v>
      </c>
      <c r="C361" s="17">
        <f>32.2162 * CHOOSE(CONTROL!$C$15, $E$9, 100%, $G$9) + CHOOSE(CONTROL!$C$38, 0.0342, 0)</f>
        <v>32.250399999999999</v>
      </c>
      <c r="D361" s="17">
        <f>32.2084 * CHOOSE(CONTROL!$C$15, $E$9, 100%, $G$9) + CHOOSE(CONTROL!$C$38, 0.0342, 0)</f>
        <v>32.242599999999996</v>
      </c>
      <c r="E361" s="17">
        <f>32.2084 * CHOOSE(CONTROL!$C$15, $E$9, 100%, $G$9) + CHOOSE(CONTROL!$C$38, 0.0342, 0)</f>
        <v>32.242599999999996</v>
      </c>
      <c r="F361" s="45">
        <f>34.174 * CHOOSE(CONTROL!$C$15, $E$9, 100%, $G$9) + CHOOSE(CONTROL!$C$38, 0.034, 0)</f>
        <v>34.207999999999998</v>
      </c>
      <c r="G361" s="17">
        <f>32.2147 * CHOOSE(CONTROL!$C$15, $E$9, 100%, $G$9) + CHOOSE(CONTROL!$C$38, 0.0342, 0)</f>
        <v>32.248899999999999</v>
      </c>
      <c r="H361" s="17">
        <f>32.2147 * CHOOSE(CONTROL!$C$15, $E$9, 100%, $G$9) + CHOOSE(CONTROL!$C$38, 0.0342, 0)</f>
        <v>32.248899999999999</v>
      </c>
      <c r="I361" s="17">
        <f>32.2162 * CHOOSE(CONTROL!$C$15, $E$9, 100%, $G$9) + CHOOSE(CONTROL!$C$38, 0.0342, 0)</f>
        <v>32.250399999999999</v>
      </c>
      <c r="J361" s="44">
        <f>205.4398</f>
        <v>205.43979999999999</v>
      </c>
    </row>
    <row r="362" spans="1:10" ht="15.75" x14ac:dyDescent="0.25">
      <c r="A362" s="14">
        <v>51956</v>
      </c>
      <c r="B362" s="17">
        <f>33.377 * CHOOSE(CONTROL!$C$15, $E$9, 100%, $G$9) + CHOOSE(CONTROL!$C$38, 0.034, 0)</f>
        <v>33.411000000000001</v>
      </c>
      <c r="C362" s="17">
        <f>31.4192 * CHOOSE(CONTROL!$C$15, $E$9, 100%, $G$9) + CHOOSE(CONTROL!$C$38, 0.0342, 0)</f>
        <v>31.453399999999998</v>
      </c>
      <c r="D362" s="17">
        <f>31.4114 * CHOOSE(CONTROL!$C$15, $E$9, 100%, $G$9) + CHOOSE(CONTROL!$C$38, 0.0342, 0)</f>
        <v>31.445599999999999</v>
      </c>
      <c r="E362" s="17">
        <f>31.4114 * CHOOSE(CONTROL!$C$15, $E$9, 100%, $G$9) + CHOOSE(CONTROL!$C$38, 0.0342, 0)</f>
        <v>31.445599999999999</v>
      </c>
      <c r="F362" s="45">
        <f>33.377 * CHOOSE(CONTROL!$C$15, $E$9, 100%, $G$9) + CHOOSE(CONTROL!$C$38, 0.034, 0)</f>
        <v>33.411000000000001</v>
      </c>
      <c r="G362" s="17">
        <f>31.4176 * CHOOSE(CONTROL!$C$15, $E$9, 100%, $G$9) + CHOOSE(CONTROL!$C$38, 0.0342, 0)</f>
        <v>31.451799999999999</v>
      </c>
      <c r="H362" s="17">
        <f>31.4176 * CHOOSE(CONTROL!$C$15, $E$9, 100%, $G$9) + CHOOSE(CONTROL!$C$38, 0.0342, 0)</f>
        <v>31.451799999999999</v>
      </c>
      <c r="I362" s="17">
        <f>31.4192 * CHOOSE(CONTROL!$C$15, $E$9, 100%, $G$9) + CHOOSE(CONTROL!$C$38, 0.0342, 0)</f>
        <v>31.453399999999998</v>
      </c>
      <c r="J362" s="44">
        <f>216.2676</f>
        <v>216.26759999999999</v>
      </c>
    </row>
    <row r="363" spans="1:10" ht="15.75" x14ac:dyDescent="0.25">
      <c r="A363" s="14">
        <v>51986</v>
      </c>
      <c r="B363" s="17">
        <f>32.6047 * CHOOSE(CONTROL!$C$15, $E$9, 100%, $G$9) + CHOOSE(CONTROL!$C$38, 0.034, 0)</f>
        <v>32.6387</v>
      </c>
      <c r="C363" s="17">
        <f>30.6469 * CHOOSE(CONTROL!$C$15, $E$9, 100%, $G$9) + CHOOSE(CONTROL!$C$38, 0.0342, 0)</f>
        <v>30.681099999999997</v>
      </c>
      <c r="D363" s="17">
        <f>30.6391 * CHOOSE(CONTROL!$C$15, $E$9, 100%, $G$9) + CHOOSE(CONTROL!$C$38, 0.0342, 0)</f>
        <v>30.673299999999998</v>
      </c>
      <c r="E363" s="17">
        <f>30.6391 * CHOOSE(CONTROL!$C$15, $E$9, 100%, $G$9) + CHOOSE(CONTROL!$C$38, 0.0342, 0)</f>
        <v>30.673299999999998</v>
      </c>
      <c r="F363" s="45">
        <f>32.6047 * CHOOSE(CONTROL!$C$15, $E$9, 100%, $G$9) + CHOOSE(CONTROL!$C$38, 0.034, 0)</f>
        <v>32.6387</v>
      </c>
      <c r="G363" s="17">
        <f>30.6453 * CHOOSE(CONTROL!$C$15, $E$9, 100%, $G$9) + CHOOSE(CONTROL!$C$38, 0.0342, 0)</f>
        <v>30.679499999999997</v>
      </c>
      <c r="H363" s="17">
        <f>30.6453 * CHOOSE(CONTROL!$C$15, $E$9, 100%, $G$9) + CHOOSE(CONTROL!$C$38, 0.0342, 0)</f>
        <v>30.679499999999997</v>
      </c>
      <c r="I363" s="17">
        <f>30.6469 * CHOOSE(CONTROL!$C$15, $E$9, 100%, $G$9) + CHOOSE(CONTROL!$C$38, 0.0342, 0)</f>
        <v>30.681099999999997</v>
      </c>
      <c r="J363" s="44">
        <f>230.3088</f>
        <v>230.30879999999999</v>
      </c>
    </row>
    <row r="364" spans="1:10" ht="15.75" x14ac:dyDescent="0.25">
      <c r="A364" s="14">
        <v>52017</v>
      </c>
      <c r="B364" s="17">
        <f>31.7997 * CHOOSE(CONTROL!$C$15, $E$9, 100%, $G$9) + CHOOSE(CONTROL!$C$38, 0.0353, 0)</f>
        <v>31.835000000000001</v>
      </c>
      <c r="C364" s="17">
        <f>29.8419 * CHOOSE(CONTROL!$C$15, $E$9, 100%, $G$9) + CHOOSE(CONTROL!$C$38, 0.0354, 0)</f>
        <v>29.877299999999998</v>
      </c>
      <c r="D364" s="17">
        <f>29.8341 * CHOOSE(CONTROL!$C$15, $E$9, 100%, $G$9) + CHOOSE(CONTROL!$C$38, 0.0354, 0)</f>
        <v>29.869499999999999</v>
      </c>
      <c r="E364" s="17">
        <f>29.8341 * CHOOSE(CONTROL!$C$15, $E$9, 100%, $G$9) + CHOOSE(CONTROL!$C$38, 0.0354, 0)</f>
        <v>29.869499999999999</v>
      </c>
      <c r="F364" s="45">
        <f>31.7997 * CHOOSE(CONTROL!$C$15, $E$9, 100%, $G$9) + CHOOSE(CONTROL!$C$38, 0.0353, 0)</f>
        <v>31.835000000000001</v>
      </c>
      <c r="G364" s="17">
        <f>29.8404 * CHOOSE(CONTROL!$C$15, $E$9, 100%, $G$9) + CHOOSE(CONTROL!$C$38, 0.0354, 0)</f>
        <v>29.875799999999998</v>
      </c>
      <c r="H364" s="17">
        <f>29.8404 * CHOOSE(CONTROL!$C$15, $E$9, 100%, $G$9) + CHOOSE(CONTROL!$C$38, 0.0354, 0)</f>
        <v>29.875799999999998</v>
      </c>
      <c r="I364" s="17">
        <f>29.8419 * CHOOSE(CONTROL!$C$15, $E$9, 100%, $G$9) + CHOOSE(CONTROL!$C$38, 0.0354, 0)</f>
        <v>29.877299999999998</v>
      </c>
      <c r="J364" s="44">
        <f>238.0375</f>
        <v>238.03749999999999</v>
      </c>
    </row>
    <row r="365" spans="1:10" ht="15.75" x14ac:dyDescent="0.25">
      <c r="A365" s="14">
        <v>52047</v>
      </c>
      <c r="B365" s="17">
        <f>31.2354 * CHOOSE(CONTROL!$C$15, $E$9, 100%, $G$9) + CHOOSE(CONTROL!$C$38, 0.0353, 0)</f>
        <v>31.270699999999998</v>
      </c>
      <c r="C365" s="17">
        <f>29.2776 * CHOOSE(CONTROL!$C$15, $E$9, 100%, $G$9) + CHOOSE(CONTROL!$C$38, 0.0354, 0)</f>
        <v>29.312999999999999</v>
      </c>
      <c r="D365" s="17">
        <f>29.2698 * CHOOSE(CONTROL!$C$15, $E$9, 100%, $G$9) + CHOOSE(CONTROL!$C$38, 0.0354, 0)</f>
        <v>29.305199999999999</v>
      </c>
      <c r="E365" s="17">
        <f>29.2698 * CHOOSE(CONTROL!$C$15, $E$9, 100%, $G$9) + CHOOSE(CONTROL!$C$38, 0.0354, 0)</f>
        <v>29.305199999999999</v>
      </c>
      <c r="F365" s="45">
        <f>31.2354 * CHOOSE(CONTROL!$C$15, $E$9, 100%, $G$9) + CHOOSE(CONTROL!$C$38, 0.0353, 0)</f>
        <v>31.270699999999998</v>
      </c>
      <c r="G365" s="17">
        <f>29.276 * CHOOSE(CONTROL!$C$15, $E$9, 100%, $G$9) + CHOOSE(CONTROL!$C$38, 0.0354, 0)</f>
        <v>29.311399999999999</v>
      </c>
      <c r="H365" s="17">
        <f>29.276 * CHOOSE(CONTROL!$C$15, $E$9, 100%, $G$9) + CHOOSE(CONTROL!$C$38, 0.0354, 0)</f>
        <v>29.311399999999999</v>
      </c>
      <c r="I365" s="17">
        <f>29.2776 * CHOOSE(CONTROL!$C$15, $E$9, 100%, $G$9) + CHOOSE(CONTROL!$C$38, 0.0354, 0)</f>
        <v>29.312999999999999</v>
      </c>
      <c r="J365" s="44">
        <f>241.4674</f>
        <v>241.4674</v>
      </c>
    </row>
    <row r="366" spans="1:10" ht="15.75" x14ac:dyDescent="0.25">
      <c r="A366" s="14">
        <v>52078</v>
      </c>
      <c r="B366" s="17">
        <f>30.9133 * CHOOSE(CONTROL!$C$15, $E$9, 100%, $G$9) + CHOOSE(CONTROL!$C$38, 0.0353, 0)</f>
        <v>30.948599999999999</v>
      </c>
      <c r="C366" s="17">
        <f>28.9555 * CHOOSE(CONTROL!$C$15, $E$9, 100%, $G$9) + CHOOSE(CONTROL!$C$38, 0.0354, 0)</f>
        <v>28.9909</v>
      </c>
      <c r="D366" s="17">
        <f>28.9477 * CHOOSE(CONTROL!$C$15, $E$9, 100%, $G$9) + CHOOSE(CONTROL!$C$38, 0.0354, 0)</f>
        <v>28.9831</v>
      </c>
      <c r="E366" s="17">
        <f>28.9477 * CHOOSE(CONTROL!$C$15, $E$9, 100%, $G$9) + CHOOSE(CONTROL!$C$38, 0.0354, 0)</f>
        <v>28.9831</v>
      </c>
      <c r="F366" s="45">
        <f>30.9133 * CHOOSE(CONTROL!$C$15, $E$9, 100%, $G$9) + CHOOSE(CONTROL!$C$38, 0.0353, 0)</f>
        <v>30.948599999999999</v>
      </c>
      <c r="G366" s="17">
        <f>28.954 * CHOOSE(CONTROL!$C$15, $E$9, 100%, $G$9) + CHOOSE(CONTROL!$C$38, 0.0354, 0)</f>
        <v>28.9894</v>
      </c>
      <c r="H366" s="17">
        <f>28.954 * CHOOSE(CONTROL!$C$15, $E$9, 100%, $G$9) + CHOOSE(CONTROL!$C$38, 0.0354, 0)</f>
        <v>28.9894</v>
      </c>
      <c r="I366" s="17">
        <f>28.9555 * CHOOSE(CONTROL!$C$15, $E$9, 100%, $G$9) + CHOOSE(CONTROL!$C$38, 0.0354, 0)</f>
        <v>28.9909</v>
      </c>
      <c r="J366" s="44">
        <f>240.3381</f>
        <v>240.3381</v>
      </c>
    </row>
    <row r="367" spans="1:10" ht="15.75" x14ac:dyDescent="0.25">
      <c r="A367" s="14">
        <v>52109</v>
      </c>
      <c r="B367" s="17">
        <f>31.0723 * CHOOSE(CONTROL!$C$15, $E$9, 100%, $G$9) + CHOOSE(CONTROL!$C$38, 0.0353, 0)</f>
        <v>31.107599999999998</v>
      </c>
      <c r="C367" s="17">
        <f>29.1145 * CHOOSE(CONTROL!$C$15, $E$9, 100%, $G$9) + CHOOSE(CONTROL!$C$38, 0.0354, 0)</f>
        <v>29.149899999999999</v>
      </c>
      <c r="D367" s="17">
        <f>29.1067 * CHOOSE(CONTROL!$C$15, $E$9, 100%, $G$9) + CHOOSE(CONTROL!$C$38, 0.0354, 0)</f>
        <v>29.142099999999999</v>
      </c>
      <c r="E367" s="17">
        <f>29.1067 * CHOOSE(CONTROL!$C$15, $E$9, 100%, $G$9) + CHOOSE(CONTROL!$C$38, 0.0354, 0)</f>
        <v>29.142099999999999</v>
      </c>
      <c r="F367" s="45">
        <f>31.0723 * CHOOSE(CONTROL!$C$15, $E$9, 100%, $G$9) + CHOOSE(CONTROL!$C$38, 0.0353, 0)</f>
        <v>31.107599999999998</v>
      </c>
      <c r="G367" s="17">
        <f>29.1129 * CHOOSE(CONTROL!$C$15, $E$9, 100%, $G$9) + CHOOSE(CONTROL!$C$38, 0.0354, 0)</f>
        <v>29.148299999999999</v>
      </c>
      <c r="H367" s="17">
        <f>29.1129 * CHOOSE(CONTROL!$C$15, $E$9, 100%, $G$9) + CHOOSE(CONTROL!$C$38, 0.0354, 0)</f>
        <v>29.148299999999999</v>
      </c>
      <c r="I367" s="17">
        <f>29.1145 * CHOOSE(CONTROL!$C$15, $E$9, 100%, $G$9) + CHOOSE(CONTROL!$C$38, 0.0354, 0)</f>
        <v>29.149899999999999</v>
      </c>
      <c r="J367" s="44">
        <f>234.7431</f>
        <v>234.7431</v>
      </c>
    </row>
    <row r="368" spans="1:10" ht="15.75" x14ac:dyDescent="0.25">
      <c r="A368" s="14">
        <v>52139</v>
      </c>
      <c r="B368" s="17">
        <f>31.504 * CHOOSE(CONTROL!$C$15, $E$9, 100%, $G$9) + CHOOSE(CONTROL!$C$38, 0.0353, 0)</f>
        <v>31.539300000000001</v>
      </c>
      <c r="C368" s="17">
        <f>29.5462 * CHOOSE(CONTROL!$C$15, $E$9, 100%, $G$9) + CHOOSE(CONTROL!$C$38, 0.0354, 0)</f>
        <v>29.581599999999998</v>
      </c>
      <c r="D368" s="17">
        <f>29.5384 * CHOOSE(CONTROL!$C$15, $E$9, 100%, $G$9) + CHOOSE(CONTROL!$C$38, 0.0354, 0)</f>
        <v>29.573799999999999</v>
      </c>
      <c r="E368" s="17">
        <f>29.5384 * CHOOSE(CONTROL!$C$15, $E$9, 100%, $G$9) + CHOOSE(CONTROL!$C$38, 0.0354, 0)</f>
        <v>29.573799999999999</v>
      </c>
      <c r="F368" s="45">
        <f>31.504 * CHOOSE(CONTROL!$C$15, $E$9, 100%, $G$9) + CHOOSE(CONTROL!$C$38, 0.0353, 0)</f>
        <v>31.539300000000001</v>
      </c>
      <c r="G368" s="17">
        <f>29.5446 * CHOOSE(CONTROL!$C$15, $E$9, 100%, $G$9) + CHOOSE(CONTROL!$C$38, 0.0354, 0)</f>
        <v>29.58</v>
      </c>
      <c r="H368" s="17">
        <f>29.5446 * CHOOSE(CONTROL!$C$15, $E$9, 100%, $G$9) + CHOOSE(CONTROL!$C$38, 0.0354, 0)</f>
        <v>29.58</v>
      </c>
      <c r="I368" s="17">
        <f>29.5462 * CHOOSE(CONTROL!$C$15, $E$9, 100%, $G$9) + CHOOSE(CONTROL!$C$38, 0.0354, 0)</f>
        <v>29.581599999999998</v>
      </c>
      <c r="J368" s="44">
        <f>226.9407</f>
        <v>226.94069999999999</v>
      </c>
    </row>
    <row r="369" spans="1:10" ht="15.75" x14ac:dyDescent="0.25">
      <c r="A369" s="14">
        <v>52170</v>
      </c>
      <c r="B369" s="17">
        <f>31.8656 * CHOOSE(CONTROL!$C$15, $E$9, 100%, $G$9) + CHOOSE(CONTROL!$C$38, 0.034, 0)</f>
        <v>31.8996</v>
      </c>
      <c r="C369" s="17">
        <f>29.9078 * CHOOSE(CONTROL!$C$15, $E$9, 100%, $G$9) + CHOOSE(CONTROL!$C$38, 0.0342, 0)</f>
        <v>29.942</v>
      </c>
      <c r="D369" s="17">
        <f>29.9 * CHOOSE(CONTROL!$C$15, $E$9, 100%, $G$9) + CHOOSE(CONTROL!$C$38, 0.0342, 0)</f>
        <v>29.934199999999997</v>
      </c>
      <c r="E369" s="17">
        <f>29.9 * CHOOSE(CONTROL!$C$15, $E$9, 100%, $G$9) + CHOOSE(CONTROL!$C$38, 0.0342, 0)</f>
        <v>29.934199999999997</v>
      </c>
      <c r="F369" s="45">
        <f>31.8656 * CHOOSE(CONTROL!$C$15, $E$9, 100%, $G$9) + CHOOSE(CONTROL!$C$38, 0.034, 0)</f>
        <v>31.8996</v>
      </c>
      <c r="G369" s="17">
        <f>29.9062 * CHOOSE(CONTROL!$C$15, $E$9, 100%, $G$9) + CHOOSE(CONTROL!$C$38, 0.0342, 0)</f>
        <v>29.940399999999997</v>
      </c>
      <c r="H369" s="17">
        <f>29.9062 * CHOOSE(CONTROL!$C$15, $E$9, 100%, $G$9) + CHOOSE(CONTROL!$C$38, 0.0342, 0)</f>
        <v>29.940399999999997</v>
      </c>
      <c r="I369" s="17">
        <f>29.9078 * CHOOSE(CONTROL!$C$15, $E$9, 100%, $G$9) + CHOOSE(CONTROL!$C$38, 0.0342, 0)</f>
        <v>29.942</v>
      </c>
      <c r="J369" s="44">
        <f>219.0928</f>
        <v>219.09280000000001</v>
      </c>
    </row>
    <row r="370" spans="1:10" ht="15.75" x14ac:dyDescent="0.25">
      <c r="A370" s="14">
        <v>52200</v>
      </c>
      <c r="B370" s="17">
        <f>32.1673 * CHOOSE(CONTROL!$C$15, $E$9, 100%, $G$9) + CHOOSE(CONTROL!$C$38, 0.034, 0)</f>
        <v>32.201299999999996</v>
      </c>
      <c r="C370" s="17">
        <f>30.2095 * CHOOSE(CONTROL!$C$15, $E$9, 100%, $G$9) + CHOOSE(CONTROL!$C$38, 0.0342, 0)</f>
        <v>30.243699999999997</v>
      </c>
      <c r="D370" s="17">
        <f>30.2017 * CHOOSE(CONTROL!$C$15, $E$9, 100%, $G$9) + CHOOSE(CONTROL!$C$38, 0.0342, 0)</f>
        <v>30.235899999999997</v>
      </c>
      <c r="E370" s="17">
        <f>30.2017 * CHOOSE(CONTROL!$C$15, $E$9, 100%, $G$9) + CHOOSE(CONTROL!$C$38, 0.0342, 0)</f>
        <v>30.235899999999997</v>
      </c>
      <c r="F370" s="45">
        <f>32.1673 * CHOOSE(CONTROL!$C$15, $E$9, 100%, $G$9) + CHOOSE(CONTROL!$C$38, 0.034, 0)</f>
        <v>32.201299999999996</v>
      </c>
      <c r="G370" s="17">
        <f>30.2079 * CHOOSE(CONTROL!$C$15, $E$9, 100%, $G$9) + CHOOSE(CONTROL!$C$38, 0.0342, 0)</f>
        <v>30.242099999999997</v>
      </c>
      <c r="H370" s="17">
        <f>30.2079 * CHOOSE(CONTROL!$C$15, $E$9, 100%, $G$9) + CHOOSE(CONTROL!$C$38, 0.0342, 0)</f>
        <v>30.242099999999997</v>
      </c>
      <c r="I370" s="17">
        <f>30.2095 * CHOOSE(CONTROL!$C$15, $E$9, 100%, $G$9) + CHOOSE(CONTROL!$C$38, 0.0342, 0)</f>
        <v>30.243699999999997</v>
      </c>
      <c r="J370" s="44">
        <f>217.5317</f>
        <v>217.5317</v>
      </c>
    </row>
    <row r="371" spans="1:10" ht="15.75" x14ac:dyDescent="0.25">
      <c r="A371" s="14">
        <v>52231</v>
      </c>
      <c r="B371" s="17">
        <f>33.0969 * CHOOSE(CONTROL!$C$15, $E$9, 100%, $G$9) + CHOOSE(CONTROL!$C$38, 0.034, 0)</f>
        <v>33.130899999999997</v>
      </c>
      <c r="C371" s="17">
        <f>31.1391 * CHOOSE(CONTROL!$C$15, $E$9, 100%, $G$9) + CHOOSE(CONTROL!$C$38, 0.0342, 0)</f>
        <v>31.173299999999998</v>
      </c>
      <c r="D371" s="17">
        <f>31.1313 * CHOOSE(CONTROL!$C$15, $E$9, 100%, $G$9) + CHOOSE(CONTROL!$C$38, 0.0342, 0)</f>
        <v>31.165499999999998</v>
      </c>
      <c r="E371" s="17">
        <f>31.1313 * CHOOSE(CONTROL!$C$15, $E$9, 100%, $G$9) + CHOOSE(CONTROL!$C$38, 0.0342, 0)</f>
        <v>31.165499999999998</v>
      </c>
      <c r="F371" s="45">
        <f>33.0969 * CHOOSE(CONTROL!$C$15, $E$9, 100%, $G$9) + CHOOSE(CONTROL!$C$38, 0.034, 0)</f>
        <v>33.130899999999997</v>
      </c>
      <c r="G371" s="17">
        <f>31.1376 * CHOOSE(CONTROL!$C$15, $E$9, 100%, $G$9) + CHOOSE(CONTROL!$C$38, 0.0342, 0)</f>
        <v>31.171799999999998</v>
      </c>
      <c r="H371" s="17">
        <f>31.1376 * CHOOSE(CONTROL!$C$15, $E$9, 100%, $G$9) + CHOOSE(CONTROL!$C$38, 0.0342, 0)</f>
        <v>31.171799999999998</v>
      </c>
      <c r="I371" s="17">
        <f>31.1391 * CHOOSE(CONTROL!$C$15, $E$9, 100%, $G$9) + CHOOSE(CONTROL!$C$38, 0.0342, 0)</f>
        <v>31.173299999999998</v>
      </c>
      <c r="J371" s="44">
        <f>211.0765</f>
        <v>211.07650000000001</v>
      </c>
    </row>
    <row r="372" spans="1:10" ht="15.75" x14ac:dyDescent="0.25">
      <c r="A372" s="14">
        <v>52262</v>
      </c>
      <c r="B372" s="17">
        <f>34.362 * CHOOSE(CONTROL!$C$15, $E$9, 100%, $G$9) + CHOOSE(CONTROL!$C$38, 0.034, 0)</f>
        <v>34.396000000000001</v>
      </c>
      <c r="C372" s="17">
        <f>32.374 * CHOOSE(CONTROL!$C$15, $E$9, 100%, $G$9) + CHOOSE(CONTROL!$C$38, 0.0342, 0)</f>
        <v>32.408200000000001</v>
      </c>
      <c r="D372" s="17">
        <f>32.3662 * CHOOSE(CONTROL!$C$15, $E$9, 100%, $G$9) + CHOOSE(CONTROL!$C$38, 0.0342, 0)</f>
        <v>32.400399999999998</v>
      </c>
      <c r="E372" s="17">
        <f>32.3662 * CHOOSE(CONTROL!$C$15, $E$9, 100%, $G$9) + CHOOSE(CONTROL!$C$38, 0.0342, 0)</f>
        <v>32.400399999999998</v>
      </c>
      <c r="F372" s="45">
        <f>34.362 * CHOOSE(CONTROL!$C$15, $E$9, 100%, $G$9) + CHOOSE(CONTROL!$C$38, 0.034, 0)</f>
        <v>34.396000000000001</v>
      </c>
      <c r="G372" s="17">
        <f>32.3724 * CHOOSE(CONTROL!$C$15, $E$9, 100%, $G$9) + CHOOSE(CONTROL!$C$38, 0.0342, 0)</f>
        <v>32.406599999999997</v>
      </c>
      <c r="H372" s="17">
        <f>32.3724 * CHOOSE(CONTROL!$C$15, $E$9, 100%, $G$9) + CHOOSE(CONTROL!$C$38, 0.0342, 0)</f>
        <v>32.406599999999997</v>
      </c>
      <c r="I372" s="17">
        <f>32.374 * CHOOSE(CONTROL!$C$15, $E$9, 100%, $G$9) + CHOOSE(CONTROL!$C$38, 0.0342, 0)</f>
        <v>32.408200000000001</v>
      </c>
      <c r="J372" s="44">
        <f>210.9241</f>
        <v>210.92410000000001</v>
      </c>
    </row>
    <row r="373" spans="1:10" ht="15.75" x14ac:dyDescent="0.25">
      <c r="A373" s="14">
        <v>52290</v>
      </c>
      <c r="B373" s="17">
        <f>34.7064 * CHOOSE(CONTROL!$C$15, $E$9, 100%, $G$9) + CHOOSE(CONTROL!$C$38, 0.034, 0)</f>
        <v>34.740400000000001</v>
      </c>
      <c r="C373" s="17">
        <f>32.7183 * CHOOSE(CONTROL!$C$15, $E$9, 100%, $G$9) + CHOOSE(CONTROL!$C$38, 0.0342, 0)</f>
        <v>32.752499999999998</v>
      </c>
      <c r="D373" s="17">
        <f>32.7105 * CHOOSE(CONTROL!$C$15, $E$9, 100%, $G$9) + CHOOSE(CONTROL!$C$38, 0.0342, 0)</f>
        <v>32.744700000000002</v>
      </c>
      <c r="E373" s="17">
        <f>32.7105 * CHOOSE(CONTROL!$C$15, $E$9, 100%, $G$9) + CHOOSE(CONTROL!$C$38, 0.0342, 0)</f>
        <v>32.744700000000002</v>
      </c>
      <c r="F373" s="45">
        <f>34.7064 * CHOOSE(CONTROL!$C$15, $E$9, 100%, $G$9) + CHOOSE(CONTROL!$C$38, 0.034, 0)</f>
        <v>34.740400000000001</v>
      </c>
      <c r="G373" s="17">
        <f>32.7167 * CHOOSE(CONTROL!$C$15, $E$9, 100%, $G$9) + CHOOSE(CONTROL!$C$38, 0.0342, 0)</f>
        <v>32.750900000000001</v>
      </c>
      <c r="H373" s="17">
        <f>32.7167 * CHOOSE(CONTROL!$C$15, $E$9, 100%, $G$9) + CHOOSE(CONTROL!$C$38, 0.0342, 0)</f>
        <v>32.750900000000001</v>
      </c>
      <c r="I373" s="17">
        <f>32.7183 * CHOOSE(CONTROL!$C$15, $E$9, 100%, $G$9) + CHOOSE(CONTROL!$C$38, 0.0342, 0)</f>
        <v>32.752499999999998</v>
      </c>
      <c r="J373" s="44">
        <f>210.3378</f>
        <v>210.33779999999999</v>
      </c>
    </row>
    <row r="374" spans="1:10" ht="15.75" x14ac:dyDescent="0.25">
      <c r="A374" s="14">
        <v>52321</v>
      </c>
      <c r="B374" s="17">
        <f>33.9093 * CHOOSE(CONTROL!$C$15, $E$9, 100%, $G$9) + CHOOSE(CONTROL!$C$38, 0.034, 0)</f>
        <v>33.943300000000001</v>
      </c>
      <c r="C374" s="17">
        <f>31.9213 * CHOOSE(CONTROL!$C$15, $E$9, 100%, $G$9) + CHOOSE(CONTROL!$C$38, 0.0342, 0)</f>
        <v>31.955499999999997</v>
      </c>
      <c r="D374" s="17">
        <f>31.9135 * CHOOSE(CONTROL!$C$15, $E$9, 100%, $G$9) + CHOOSE(CONTROL!$C$38, 0.0342, 0)</f>
        <v>31.947699999999998</v>
      </c>
      <c r="E374" s="17">
        <f>31.9135 * CHOOSE(CONTROL!$C$15, $E$9, 100%, $G$9) + CHOOSE(CONTROL!$C$38, 0.0342, 0)</f>
        <v>31.947699999999998</v>
      </c>
      <c r="F374" s="45">
        <f>33.9093 * CHOOSE(CONTROL!$C$15, $E$9, 100%, $G$9) + CHOOSE(CONTROL!$C$38, 0.034, 0)</f>
        <v>33.943300000000001</v>
      </c>
      <c r="G374" s="17">
        <f>31.9197 * CHOOSE(CONTROL!$C$15, $E$9, 100%, $G$9) + CHOOSE(CONTROL!$C$38, 0.0342, 0)</f>
        <v>31.953899999999997</v>
      </c>
      <c r="H374" s="17">
        <f>31.9197 * CHOOSE(CONTROL!$C$15, $E$9, 100%, $G$9) + CHOOSE(CONTROL!$C$38, 0.0342, 0)</f>
        <v>31.953899999999997</v>
      </c>
      <c r="I374" s="17">
        <f>31.9213 * CHOOSE(CONTROL!$C$15, $E$9, 100%, $G$9) + CHOOSE(CONTROL!$C$38, 0.0342, 0)</f>
        <v>31.955499999999997</v>
      </c>
      <c r="J374" s="44">
        <f>221.4238</f>
        <v>221.4238</v>
      </c>
    </row>
    <row r="375" spans="1:10" ht="15.75" x14ac:dyDescent="0.25">
      <c r="A375" s="14">
        <v>52351</v>
      </c>
      <c r="B375" s="17">
        <f>33.137 * CHOOSE(CONTROL!$C$15, $E$9, 100%, $G$9) + CHOOSE(CONTROL!$C$38, 0.034, 0)</f>
        <v>33.170999999999999</v>
      </c>
      <c r="C375" s="17">
        <f>31.149 * CHOOSE(CONTROL!$C$15, $E$9, 100%, $G$9) + CHOOSE(CONTROL!$C$38, 0.0342, 0)</f>
        <v>31.183199999999999</v>
      </c>
      <c r="D375" s="17">
        <f>31.1411 * CHOOSE(CONTROL!$C$15, $E$9, 100%, $G$9) + CHOOSE(CONTROL!$C$38, 0.0342, 0)</f>
        <v>31.1753</v>
      </c>
      <c r="E375" s="17">
        <f>31.1411 * CHOOSE(CONTROL!$C$15, $E$9, 100%, $G$9) + CHOOSE(CONTROL!$C$38, 0.0342, 0)</f>
        <v>31.1753</v>
      </c>
      <c r="F375" s="45">
        <f>33.137 * CHOOSE(CONTROL!$C$15, $E$9, 100%, $G$9) + CHOOSE(CONTROL!$C$38, 0.034, 0)</f>
        <v>33.170999999999999</v>
      </c>
      <c r="G375" s="17">
        <f>31.1474 * CHOOSE(CONTROL!$C$15, $E$9, 100%, $G$9) + CHOOSE(CONTROL!$C$38, 0.0342, 0)</f>
        <v>31.1816</v>
      </c>
      <c r="H375" s="17">
        <f>31.1474 * CHOOSE(CONTROL!$C$15, $E$9, 100%, $G$9) + CHOOSE(CONTROL!$C$38, 0.0342, 0)</f>
        <v>31.1816</v>
      </c>
      <c r="I375" s="17">
        <f>31.149 * CHOOSE(CONTROL!$C$15, $E$9, 100%, $G$9) + CHOOSE(CONTROL!$C$38, 0.0342, 0)</f>
        <v>31.183199999999999</v>
      </c>
      <c r="J375" s="44">
        <f>235.7997</f>
        <v>235.7997</v>
      </c>
    </row>
    <row r="376" spans="1:10" ht="15.75" x14ac:dyDescent="0.25">
      <c r="A376" s="14">
        <v>52382</v>
      </c>
      <c r="B376" s="17">
        <f>32.3321 * CHOOSE(CONTROL!$C$15, $E$9, 100%, $G$9) + CHOOSE(CONTROL!$C$38, 0.0353, 0)</f>
        <v>32.367399999999996</v>
      </c>
      <c r="C376" s="17">
        <f>30.344 * CHOOSE(CONTROL!$C$15, $E$9, 100%, $G$9) + CHOOSE(CONTROL!$C$38, 0.0354, 0)</f>
        <v>30.3794</v>
      </c>
      <c r="D376" s="17">
        <f>30.3362 * CHOOSE(CONTROL!$C$15, $E$9, 100%, $G$9) + CHOOSE(CONTROL!$C$38, 0.0354, 0)</f>
        <v>30.371600000000001</v>
      </c>
      <c r="E376" s="17">
        <f>30.3362 * CHOOSE(CONTROL!$C$15, $E$9, 100%, $G$9) + CHOOSE(CONTROL!$C$38, 0.0354, 0)</f>
        <v>30.371600000000001</v>
      </c>
      <c r="F376" s="45">
        <f>32.3321 * CHOOSE(CONTROL!$C$15, $E$9, 100%, $G$9) + CHOOSE(CONTROL!$C$38, 0.0353, 0)</f>
        <v>32.367399999999996</v>
      </c>
      <c r="G376" s="17">
        <f>30.3424 * CHOOSE(CONTROL!$C$15, $E$9, 100%, $G$9) + CHOOSE(CONTROL!$C$38, 0.0354, 0)</f>
        <v>30.377800000000001</v>
      </c>
      <c r="H376" s="17">
        <f>30.3424 * CHOOSE(CONTROL!$C$15, $E$9, 100%, $G$9) + CHOOSE(CONTROL!$C$38, 0.0354, 0)</f>
        <v>30.377800000000001</v>
      </c>
      <c r="I376" s="17">
        <f>30.344 * CHOOSE(CONTROL!$C$15, $E$9, 100%, $G$9) + CHOOSE(CONTROL!$C$38, 0.0354, 0)</f>
        <v>30.3794</v>
      </c>
      <c r="J376" s="44">
        <f>243.7127</f>
        <v>243.71270000000001</v>
      </c>
    </row>
    <row r="377" spans="1:10" ht="15.75" x14ac:dyDescent="0.25">
      <c r="A377" s="14">
        <v>52412</v>
      </c>
      <c r="B377" s="17">
        <f>31.7677 * CHOOSE(CONTROL!$C$15, $E$9, 100%, $G$9) + CHOOSE(CONTROL!$C$38, 0.0353, 0)</f>
        <v>31.803000000000001</v>
      </c>
      <c r="C377" s="17">
        <f>29.7797 * CHOOSE(CONTROL!$C$15, $E$9, 100%, $G$9) + CHOOSE(CONTROL!$C$38, 0.0354, 0)</f>
        <v>29.815099999999997</v>
      </c>
      <c r="D377" s="17">
        <f>29.7718 * CHOOSE(CONTROL!$C$15, $E$9, 100%, $G$9) + CHOOSE(CONTROL!$C$38, 0.0354, 0)</f>
        <v>29.807199999999998</v>
      </c>
      <c r="E377" s="17">
        <f>29.7718 * CHOOSE(CONTROL!$C$15, $E$9, 100%, $G$9) + CHOOSE(CONTROL!$C$38, 0.0354, 0)</f>
        <v>29.807199999999998</v>
      </c>
      <c r="F377" s="45">
        <f>31.7677 * CHOOSE(CONTROL!$C$15, $E$9, 100%, $G$9) + CHOOSE(CONTROL!$C$38, 0.0353, 0)</f>
        <v>31.803000000000001</v>
      </c>
      <c r="G377" s="17">
        <f>29.7781 * CHOOSE(CONTROL!$C$15, $E$9, 100%, $G$9) + CHOOSE(CONTROL!$C$38, 0.0354, 0)</f>
        <v>29.813499999999998</v>
      </c>
      <c r="H377" s="17">
        <f>29.7781 * CHOOSE(CONTROL!$C$15, $E$9, 100%, $G$9) + CHOOSE(CONTROL!$C$38, 0.0354, 0)</f>
        <v>29.813499999999998</v>
      </c>
      <c r="I377" s="17">
        <f>29.7797 * CHOOSE(CONTROL!$C$15, $E$9, 100%, $G$9) + CHOOSE(CONTROL!$C$38, 0.0354, 0)</f>
        <v>29.815099999999997</v>
      </c>
      <c r="J377" s="44">
        <f>247.2243</f>
        <v>247.2243</v>
      </c>
    </row>
    <row r="378" spans="1:10" ht="15.75" x14ac:dyDescent="0.25">
      <c r="A378" s="14">
        <v>52443</v>
      </c>
      <c r="B378" s="17">
        <f>31.4457 * CHOOSE(CONTROL!$C$15, $E$9, 100%, $G$9) + CHOOSE(CONTROL!$C$38, 0.0353, 0)</f>
        <v>31.480999999999998</v>
      </c>
      <c r="C378" s="17">
        <f>29.4576 * CHOOSE(CONTROL!$C$15, $E$9, 100%, $G$9) + CHOOSE(CONTROL!$C$38, 0.0354, 0)</f>
        <v>29.492999999999999</v>
      </c>
      <c r="D378" s="17">
        <f>29.4498 * CHOOSE(CONTROL!$C$15, $E$9, 100%, $G$9) + CHOOSE(CONTROL!$C$38, 0.0354, 0)</f>
        <v>29.485199999999999</v>
      </c>
      <c r="E378" s="17">
        <f>29.4498 * CHOOSE(CONTROL!$C$15, $E$9, 100%, $G$9) + CHOOSE(CONTROL!$C$38, 0.0354, 0)</f>
        <v>29.485199999999999</v>
      </c>
      <c r="F378" s="45">
        <f>31.4457 * CHOOSE(CONTROL!$C$15, $E$9, 100%, $G$9) + CHOOSE(CONTROL!$C$38, 0.0353, 0)</f>
        <v>31.480999999999998</v>
      </c>
      <c r="G378" s="17">
        <f>29.456 * CHOOSE(CONTROL!$C$15, $E$9, 100%, $G$9) + CHOOSE(CONTROL!$C$38, 0.0354, 0)</f>
        <v>29.491399999999999</v>
      </c>
      <c r="H378" s="17">
        <f>29.456 * CHOOSE(CONTROL!$C$15, $E$9, 100%, $G$9) + CHOOSE(CONTROL!$C$38, 0.0354, 0)</f>
        <v>29.491399999999999</v>
      </c>
      <c r="I378" s="17">
        <f>29.4576 * CHOOSE(CONTROL!$C$15, $E$9, 100%, $G$9) + CHOOSE(CONTROL!$C$38, 0.0354, 0)</f>
        <v>29.492999999999999</v>
      </c>
      <c r="J378" s="44">
        <f>246.0681</f>
        <v>246.06809999999999</v>
      </c>
    </row>
    <row r="379" spans="1:10" ht="15.75" x14ac:dyDescent="0.25">
      <c r="A379" s="14">
        <v>52474</v>
      </c>
      <c r="B379" s="17">
        <f>31.6046 * CHOOSE(CONTROL!$C$15, $E$9, 100%, $G$9) + CHOOSE(CONTROL!$C$38, 0.0353, 0)</f>
        <v>31.639900000000001</v>
      </c>
      <c r="C379" s="17">
        <f>29.6165 * CHOOSE(CONTROL!$C$15, $E$9, 100%, $G$9) + CHOOSE(CONTROL!$C$38, 0.0354, 0)</f>
        <v>29.651899999999998</v>
      </c>
      <c r="D379" s="17">
        <f>29.6087 * CHOOSE(CONTROL!$C$15, $E$9, 100%, $G$9) + CHOOSE(CONTROL!$C$38, 0.0354, 0)</f>
        <v>29.644099999999998</v>
      </c>
      <c r="E379" s="17">
        <f>29.6087 * CHOOSE(CONTROL!$C$15, $E$9, 100%, $G$9) + CHOOSE(CONTROL!$C$38, 0.0354, 0)</f>
        <v>29.644099999999998</v>
      </c>
      <c r="F379" s="45">
        <f>31.6046 * CHOOSE(CONTROL!$C$15, $E$9, 100%, $G$9) + CHOOSE(CONTROL!$C$38, 0.0353, 0)</f>
        <v>31.639900000000001</v>
      </c>
      <c r="G379" s="17">
        <f>29.615 * CHOOSE(CONTROL!$C$15, $E$9, 100%, $G$9) + CHOOSE(CONTROL!$C$38, 0.0354, 0)</f>
        <v>29.650399999999998</v>
      </c>
      <c r="H379" s="17">
        <f>29.615 * CHOOSE(CONTROL!$C$15, $E$9, 100%, $G$9) + CHOOSE(CONTROL!$C$38, 0.0354, 0)</f>
        <v>29.650399999999998</v>
      </c>
      <c r="I379" s="17">
        <f>29.6165 * CHOOSE(CONTROL!$C$15, $E$9, 100%, $G$9) + CHOOSE(CONTROL!$C$38, 0.0354, 0)</f>
        <v>29.651899999999998</v>
      </c>
      <c r="J379" s="44">
        <f>240.3397</f>
        <v>240.33969999999999</v>
      </c>
    </row>
    <row r="380" spans="1:10" ht="15.75" x14ac:dyDescent="0.25">
      <c r="A380" s="14">
        <v>52504</v>
      </c>
      <c r="B380" s="17">
        <f>32.0363 * CHOOSE(CONTROL!$C$15, $E$9, 100%, $G$9) + CHOOSE(CONTROL!$C$38, 0.0353, 0)</f>
        <v>32.071599999999997</v>
      </c>
      <c r="C380" s="17">
        <f>30.0483 * CHOOSE(CONTROL!$C$15, $E$9, 100%, $G$9) + CHOOSE(CONTROL!$C$38, 0.0354, 0)</f>
        <v>30.0837</v>
      </c>
      <c r="D380" s="17">
        <f>30.0404 * CHOOSE(CONTROL!$C$15, $E$9, 100%, $G$9) + CHOOSE(CONTROL!$C$38, 0.0354, 0)</f>
        <v>30.075800000000001</v>
      </c>
      <c r="E380" s="17">
        <f>30.0404 * CHOOSE(CONTROL!$C$15, $E$9, 100%, $G$9) + CHOOSE(CONTROL!$C$38, 0.0354, 0)</f>
        <v>30.075800000000001</v>
      </c>
      <c r="F380" s="45">
        <f>32.0363 * CHOOSE(CONTROL!$C$15, $E$9, 100%, $G$9) + CHOOSE(CONTROL!$C$38, 0.0353, 0)</f>
        <v>32.071599999999997</v>
      </c>
      <c r="G380" s="17">
        <f>30.0467 * CHOOSE(CONTROL!$C$15, $E$9, 100%, $G$9) + CHOOSE(CONTROL!$C$38, 0.0354, 0)</f>
        <v>30.082100000000001</v>
      </c>
      <c r="H380" s="17">
        <f>30.0467 * CHOOSE(CONTROL!$C$15, $E$9, 100%, $G$9) + CHOOSE(CONTROL!$C$38, 0.0354, 0)</f>
        <v>30.082100000000001</v>
      </c>
      <c r="I380" s="17">
        <f>30.0483 * CHOOSE(CONTROL!$C$15, $E$9, 100%, $G$9) + CHOOSE(CONTROL!$C$38, 0.0354, 0)</f>
        <v>30.0837</v>
      </c>
      <c r="J380" s="44">
        <f>232.3513</f>
        <v>232.35130000000001</v>
      </c>
    </row>
    <row r="381" spans="1:10" ht="15.75" x14ac:dyDescent="0.25">
      <c r="A381" s="14">
        <v>52535</v>
      </c>
      <c r="B381" s="17">
        <f>32.3979 * CHOOSE(CONTROL!$C$15, $E$9, 100%, $G$9) + CHOOSE(CONTROL!$C$38, 0.034, 0)</f>
        <v>32.431899999999999</v>
      </c>
      <c r="C381" s="17">
        <f>30.4098 * CHOOSE(CONTROL!$C$15, $E$9, 100%, $G$9) + CHOOSE(CONTROL!$C$38, 0.0342, 0)</f>
        <v>30.443999999999999</v>
      </c>
      <c r="D381" s="17">
        <f>30.402 * CHOOSE(CONTROL!$C$15, $E$9, 100%, $G$9) + CHOOSE(CONTROL!$C$38, 0.0342, 0)</f>
        <v>30.436199999999999</v>
      </c>
      <c r="E381" s="17">
        <f>30.402 * CHOOSE(CONTROL!$C$15, $E$9, 100%, $G$9) + CHOOSE(CONTROL!$C$38, 0.0342, 0)</f>
        <v>30.436199999999999</v>
      </c>
      <c r="F381" s="45">
        <f>32.3979 * CHOOSE(CONTROL!$C$15, $E$9, 100%, $G$9) + CHOOSE(CONTROL!$C$38, 0.034, 0)</f>
        <v>32.431899999999999</v>
      </c>
      <c r="G381" s="17">
        <f>30.4083 * CHOOSE(CONTROL!$C$15, $E$9, 100%, $G$9) + CHOOSE(CONTROL!$C$38, 0.0342, 0)</f>
        <v>30.442499999999999</v>
      </c>
      <c r="H381" s="17">
        <f>30.4083 * CHOOSE(CONTROL!$C$15, $E$9, 100%, $G$9) + CHOOSE(CONTROL!$C$38, 0.0342, 0)</f>
        <v>30.442499999999999</v>
      </c>
      <c r="I381" s="17">
        <f>30.4098 * CHOOSE(CONTROL!$C$15, $E$9, 100%, $G$9) + CHOOSE(CONTROL!$C$38, 0.0342, 0)</f>
        <v>30.443999999999999</v>
      </c>
      <c r="J381" s="44">
        <f>224.3163</f>
        <v>224.31630000000001</v>
      </c>
    </row>
    <row r="382" spans="1:10" ht="15.75" x14ac:dyDescent="0.25">
      <c r="A382" s="14">
        <v>52565</v>
      </c>
      <c r="B382" s="17">
        <f>32.6996 * CHOOSE(CONTROL!$C$15, $E$9, 100%, $G$9) + CHOOSE(CONTROL!$C$38, 0.034, 0)</f>
        <v>32.733599999999996</v>
      </c>
      <c r="C382" s="17">
        <f>30.7115 * CHOOSE(CONTROL!$C$15, $E$9, 100%, $G$9) + CHOOSE(CONTROL!$C$38, 0.0342, 0)</f>
        <v>30.745699999999999</v>
      </c>
      <c r="D382" s="17">
        <f>30.7037 * CHOOSE(CONTROL!$C$15, $E$9, 100%, $G$9) + CHOOSE(CONTROL!$C$38, 0.0342, 0)</f>
        <v>30.7379</v>
      </c>
      <c r="E382" s="17">
        <f>30.7037 * CHOOSE(CONTROL!$C$15, $E$9, 100%, $G$9) + CHOOSE(CONTROL!$C$38, 0.0342, 0)</f>
        <v>30.7379</v>
      </c>
      <c r="F382" s="45">
        <f>32.6996 * CHOOSE(CONTROL!$C$15, $E$9, 100%, $G$9) + CHOOSE(CONTROL!$C$38, 0.034, 0)</f>
        <v>32.733599999999996</v>
      </c>
      <c r="G382" s="17">
        <f>30.71 * CHOOSE(CONTROL!$C$15, $E$9, 100%, $G$9) + CHOOSE(CONTROL!$C$38, 0.0342, 0)</f>
        <v>30.744199999999999</v>
      </c>
      <c r="H382" s="17">
        <f>30.71 * CHOOSE(CONTROL!$C$15, $E$9, 100%, $G$9) + CHOOSE(CONTROL!$C$38, 0.0342, 0)</f>
        <v>30.744199999999999</v>
      </c>
      <c r="I382" s="17">
        <f>30.7115 * CHOOSE(CONTROL!$C$15, $E$9, 100%, $G$9) + CHOOSE(CONTROL!$C$38, 0.0342, 0)</f>
        <v>30.745699999999999</v>
      </c>
      <c r="J382" s="44">
        <f>222.718</f>
        <v>222.71799999999999</v>
      </c>
    </row>
    <row r="383" spans="1:10" ht="15.75" x14ac:dyDescent="0.25">
      <c r="A383" s="14">
        <v>52596</v>
      </c>
      <c r="B383" s="17">
        <f>33.6292 * CHOOSE(CONTROL!$C$15, $E$9, 100%, $G$9) + CHOOSE(CONTROL!$C$38, 0.034, 0)</f>
        <v>33.663199999999996</v>
      </c>
      <c r="C383" s="17">
        <f>31.6412 * CHOOSE(CONTROL!$C$15, $E$9, 100%, $G$9) + CHOOSE(CONTROL!$C$38, 0.0342, 0)</f>
        <v>31.6754</v>
      </c>
      <c r="D383" s="17">
        <f>31.6334 * CHOOSE(CONTROL!$C$15, $E$9, 100%, $G$9) + CHOOSE(CONTROL!$C$38, 0.0342, 0)</f>
        <v>31.6676</v>
      </c>
      <c r="E383" s="17">
        <f>31.6334 * CHOOSE(CONTROL!$C$15, $E$9, 100%, $G$9) + CHOOSE(CONTROL!$C$38, 0.0342, 0)</f>
        <v>31.6676</v>
      </c>
      <c r="F383" s="45">
        <f>33.6292 * CHOOSE(CONTROL!$C$15, $E$9, 100%, $G$9) + CHOOSE(CONTROL!$C$38, 0.034, 0)</f>
        <v>33.663199999999996</v>
      </c>
      <c r="G383" s="17">
        <f>31.6396 * CHOOSE(CONTROL!$C$15, $E$9, 100%, $G$9) + CHOOSE(CONTROL!$C$38, 0.0342, 0)</f>
        <v>31.6738</v>
      </c>
      <c r="H383" s="17">
        <f>31.6396 * CHOOSE(CONTROL!$C$15, $E$9, 100%, $G$9) + CHOOSE(CONTROL!$C$38, 0.0342, 0)</f>
        <v>31.6738</v>
      </c>
      <c r="I383" s="17">
        <f>31.6412 * CHOOSE(CONTROL!$C$15, $E$9, 100%, $G$9) + CHOOSE(CONTROL!$C$38, 0.0342, 0)</f>
        <v>31.6754</v>
      </c>
      <c r="J383" s="44">
        <f>216.1088</f>
        <v>216.1088</v>
      </c>
    </row>
    <row r="384" spans="1:10" ht="15.75" x14ac:dyDescent="0.25">
      <c r="A384" s="14">
        <v>52627</v>
      </c>
      <c r="B384" s="17">
        <f>34.9033 * CHOOSE(CONTROL!$C$15, $E$9, 100%, $G$9) + CHOOSE(CONTROL!$C$38, 0.034, 0)</f>
        <v>34.9373</v>
      </c>
      <c r="C384" s="17">
        <f>32.8845 * CHOOSE(CONTROL!$C$15, $E$9, 100%, $G$9) + CHOOSE(CONTROL!$C$38, 0.0342, 0)</f>
        <v>32.918700000000001</v>
      </c>
      <c r="D384" s="17">
        <f>32.8767 * CHOOSE(CONTROL!$C$15, $E$9, 100%, $G$9) + CHOOSE(CONTROL!$C$38, 0.0342, 0)</f>
        <v>32.910899999999998</v>
      </c>
      <c r="E384" s="17">
        <f>32.8767 * CHOOSE(CONTROL!$C$15, $E$9, 100%, $G$9) + CHOOSE(CONTROL!$C$38, 0.0342, 0)</f>
        <v>32.910899999999998</v>
      </c>
      <c r="F384" s="45">
        <f>34.9033 * CHOOSE(CONTROL!$C$15, $E$9, 100%, $G$9) + CHOOSE(CONTROL!$C$38, 0.034, 0)</f>
        <v>34.9373</v>
      </c>
      <c r="G384" s="17">
        <f>32.8829 * CHOOSE(CONTROL!$C$15, $E$9, 100%, $G$9) + CHOOSE(CONTROL!$C$38, 0.0342, 0)</f>
        <v>32.917099999999998</v>
      </c>
      <c r="H384" s="17">
        <f>32.8829 * CHOOSE(CONTROL!$C$15, $E$9, 100%, $G$9) + CHOOSE(CONTROL!$C$38, 0.0342, 0)</f>
        <v>32.917099999999998</v>
      </c>
      <c r="I384" s="17">
        <f>32.8845 * CHOOSE(CONTROL!$C$15, $E$9, 100%, $G$9) + CHOOSE(CONTROL!$C$38, 0.0342, 0)</f>
        <v>32.918700000000001</v>
      </c>
      <c r="J384" s="44">
        <f>215.9528</f>
        <v>215.9528</v>
      </c>
    </row>
    <row r="385" spans="1:10" ht="15.75" x14ac:dyDescent="0.25">
      <c r="A385" s="14">
        <v>52655</v>
      </c>
      <c r="B385" s="17">
        <f>35.2476 * CHOOSE(CONTROL!$C$15, $E$9, 100%, $G$9) + CHOOSE(CONTROL!$C$38, 0.034, 0)</f>
        <v>35.281599999999997</v>
      </c>
      <c r="C385" s="17">
        <f>33.2288 * CHOOSE(CONTROL!$C$15, $E$9, 100%, $G$9) + CHOOSE(CONTROL!$C$38, 0.0342, 0)</f>
        <v>33.262999999999998</v>
      </c>
      <c r="D385" s="17">
        <f>33.221 * CHOOSE(CONTROL!$C$15, $E$9, 100%, $G$9) + CHOOSE(CONTROL!$C$38, 0.0342, 0)</f>
        <v>33.255199999999995</v>
      </c>
      <c r="E385" s="17">
        <f>33.221 * CHOOSE(CONTROL!$C$15, $E$9, 100%, $G$9) + CHOOSE(CONTROL!$C$38, 0.0342, 0)</f>
        <v>33.255199999999995</v>
      </c>
      <c r="F385" s="45">
        <f>35.2476 * CHOOSE(CONTROL!$C$15, $E$9, 100%, $G$9) + CHOOSE(CONTROL!$C$38, 0.034, 0)</f>
        <v>35.281599999999997</v>
      </c>
      <c r="G385" s="17">
        <f>33.2272 * CHOOSE(CONTROL!$C$15, $E$9, 100%, $G$9) + CHOOSE(CONTROL!$C$38, 0.0342, 0)</f>
        <v>33.261400000000002</v>
      </c>
      <c r="H385" s="17">
        <f>33.2272 * CHOOSE(CONTROL!$C$15, $E$9, 100%, $G$9) + CHOOSE(CONTROL!$C$38, 0.0342, 0)</f>
        <v>33.261400000000002</v>
      </c>
      <c r="I385" s="17">
        <f>33.2288 * CHOOSE(CONTROL!$C$15, $E$9, 100%, $G$9) + CHOOSE(CONTROL!$C$38, 0.0342, 0)</f>
        <v>33.262999999999998</v>
      </c>
      <c r="J385" s="44">
        <f>215.3525</f>
        <v>215.35249999999999</v>
      </c>
    </row>
    <row r="386" spans="1:10" ht="15.75" x14ac:dyDescent="0.25">
      <c r="A386" s="14">
        <v>52687</v>
      </c>
      <c r="B386" s="17">
        <f>34.4506 * CHOOSE(CONTROL!$C$15, $E$9, 100%, $G$9) + CHOOSE(CONTROL!$C$38, 0.034, 0)</f>
        <v>34.4846</v>
      </c>
      <c r="C386" s="17">
        <f>32.4318 * CHOOSE(CONTROL!$C$15, $E$9, 100%, $G$9) + CHOOSE(CONTROL!$C$38, 0.0342, 0)</f>
        <v>32.466000000000001</v>
      </c>
      <c r="D386" s="17">
        <f>32.4239 * CHOOSE(CONTROL!$C$15, $E$9, 100%, $G$9) + CHOOSE(CONTROL!$C$38, 0.0342, 0)</f>
        <v>32.458100000000002</v>
      </c>
      <c r="E386" s="17">
        <f>32.4239 * CHOOSE(CONTROL!$C$15, $E$9, 100%, $G$9) + CHOOSE(CONTROL!$C$38, 0.0342, 0)</f>
        <v>32.458100000000002</v>
      </c>
      <c r="F386" s="45">
        <f>34.4506 * CHOOSE(CONTROL!$C$15, $E$9, 100%, $G$9) + CHOOSE(CONTROL!$C$38, 0.034, 0)</f>
        <v>34.4846</v>
      </c>
      <c r="G386" s="17">
        <f>32.4302 * CHOOSE(CONTROL!$C$15, $E$9, 100%, $G$9) + CHOOSE(CONTROL!$C$38, 0.0342, 0)</f>
        <v>32.464399999999998</v>
      </c>
      <c r="H386" s="17">
        <f>32.4302 * CHOOSE(CONTROL!$C$15, $E$9, 100%, $G$9) + CHOOSE(CONTROL!$C$38, 0.0342, 0)</f>
        <v>32.464399999999998</v>
      </c>
      <c r="I386" s="17">
        <f>32.4318 * CHOOSE(CONTROL!$C$15, $E$9, 100%, $G$9) + CHOOSE(CONTROL!$C$38, 0.0342, 0)</f>
        <v>32.466000000000001</v>
      </c>
      <c r="J386" s="44">
        <f>226.7029</f>
        <v>226.7029</v>
      </c>
    </row>
    <row r="387" spans="1:10" ht="15.75" x14ac:dyDescent="0.25">
      <c r="A387" s="14">
        <v>52717</v>
      </c>
      <c r="B387" s="17">
        <f>33.6783 * CHOOSE(CONTROL!$C$15, $E$9, 100%, $G$9) + CHOOSE(CONTROL!$C$38, 0.034, 0)</f>
        <v>33.712299999999999</v>
      </c>
      <c r="C387" s="17">
        <f>31.6594 * CHOOSE(CONTROL!$C$15, $E$9, 100%, $G$9) + CHOOSE(CONTROL!$C$38, 0.0342, 0)</f>
        <v>31.6936</v>
      </c>
      <c r="D387" s="17">
        <f>31.6516 * CHOOSE(CONTROL!$C$15, $E$9, 100%, $G$9) + CHOOSE(CONTROL!$C$38, 0.0342, 0)</f>
        <v>31.685799999999997</v>
      </c>
      <c r="E387" s="17">
        <f>31.6516 * CHOOSE(CONTROL!$C$15, $E$9, 100%, $G$9) + CHOOSE(CONTROL!$C$38, 0.0342, 0)</f>
        <v>31.685799999999997</v>
      </c>
      <c r="F387" s="45">
        <f>33.6783 * CHOOSE(CONTROL!$C$15, $E$9, 100%, $G$9) + CHOOSE(CONTROL!$C$38, 0.034, 0)</f>
        <v>33.712299999999999</v>
      </c>
      <c r="G387" s="17">
        <f>31.6579 * CHOOSE(CONTROL!$C$15, $E$9, 100%, $G$9) + CHOOSE(CONTROL!$C$38, 0.0342, 0)</f>
        <v>31.6921</v>
      </c>
      <c r="H387" s="17">
        <f>31.6579 * CHOOSE(CONTROL!$C$15, $E$9, 100%, $G$9) + CHOOSE(CONTROL!$C$38, 0.0342, 0)</f>
        <v>31.6921</v>
      </c>
      <c r="I387" s="17">
        <f>31.6594 * CHOOSE(CONTROL!$C$15, $E$9, 100%, $G$9) + CHOOSE(CONTROL!$C$38, 0.0342, 0)</f>
        <v>31.6936</v>
      </c>
      <c r="J387" s="44">
        <f>241.4215</f>
        <v>241.42150000000001</v>
      </c>
    </row>
    <row r="388" spans="1:10" ht="15.75" x14ac:dyDescent="0.25">
      <c r="A388" s="14">
        <v>52748</v>
      </c>
      <c r="B388" s="17">
        <f>32.8733 * CHOOSE(CONTROL!$C$15, $E$9, 100%, $G$9) + CHOOSE(CONTROL!$C$38, 0.0353, 0)</f>
        <v>32.9086</v>
      </c>
      <c r="C388" s="17">
        <f>30.8545 * CHOOSE(CONTROL!$C$15, $E$9, 100%, $G$9) + CHOOSE(CONTROL!$C$38, 0.0354, 0)</f>
        <v>30.889900000000001</v>
      </c>
      <c r="D388" s="17">
        <f>30.8467 * CHOOSE(CONTROL!$C$15, $E$9, 100%, $G$9) + CHOOSE(CONTROL!$C$38, 0.0354, 0)</f>
        <v>30.882099999999998</v>
      </c>
      <c r="E388" s="17">
        <f>30.8467 * CHOOSE(CONTROL!$C$15, $E$9, 100%, $G$9) + CHOOSE(CONTROL!$C$38, 0.0354, 0)</f>
        <v>30.882099999999998</v>
      </c>
      <c r="F388" s="45">
        <f>32.8733 * CHOOSE(CONTROL!$C$15, $E$9, 100%, $G$9) + CHOOSE(CONTROL!$C$38, 0.0353, 0)</f>
        <v>32.9086</v>
      </c>
      <c r="G388" s="17">
        <f>30.8529 * CHOOSE(CONTROL!$C$15, $E$9, 100%, $G$9) + CHOOSE(CONTROL!$C$38, 0.0354, 0)</f>
        <v>30.888300000000001</v>
      </c>
      <c r="H388" s="17">
        <f>30.8529 * CHOOSE(CONTROL!$C$15, $E$9, 100%, $G$9) + CHOOSE(CONTROL!$C$38, 0.0354, 0)</f>
        <v>30.888300000000001</v>
      </c>
      <c r="I388" s="17">
        <f>30.8545 * CHOOSE(CONTROL!$C$15, $E$9, 100%, $G$9) + CHOOSE(CONTROL!$C$38, 0.0354, 0)</f>
        <v>30.889900000000001</v>
      </c>
      <c r="J388" s="44">
        <f>249.5231</f>
        <v>249.5231</v>
      </c>
    </row>
    <row r="389" spans="1:10" ht="15.75" x14ac:dyDescent="0.25">
      <c r="A389" s="14">
        <v>52778</v>
      </c>
      <c r="B389" s="17">
        <f>32.309 * CHOOSE(CONTROL!$C$15, $E$9, 100%, $G$9) + CHOOSE(CONTROL!$C$38, 0.0353, 0)</f>
        <v>32.344299999999997</v>
      </c>
      <c r="C389" s="17">
        <f>30.2901 * CHOOSE(CONTROL!$C$15, $E$9, 100%, $G$9) + CHOOSE(CONTROL!$C$38, 0.0354, 0)</f>
        <v>30.325499999999998</v>
      </c>
      <c r="D389" s="17">
        <f>30.2823 * CHOOSE(CONTROL!$C$15, $E$9, 100%, $G$9) + CHOOSE(CONTROL!$C$38, 0.0354, 0)</f>
        <v>30.317699999999999</v>
      </c>
      <c r="E389" s="17">
        <f>30.2823 * CHOOSE(CONTROL!$C$15, $E$9, 100%, $G$9) + CHOOSE(CONTROL!$C$38, 0.0354, 0)</f>
        <v>30.317699999999999</v>
      </c>
      <c r="F389" s="45">
        <f>32.309 * CHOOSE(CONTROL!$C$15, $E$9, 100%, $G$9) + CHOOSE(CONTROL!$C$38, 0.0353, 0)</f>
        <v>32.344299999999997</v>
      </c>
      <c r="G389" s="17">
        <f>30.2886 * CHOOSE(CONTROL!$C$15, $E$9, 100%, $G$9) + CHOOSE(CONTROL!$C$38, 0.0354, 0)</f>
        <v>30.323999999999998</v>
      </c>
      <c r="H389" s="17">
        <f>30.2886 * CHOOSE(CONTROL!$C$15, $E$9, 100%, $G$9) + CHOOSE(CONTROL!$C$38, 0.0354, 0)</f>
        <v>30.323999999999998</v>
      </c>
      <c r="I389" s="17">
        <f>30.2901 * CHOOSE(CONTROL!$C$15, $E$9, 100%, $G$9) + CHOOSE(CONTROL!$C$38, 0.0354, 0)</f>
        <v>30.325499999999998</v>
      </c>
      <c r="J389" s="44">
        <f>253.1185</f>
        <v>253.11850000000001</v>
      </c>
    </row>
    <row r="390" spans="1:10" ht="15.75" x14ac:dyDescent="0.25">
      <c r="A390" s="14">
        <v>52809</v>
      </c>
      <c r="B390" s="17">
        <f>31.9869 * CHOOSE(CONTROL!$C$15, $E$9, 100%, $G$9) + CHOOSE(CONTROL!$C$38, 0.0353, 0)</f>
        <v>32.022199999999998</v>
      </c>
      <c r="C390" s="17">
        <f>29.9681 * CHOOSE(CONTROL!$C$15, $E$9, 100%, $G$9) + CHOOSE(CONTROL!$C$38, 0.0354, 0)</f>
        <v>30.003499999999999</v>
      </c>
      <c r="D390" s="17">
        <f>29.9603 * CHOOSE(CONTROL!$C$15, $E$9, 100%, $G$9) + CHOOSE(CONTROL!$C$38, 0.0354, 0)</f>
        <v>29.995699999999999</v>
      </c>
      <c r="E390" s="17">
        <f>29.9603 * CHOOSE(CONTROL!$C$15, $E$9, 100%, $G$9) + CHOOSE(CONTROL!$C$38, 0.0354, 0)</f>
        <v>29.995699999999999</v>
      </c>
      <c r="F390" s="45">
        <f>31.9869 * CHOOSE(CONTROL!$C$15, $E$9, 100%, $G$9) + CHOOSE(CONTROL!$C$38, 0.0353, 0)</f>
        <v>32.022199999999998</v>
      </c>
      <c r="G390" s="17">
        <f>29.9665 * CHOOSE(CONTROL!$C$15, $E$9, 100%, $G$9) + CHOOSE(CONTROL!$C$38, 0.0354, 0)</f>
        <v>30.001899999999999</v>
      </c>
      <c r="H390" s="17">
        <f>29.9665 * CHOOSE(CONTROL!$C$15, $E$9, 100%, $G$9) + CHOOSE(CONTROL!$C$38, 0.0354, 0)</f>
        <v>30.001899999999999</v>
      </c>
      <c r="I390" s="17">
        <f>29.9681 * CHOOSE(CONTROL!$C$15, $E$9, 100%, $G$9) + CHOOSE(CONTROL!$C$38, 0.0354, 0)</f>
        <v>30.003499999999999</v>
      </c>
      <c r="J390" s="44">
        <f>251.9347</f>
        <v>251.93469999999999</v>
      </c>
    </row>
    <row r="391" spans="1:10" ht="15.75" x14ac:dyDescent="0.25">
      <c r="A391" s="14">
        <v>52840</v>
      </c>
      <c r="B391" s="17">
        <f>32.1459 * CHOOSE(CONTROL!$C$15, $E$9, 100%, $G$9) + CHOOSE(CONTROL!$C$38, 0.0353, 0)</f>
        <v>32.181199999999997</v>
      </c>
      <c r="C391" s="17">
        <f>30.127 * CHOOSE(CONTROL!$C$15, $E$9, 100%, $G$9) + CHOOSE(CONTROL!$C$38, 0.0354, 0)</f>
        <v>30.162399999999998</v>
      </c>
      <c r="D391" s="17">
        <f>30.1192 * CHOOSE(CONTROL!$C$15, $E$9, 100%, $G$9) + CHOOSE(CONTROL!$C$38, 0.0354, 0)</f>
        <v>30.154599999999999</v>
      </c>
      <c r="E391" s="17">
        <f>30.1192 * CHOOSE(CONTROL!$C$15, $E$9, 100%, $G$9) + CHOOSE(CONTROL!$C$38, 0.0354, 0)</f>
        <v>30.154599999999999</v>
      </c>
      <c r="F391" s="45">
        <f>32.1459 * CHOOSE(CONTROL!$C$15, $E$9, 100%, $G$9) + CHOOSE(CONTROL!$C$38, 0.0353, 0)</f>
        <v>32.181199999999997</v>
      </c>
      <c r="G391" s="17">
        <f>30.1255 * CHOOSE(CONTROL!$C$15, $E$9, 100%, $G$9) + CHOOSE(CONTROL!$C$38, 0.0354, 0)</f>
        <v>30.160899999999998</v>
      </c>
      <c r="H391" s="17">
        <f>30.1255 * CHOOSE(CONTROL!$C$15, $E$9, 100%, $G$9) + CHOOSE(CONTROL!$C$38, 0.0354, 0)</f>
        <v>30.160899999999998</v>
      </c>
      <c r="I391" s="17">
        <f>30.127 * CHOOSE(CONTROL!$C$15, $E$9, 100%, $G$9) + CHOOSE(CONTROL!$C$38, 0.0354, 0)</f>
        <v>30.162399999999998</v>
      </c>
      <c r="J391" s="44">
        <f>246.0698</f>
        <v>246.06979999999999</v>
      </c>
    </row>
    <row r="392" spans="1:10" ht="15.75" x14ac:dyDescent="0.25">
      <c r="A392" s="14">
        <v>52870</v>
      </c>
      <c r="B392" s="17">
        <f>32.5776 * CHOOSE(CONTROL!$C$15, $E$9, 100%, $G$9) + CHOOSE(CONTROL!$C$38, 0.0353, 0)</f>
        <v>32.612899999999996</v>
      </c>
      <c r="C392" s="17">
        <f>30.5587 * CHOOSE(CONTROL!$C$15, $E$9, 100%, $G$9) + CHOOSE(CONTROL!$C$38, 0.0354, 0)</f>
        <v>30.594100000000001</v>
      </c>
      <c r="D392" s="17">
        <f>30.5509 * CHOOSE(CONTROL!$C$15, $E$9, 100%, $G$9) + CHOOSE(CONTROL!$C$38, 0.0354, 0)</f>
        <v>30.586299999999998</v>
      </c>
      <c r="E392" s="17">
        <f>30.5509 * CHOOSE(CONTROL!$C$15, $E$9, 100%, $G$9) + CHOOSE(CONTROL!$C$38, 0.0354, 0)</f>
        <v>30.586299999999998</v>
      </c>
      <c r="F392" s="45">
        <f>32.5776 * CHOOSE(CONTROL!$C$15, $E$9, 100%, $G$9) + CHOOSE(CONTROL!$C$38, 0.0353, 0)</f>
        <v>32.612899999999996</v>
      </c>
      <c r="G392" s="17">
        <f>30.5572 * CHOOSE(CONTROL!$C$15, $E$9, 100%, $G$9) + CHOOSE(CONTROL!$C$38, 0.0354, 0)</f>
        <v>30.592600000000001</v>
      </c>
      <c r="H392" s="17">
        <f>30.5572 * CHOOSE(CONTROL!$C$15, $E$9, 100%, $G$9) + CHOOSE(CONTROL!$C$38, 0.0354, 0)</f>
        <v>30.592600000000001</v>
      </c>
      <c r="I392" s="17">
        <f>30.5587 * CHOOSE(CONTROL!$C$15, $E$9, 100%, $G$9) + CHOOSE(CONTROL!$C$38, 0.0354, 0)</f>
        <v>30.594100000000001</v>
      </c>
      <c r="J392" s="44">
        <f>237.8909</f>
        <v>237.89089999999999</v>
      </c>
    </row>
    <row r="393" spans="1:10" ht="15.75" x14ac:dyDescent="0.25">
      <c r="A393" s="14">
        <v>52901</v>
      </c>
      <c r="B393" s="17">
        <f>32.9391 * CHOOSE(CONTROL!$C$15, $E$9, 100%, $G$9) + CHOOSE(CONTROL!$C$38, 0.034, 0)</f>
        <v>32.973100000000002</v>
      </c>
      <c r="C393" s="17">
        <f>30.9203 * CHOOSE(CONTROL!$C$15, $E$9, 100%, $G$9) + CHOOSE(CONTROL!$C$38, 0.0342, 0)</f>
        <v>30.954499999999999</v>
      </c>
      <c r="D393" s="17">
        <f>30.9125 * CHOOSE(CONTROL!$C$15, $E$9, 100%, $G$9) + CHOOSE(CONTROL!$C$38, 0.0342, 0)</f>
        <v>30.9467</v>
      </c>
      <c r="E393" s="17">
        <f>30.9125 * CHOOSE(CONTROL!$C$15, $E$9, 100%, $G$9) + CHOOSE(CONTROL!$C$38, 0.0342, 0)</f>
        <v>30.9467</v>
      </c>
      <c r="F393" s="45">
        <f>32.9391 * CHOOSE(CONTROL!$C$15, $E$9, 100%, $G$9) + CHOOSE(CONTROL!$C$38, 0.034, 0)</f>
        <v>32.973100000000002</v>
      </c>
      <c r="G393" s="17">
        <f>30.9187 * CHOOSE(CONTROL!$C$15, $E$9, 100%, $G$9) + CHOOSE(CONTROL!$C$38, 0.0342, 0)</f>
        <v>30.9529</v>
      </c>
      <c r="H393" s="17">
        <f>30.9187 * CHOOSE(CONTROL!$C$15, $E$9, 100%, $G$9) + CHOOSE(CONTROL!$C$38, 0.0342, 0)</f>
        <v>30.9529</v>
      </c>
      <c r="I393" s="17">
        <f>30.9203 * CHOOSE(CONTROL!$C$15, $E$9, 100%, $G$9) + CHOOSE(CONTROL!$C$38, 0.0342, 0)</f>
        <v>30.954499999999999</v>
      </c>
      <c r="J393" s="44">
        <f>229.6644</f>
        <v>229.6644</v>
      </c>
    </row>
    <row r="394" spans="1:10" ht="15.75" x14ac:dyDescent="0.25">
      <c r="A394" s="14">
        <v>52931</v>
      </c>
      <c r="B394" s="17">
        <f>33.2408 * CHOOSE(CONTROL!$C$15, $E$9, 100%, $G$9) + CHOOSE(CONTROL!$C$38, 0.034, 0)</f>
        <v>33.274799999999999</v>
      </c>
      <c r="C394" s="17">
        <f>31.222 * CHOOSE(CONTROL!$C$15, $E$9, 100%, $G$9) + CHOOSE(CONTROL!$C$38, 0.0342, 0)</f>
        <v>31.2562</v>
      </c>
      <c r="D394" s="17">
        <f>31.2142 * CHOOSE(CONTROL!$C$15, $E$9, 100%, $G$9) + CHOOSE(CONTROL!$C$38, 0.0342, 0)</f>
        <v>31.2484</v>
      </c>
      <c r="E394" s="17">
        <f>31.2142 * CHOOSE(CONTROL!$C$15, $E$9, 100%, $G$9) + CHOOSE(CONTROL!$C$38, 0.0342, 0)</f>
        <v>31.2484</v>
      </c>
      <c r="F394" s="45">
        <f>33.2408 * CHOOSE(CONTROL!$C$15, $E$9, 100%, $G$9) + CHOOSE(CONTROL!$C$38, 0.034, 0)</f>
        <v>33.274799999999999</v>
      </c>
      <c r="G394" s="17">
        <f>31.2204 * CHOOSE(CONTROL!$C$15, $E$9, 100%, $G$9) + CHOOSE(CONTROL!$C$38, 0.0342, 0)</f>
        <v>31.2546</v>
      </c>
      <c r="H394" s="17">
        <f>31.2204 * CHOOSE(CONTROL!$C$15, $E$9, 100%, $G$9) + CHOOSE(CONTROL!$C$38, 0.0342, 0)</f>
        <v>31.2546</v>
      </c>
      <c r="I394" s="17">
        <f>31.222 * CHOOSE(CONTROL!$C$15, $E$9, 100%, $G$9) + CHOOSE(CONTROL!$C$38, 0.0342, 0)</f>
        <v>31.2562</v>
      </c>
      <c r="J394" s="44">
        <f>228.0279</f>
        <v>228.02789999999999</v>
      </c>
    </row>
    <row r="395" spans="1:10" ht="15.75" x14ac:dyDescent="0.25">
      <c r="A395" s="14">
        <v>52962</v>
      </c>
      <c r="B395" s="17">
        <f>34.1705 * CHOOSE(CONTROL!$C$15, $E$9, 100%, $G$9) + CHOOSE(CONTROL!$C$38, 0.034, 0)</f>
        <v>34.204499999999996</v>
      </c>
      <c r="C395" s="17">
        <f>32.1517 * CHOOSE(CONTROL!$C$15, $E$9, 100%, $G$9) + CHOOSE(CONTROL!$C$38, 0.0342, 0)</f>
        <v>32.185899999999997</v>
      </c>
      <c r="D395" s="17">
        <f>32.1439 * CHOOSE(CONTROL!$C$15, $E$9, 100%, $G$9) + CHOOSE(CONTROL!$C$38, 0.0342, 0)</f>
        <v>32.178100000000001</v>
      </c>
      <c r="E395" s="17">
        <f>32.1439 * CHOOSE(CONTROL!$C$15, $E$9, 100%, $G$9) + CHOOSE(CONTROL!$C$38, 0.0342, 0)</f>
        <v>32.178100000000001</v>
      </c>
      <c r="F395" s="45">
        <f>34.1705 * CHOOSE(CONTROL!$C$15, $E$9, 100%, $G$9) + CHOOSE(CONTROL!$C$38, 0.034, 0)</f>
        <v>34.204499999999996</v>
      </c>
      <c r="G395" s="17">
        <f>32.1501 * CHOOSE(CONTROL!$C$15, $E$9, 100%, $G$9) + CHOOSE(CONTROL!$C$38, 0.0342, 0)</f>
        <v>32.1843</v>
      </c>
      <c r="H395" s="17">
        <f>32.1501 * CHOOSE(CONTROL!$C$15, $E$9, 100%, $G$9) + CHOOSE(CONTROL!$C$38, 0.0342, 0)</f>
        <v>32.1843</v>
      </c>
      <c r="I395" s="17">
        <f>32.1517 * CHOOSE(CONTROL!$C$15, $E$9, 100%, $G$9) + CHOOSE(CONTROL!$C$38, 0.0342, 0)</f>
        <v>32.185899999999997</v>
      </c>
      <c r="J395" s="44">
        <f>221.2612</f>
        <v>221.2612</v>
      </c>
    </row>
    <row r="396" spans="1:10" ht="15.75" x14ac:dyDescent="0.25">
      <c r="A396" s="14">
        <v>52993</v>
      </c>
      <c r="B396" s="17">
        <f>35.4537 * CHOOSE(CONTROL!$C$15, $E$9, 100%, $G$9) + CHOOSE(CONTROL!$C$38, 0.034, 0)</f>
        <v>35.487699999999997</v>
      </c>
      <c r="C396" s="17">
        <f>33.4035 * CHOOSE(CONTROL!$C$15, $E$9, 100%, $G$9) + CHOOSE(CONTROL!$C$38, 0.0342, 0)</f>
        <v>33.4377</v>
      </c>
      <c r="D396" s="17">
        <f>33.3957 * CHOOSE(CONTROL!$C$15, $E$9, 100%, $G$9) + CHOOSE(CONTROL!$C$38, 0.0342, 0)</f>
        <v>33.429899999999996</v>
      </c>
      <c r="E396" s="17">
        <f>33.3957 * CHOOSE(CONTROL!$C$15, $E$9, 100%, $G$9) + CHOOSE(CONTROL!$C$38, 0.0342, 0)</f>
        <v>33.429899999999996</v>
      </c>
      <c r="F396" s="45">
        <f>35.4537 * CHOOSE(CONTROL!$C$15, $E$9, 100%, $G$9) + CHOOSE(CONTROL!$C$38, 0.034, 0)</f>
        <v>35.487699999999997</v>
      </c>
      <c r="G396" s="17">
        <f>33.402 * CHOOSE(CONTROL!$C$15, $E$9, 100%, $G$9) + CHOOSE(CONTROL!$C$38, 0.0342, 0)</f>
        <v>33.436199999999999</v>
      </c>
      <c r="H396" s="17">
        <f>33.402 * CHOOSE(CONTROL!$C$15, $E$9, 100%, $G$9) + CHOOSE(CONTROL!$C$38, 0.0342, 0)</f>
        <v>33.436199999999999</v>
      </c>
      <c r="I396" s="17">
        <f>33.4035 * CHOOSE(CONTROL!$C$15, $E$9, 100%, $G$9) + CHOOSE(CONTROL!$C$38, 0.0342, 0)</f>
        <v>33.4377</v>
      </c>
      <c r="J396" s="44">
        <f>221.1014</f>
        <v>221.10140000000001</v>
      </c>
    </row>
    <row r="397" spans="1:10" ht="15.75" x14ac:dyDescent="0.25">
      <c r="A397" s="14">
        <v>53021</v>
      </c>
      <c r="B397" s="17">
        <f>35.798 * CHOOSE(CONTROL!$C$15, $E$9, 100%, $G$9) + CHOOSE(CONTROL!$C$38, 0.034, 0)</f>
        <v>35.832000000000001</v>
      </c>
      <c r="C397" s="17">
        <f>33.7479 * CHOOSE(CONTROL!$C$15, $E$9, 100%, $G$9) + CHOOSE(CONTROL!$C$38, 0.0342, 0)</f>
        <v>33.7821</v>
      </c>
      <c r="D397" s="17">
        <f>33.74 * CHOOSE(CONTROL!$C$15, $E$9, 100%, $G$9) + CHOOSE(CONTROL!$C$38, 0.0342, 0)</f>
        <v>33.7742</v>
      </c>
      <c r="E397" s="17">
        <f>33.74 * CHOOSE(CONTROL!$C$15, $E$9, 100%, $G$9) + CHOOSE(CONTROL!$C$38, 0.0342, 0)</f>
        <v>33.7742</v>
      </c>
      <c r="F397" s="45">
        <f>35.798 * CHOOSE(CONTROL!$C$15, $E$9, 100%, $G$9) + CHOOSE(CONTROL!$C$38, 0.034, 0)</f>
        <v>35.832000000000001</v>
      </c>
      <c r="G397" s="17">
        <f>33.7463 * CHOOSE(CONTROL!$C$15, $E$9, 100%, $G$9) + CHOOSE(CONTROL!$C$38, 0.0342, 0)</f>
        <v>33.780499999999996</v>
      </c>
      <c r="H397" s="17">
        <f>33.7463 * CHOOSE(CONTROL!$C$15, $E$9, 100%, $G$9) + CHOOSE(CONTROL!$C$38, 0.0342, 0)</f>
        <v>33.780499999999996</v>
      </c>
      <c r="I397" s="17">
        <f>33.7479 * CHOOSE(CONTROL!$C$15, $E$9, 100%, $G$9) + CHOOSE(CONTROL!$C$38, 0.0342, 0)</f>
        <v>33.7821</v>
      </c>
      <c r="J397" s="44">
        <f>220.4869</f>
        <v>220.48689999999999</v>
      </c>
    </row>
    <row r="398" spans="1:10" ht="15.75" x14ac:dyDescent="0.25">
      <c r="A398" s="14">
        <v>53052</v>
      </c>
      <c r="B398" s="17">
        <f>35.0009 * CHOOSE(CONTROL!$C$15, $E$9, 100%, $G$9) + CHOOSE(CONTROL!$C$38, 0.034, 0)</f>
        <v>35.0349</v>
      </c>
      <c r="C398" s="17">
        <f>32.9508 * CHOOSE(CONTROL!$C$15, $E$9, 100%, $G$9) + CHOOSE(CONTROL!$C$38, 0.0342, 0)</f>
        <v>32.984999999999999</v>
      </c>
      <c r="D398" s="17">
        <f>32.943 * CHOOSE(CONTROL!$C$15, $E$9, 100%, $G$9) + CHOOSE(CONTROL!$C$38, 0.0342, 0)</f>
        <v>32.977199999999996</v>
      </c>
      <c r="E398" s="17">
        <f>32.943 * CHOOSE(CONTROL!$C$15, $E$9, 100%, $G$9) + CHOOSE(CONTROL!$C$38, 0.0342, 0)</f>
        <v>32.977199999999996</v>
      </c>
      <c r="F398" s="45">
        <f>35.0009 * CHOOSE(CONTROL!$C$15, $E$9, 100%, $G$9) + CHOOSE(CONTROL!$C$38, 0.034, 0)</f>
        <v>35.0349</v>
      </c>
      <c r="G398" s="17">
        <f>32.9493 * CHOOSE(CONTROL!$C$15, $E$9, 100%, $G$9) + CHOOSE(CONTROL!$C$38, 0.0342, 0)</f>
        <v>32.983499999999999</v>
      </c>
      <c r="H398" s="17">
        <f>32.9493 * CHOOSE(CONTROL!$C$15, $E$9, 100%, $G$9) + CHOOSE(CONTROL!$C$38, 0.0342, 0)</f>
        <v>32.983499999999999</v>
      </c>
      <c r="I398" s="17">
        <f>32.9508 * CHOOSE(CONTROL!$C$15, $E$9, 100%, $G$9) + CHOOSE(CONTROL!$C$38, 0.0342, 0)</f>
        <v>32.984999999999999</v>
      </c>
      <c r="J398" s="44">
        <f>232.1078</f>
        <v>232.1078</v>
      </c>
    </row>
    <row r="399" spans="1:10" ht="15.75" x14ac:dyDescent="0.25">
      <c r="A399" s="14">
        <v>53082</v>
      </c>
      <c r="B399" s="17">
        <f>34.2286 * CHOOSE(CONTROL!$C$15, $E$9, 100%, $G$9) + CHOOSE(CONTROL!$C$38, 0.034, 0)</f>
        <v>34.262599999999999</v>
      </c>
      <c r="C399" s="17">
        <f>32.1785 * CHOOSE(CONTROL!$C$15, $E$9, 100%, $G$9) + CHOOSE(CONTROL!$C$38, 0.0342, 0)</f>
        <v>32.212699999999998</v>
      </c>
      <c r="D399" s="17">
        <f>32.1707 * CHOOSE(CONTROL!$C$15, $E$9, 100%, $G$9) + CHOOSE(CONTROL!$C$38, 0.0342, 0)</f>
        <v>32.204899999999995</v>
      </c>
      <c r="E399" s="17">
        <f>32.1707 * CHOOSE(CONTROL!$C$15, $E$9, 100%, $G$9) + CHOOSE(CONTROL!$C$38, 0.0342, 0)</f>
        <v>32.204899999999995</v>
      </c>
      <c r="F399" s="45">
        <f>34.2286 * CHOOSE(CONTROL!$C$15, $E$9, 100%, $G$9) + CHOOSE(CONTROL!$C$38, 0.034, 0)</f>
        <v>34.262599999999999</v>
      </c>
      <c r="G399" s="17">
        <f>32.1769 * CHOOSE(CONTROL!$C$15, $E$9, 100%, $G$9) + CHOOSE(CONTROL!$C$38, 0.0342, 0)</f>
        <v>32.211100000000002</v>
      </c>
      <c r="H399" s="17">
        <f>32.1769 * CHOOSE(CONTROL!$C$15, $E$9, 100%, $G$9) + CHOOSE(CONTROL!$C$38, 0.0342, 0)</f>
        <v>32.211100000000002</v>
      </c>
      <c r="I399" s="17">
        <f>32.1785 * CHOOSE(CONTROL!$C$15, $E$9, 100%, $G$9) + CHOOSE(CONTROL!$C$38, 0.0342, 0)</f>
        <v>32.212699999999998</v>
      </c>
      <c r="J399" s="44">
        <f>247.1774</f>
        <v>247.17740000000001</v>
      </c>
    </row>
    <row r="400" spans="1:10" ht="15.75" x14ac:dyDescent="0.25">
      <c r="A400" s="14">
        <v>53113</v>
      </c>
      <c r="B400" s="17">
        <f>33.4237 * CHOOSE(CONTROL!$C$15, $E$9, 100%, $G$9) + CHOOSE(CONTROL!$C$38, 0.0353, 0)</f>
        <v>33.458999999999996</v>
      </c>
      <c r="C400" s="17">
        <f>31.3735 * CHOOSE(CONTROL!$C$15, $E$9, 100%, $G$9) + CHOOSE(CONTROL!$C$38, 0.0354, 0)</f>
        <v>31.408899999999999</v>
      </c>
      <c r="D400" s="17">
        <f>31.3657 * CHOOSE(CONTROL!$C$15, $E$9, 100%, $G$9) + CHOOSE(CONTROL!$C$38, 0.0354, 0)</f>
        <v>31.4011</v>
      </c>
      <c r="E400" s="17">
        <f>31.3657 * CHOOSE(CONTROL!$C$15, $E$9, 100%, $G$9) + CHOOSE(CONTROL!$C$38, 0.0354, 0)</f>
        <v>31.4011</v>
      </c>
      <c r="F400" s="45">
        <f>33.4237 * CHOOSE(CONTROL!$C$15, $E$9, 100%, $G$9) + CHOOSE(CONTROL!$C$38, 0.0353, 0)</f>
        <v>33.458999999999996</v>
      </c>
      <c r="G400" s="17">
        <f>31.372 * CHOOSE(CONTROL!$C$15, $E$9, 100%, $G$9) + CHOOSE(CONTROL!$C$38, 0.0354, 0)</f>
        <v>31.407399999999999</v>
      </c>
      <c r="H400" s="17">
        <f>31.372 * CHOOSE(CONTROL!$C$15, $E$9, 100%, $G$9) + CHOOSE(CONTROL!$C$38, 0.0354, 0)</f>
        <v>31.407399999999999</v>
      </c>
      <c r="I400" s="17">
        <f>31.3735 * CHOOSE(CONTROL!$C$15, $E$9, 100%, $G$9) + CHOOSE(CONTROL!$C$38, 0.0354, 0)</f>
        <v>31.408899999999999</v>
      </c>
      <c r="J400" s="44">
        <f>255.4721</f>
        <v>255.47210000000001</v>
      </c>
    </row>
    <row r="401" spans="1:10" ht="15.75" x14ac:dyDescent="0.25">
      <c r="A401" s="14">
        <v>53143</v>
      </c>
      <c r="B401" s="17">
        <f>32.8593 * CHOOSE(CONTROL!$C$15, $E$9, 100%, $G$9) + CHOOSE(CONTROL!$C$38, 0.0353, 0)</f>
        <v>32.894599999999997</v>
      </c>
      <c r="C401" s="17">
        <f>30.8092 * CHOOSE(CONTROL!$C$15, $E$9, 100%, $G$9) + CHOOSE(CONTROL!$C$38, 0.0354, 0)</f>
        <v>30.8446</v>
      </c>
      <c r="D401" s="17">
        <f>30.8014 * CHOOSE(CONTROL!$C$15, $E$9, 100%, $G$9) + CHOOSE(CONTROL!$C$38, 0.0354, 0)</f>
        <v>30.8368</v>
      </c>
      <c r="E401" s="17">
        <f>30.8014 * CHOOSE(CONTROL!$C$15, $E$9, 100%, $G$9) + CHOOSE(CONTROL!$C$38, 0.0354, 0)</f>
        <v>30.8368</v>
      </c>
      <c r="F401" s="45">
        <f>32.8593 * CHOOSE(CONTROL!$C$15, $E$9, 100%, $G$9) + CHOOSE(CONTROL!$C$38, 0.0353, 0)</f>
        <v>32.894599999999997</v>
      </c>
      <c r="G401" s="17">
        <f>30.8076 * CHOOSE(CONTROL!$C$15, $E$9, 100%, $G$9) + CHOOSE(CONTROL!$C$38, 0.0354, 0)</f>
        <v>30.843</v>
      </c>
      <c r="H401" s="17">
        <f>30.8076 * CHOOSE(CONTROL!$C$15, $E$9, 100%, $G$9) + CHOOSE(CONTROL!$C$38, 0.0354, 0)</f>
        <v>30.843</v>
      </c>
      <c r="I401" s="17">
        <f>30.8092 * CHOOSE(CONTROL!$C$15, $E$9, 100%, $G$9) + CHOOSE(CONTROL!$C$38, 0.0354, 0)</f>
        <v>30.8446</v>
      </c>
      <c r="J401" s="44">
        <f>259.1532</f>
        <v>259.15320000000003</v>
      </c>
    </row>
    <row r="402" spans="1:10" ht="15.75" x14ac:dyDescent="0.25">
      <c r="A402" s="14">
        <v>53174</v>
      </c>
      <c r="B402" s="17">
        <f>32.5373 * CHOOSE(CONTROL!$C$15, $E$9, 100%, $G$9) + CHOOSE(CONTROL!$C$38, 0.0353, 0)</f>
        <v>32.572600000000001</v>
      </c>
      <c r="C402" s="17">
        <f>30.4872 * CHOOSE(CONTROL!$C$15, $E$9, 100%, $G$9) + CHOOSE(CONTROL!$C$38, 0.0354, 0)</f>
        <v>30.522600000000001</v>
      </c>
      <c r="D402" s="17">
        <f>30.4793 * CHOOSE(CONTROL!$C$15, $E$9, 100%, $G$9) + CHOOSE(CONTROL!$C$38, 0.0354, 0)</f>
        <v>30.514699999999998</v>
      </c>
      <c r="E402" s="17">
        <f>30.4793 * CHOOSE(CONTROL!$C$15, $E$9, 100%, $G$9) + CHOOSE(CONTROL!$C$38, 0.0354, 0)</f>
        <v>30.514699999999998</v>
      </c>
      <c r="F402" s="45">
        <f>32.5373 * CHOOSE(CONTROL!$C$15, $E$9, 100%, $G$9) + CHOOSE(CONTROL!$C$38, 0.0353, 0)</f>
        <v>32.572600000000001</v>
      </c>
      <c r="G402" s="17">
        <f>30.4856 * CHOOSE(CONTROL!$C$15, $E$9, 100%, $G$9) + CHOOSE(CONTROL!$C$38, 0.0354, 0)</f>
        <v>30.521000000000001</v>
      </c>
      <c r="H402" s="17">
        <f>30.4856 * CHOOSE(CONTROL!$C$15, $E$9, 100%, $G$9) + CHOOSE(CONTROL!$C$38, 0.0354, 0)</f>
        <v>30.521000000000001</v>
      </c>
      <c r="I402" s="17">
        <f>30.4872 * CHOOSE(CONTROL!$C$15, $E$9, 100%, $G$9) + CHOOSE(CONTROL!$C$38, 0.0354, 0)</f>
        <v>30.522600000000001</v>
      </c>
      <c r="J402" s="44">
        <f>257.9412</f>
        <v>257.94119999999998</v>
      </c>
    </row>
    <row r="403" spans="1:10" ht="15.75" x14ac:dyDescent="0.25">
      <c r="A403" s="14">
        <v>53205</v>
      </c>
      <c r="B403" s="17">
        <f>32.6962 * CHOOSE(CONTROL!$C$15, $E$9, 100%, $G$9) + CHOOSE(CONTROL!$C$38, 0.0353, 0)</f>
        <v>32.731499999999997</v>
      </c>
      <c r="C403" s="17">
        <f>30.6461 * CHOOSE(CONTROL!$C$15, $E$9, 100%, $G$9) + CHOOSE(CONTROL!$C$38, 0.0354, 0)</f>
        <v>30.6815</v>
      </c>
      <c r="D403" s="17">
        <f>30.6383 * CHOOSE(CONTROL!$C$15, $E$9, 100%, $G$9) + CHOOSE(CONTROL!$C$38, 0.0354, 0)</f>
        <v>30.6737</v>
      </c>
      <c r="E403" s="17">
        <f>30.6383 * CHOOSE(CONTROL!$C$15, $E$9, 100%, $G$9) + CHOOSE(CONTROL!$C$38, 0.0354, 0)</f>
        <v>30.6737</v>
      </c>
      <c r="F403" s="45">
        <f>32.6962 * CHOOSE(CONTROL!$C$15, $E$9, 100%, $G$9) + CHOOSE(CONTROL!$C$38, 0.0353, 0)</f>
        <v>32.731499999999997</v>
      </c>
      <c r="G403" s="17">
        <f>30.6445 * CHOOSE(CONTROL!$C$15, $E$9, 100%, $G$9) + CHOOSE(CONTROL!$C$38, 0.0354, 0)</f>
        <v>30.6799</v>
      </c>
      <c r="H403" s="17">
        <f>30.6445 * CHOOSE(CONTROL!$C$15, $E$9, 100%, $G$9) + CHOOSE(CONTROL!$C$38, 0.0354, 0)</f>
        <v>30.6799</v>
      </c>
      <c r="I403" s="17">
        <f>30.6461 * CHOOSE(CONTROL!$C$15, $E$9, 100%, $G$9) + CHOOSE(CONTROL!$C$38, 0.0354, 0)</f>
        <v>30.6815</v>
      </c>
      <c r="J403" s="44">
        <f>251.9365</f>
        <v>251.9365</v>
      </c>
    </row>
    <row r="404" spans="1:10" ht="15.75" x14ac:dyDescent="0.25">
      <c r="A404" s="14">
        <v>53235</v>
      </c>
      <c r="B404" s="17">
        <f>33.1279 * CHOOSE(CONTROL!$C$15, $E$9, 100%, $G$9) + CHOOSE(CONTROL!$C$38, 0.0353, 0)</f>
        <v>33.163199999999996</v>
      </c>
      <c r="C404" s="17">
        <f>31.0778 * CHOOSE(CONTROL!$C$15, $E$9, 100%, $G$9) + CHOOSE(CONTROL!$C$38, 0.0354, 0)</f>
        <v>31.113199999999999</v>
      </c>
      <c r="D404" s="17">
        <f>31.07 * CHOOSE(CONTROL!$C$15, $E$9, 100%, $G$9) + CHOOSE(CONTROL!$C$38, 0.0354, 0)</f>
        <v>31.105399999999999</v>
      </c>
      <c r="E404" s="17">
        <f>31.07 * CHOOSE(CONTROL!$C$15, $E$9, 100%, $G$9) + CHOOSE(CONTROL!$C$38, 0.0354, 0)</f>
        <v>31.105399999999999</v>
      </c>
      <c r="F404" s="45">
        <f>33.1279 * CHOOSE(CONTROL!$C$15, $E$9, 100%, $G$9) + CHOOSE(CONTROL!$C$38, 0.0353, 0)</f>
        <v>33.163199999999996</v>
      </c>
      <c r="G404" s="17">
        <f>31.0762 * CHOOSE(CONTROL!$C$15, $E$9, 100%, $G$9) + CHOOSE(CONTROL!$C$38, 0.0354, 0)</f>
        <v>31.111599999999999</v>
      </c>
      <c r="H404" s="17">
        <f>31.0762 * CHOOSE(CONTROL!$C$15, $E$9, 100%, $G$9) + CHOOSE(CONTROL!$C$38, 0.0354, 0)</f>
        <v>31.111599999999999</v>
      </c>
      <c r="I404" s="17">
        <f>31.0778 * CHOOSE(CONTROL!$C$15, $E$9, 100%, $G$9) + CHOOSE(CONTROL!$C$38, 0.0354, 0)</f>
        <v>31.113199999999999</v>
      </c>
      <c r="J404" s="44">
        <f>243.5625</f>
        <v>243.5625</v>
      </c>
    </row>
    <row r="405" spans="1:10" ht="15.75" x14ac:dyDescent="0.25">
      <c r="A405" s="14">
        <v>53266</v>
      </c>
      <c r="B405" s="17">
        <f>33.4895 * CHOOSE(CONTROL!$C$15, $E$9, 100%, $G$9) + CHOOSE(CONTROL!$C$38, 0.034, 0)</f>
        <v>33.523499999999999</v>
      </c>
      <c r="C405" s="17">
        <f>31.4394 * CHOOSE(CONTROL!$C$15, $E$9, 100%, $G$9) + CHOOSE(CONTROL!$C$38, 0.0342, 0)</f>
        <v>31.473599999999998</v>
      </c>
      <c r="D405" s="17">
        <f>31.4316 * CHOOSE(CONTROL!$C$15, $E$9, 100%, $G$9) + CHOOSE(CONTROL!$C$38, 0.0342, 0)</f>
        <v>31.465799999999998</v>
      </c>
      <c r="E405" s="17">
        <f>31.4316 * CHOOSE(CONTROL!$C$15, $E$9, 100%, $G$9) + CHOOSE(CONTROL!$C$38, 0.0342, 0)</f>
        <v>31.465799999999998</v>
      </c>
      <c r="F405" s="45">
        <f>33.4895 * CHOOSE(CONTROL!$C$15, $E$9, 100%, $G$9) + CHOOSE(CONTROL!$C$38, 0.034, 0)</f>
        <v>33.523499999999999</v>
      </c>
      <c r="G405" s="17">
        <f>31.4378 * CHOOSE(CONTROL!$C$15, $E$9, 100%, $G$9) + CHOOSE(CONTROL!$C$38, 0.0342, 0)</f>
        <v>31.471999999999998</v>
      </c>
      <c r="H405" s="17">
        <f>31.4378 * CHOOSE(CONTROL!$C$15, $E$9, 100%, $G$9) + CHOOSE(CONTROL!$C$38, 0.0342, 0)</f>
        <v>31.471999999999998</v>
      </c>
      <c r="I405" s="17">
        <f>31.4394 * CHOOSE(CONTROL!$C$15, $E$9, 100%, $G$9) + CHOOSE(CONTROL!$C$38, 0.0342, 0)</f>
        <v>31.473599999999998</v>
      </c>
      <c r="J405" s="44">
        <f>235.1399</f>
        <v>235.13990000000001</v>
      </c>
    </row>
    <row r="406" spans="1:10" ht="15.75" x14ac:dyDescent="0.25">
      <c r="A406" s="14">
        <v>53296</v>
      </c>
      <c r="B406" s="17">
        <f>33.7912 * CHOOSE(CONTROL!$C$15, $E$9, 100%, $G$9) + CHOOSE(CONTROL!$C$38, 0.034, 0)</f>
        <v>33.825200000000002</v>
      </c>
      <c r="C406" s="17">
        <f>31.7411 * CHOOSE(CONTROL!$C$15, $E$9, 100%, $G$9) + CHOOSE(CONTROL!$C$38, 0.0342, 0)</f>
        <v>31.775299999999998</v>
      </c>
      <c r="D406" s="17">
        <f>31.7333 * CHOOSE(CONTROL!$C$15, $E$9, 100%, $G$9) + CHOOSE(CONTROL!$C$38, 0.0342, 0)</f>
        <v>31.767499999999998</v>
      </c>
      <c r="E406" s="17">
        <f>31.7333 * CHOOSE(CONTROL!$C$15, $E$9, 100%, $G$9) + CHOOSE(CONTROL!$C$38, 0.0342, 0)</f>
        <v>31.767499999999998</v>
      </c>
      <c r="F406" s="45">
        <f>33.7912 * CHOOSE(CONTROL!$C$15, $E$9, 100%, $G$9) + CHOOSE(CONTROL!$C$38, 0.034, 0)</f>
        <v>33.825200000000002</v>
      </c>
      <c r="G406" s="17">
        <f>31.7395 * CHOOSE(CONTROL!$C$15, $E$9, 100%, $G$9) + CHOOSE(CONTROL!$C$38, 0.0342, 0)</f>
        <v>31.773699999999998</v>
      </c>
      <c r="H406" s="17">
        <f>31.7395 * CHOOSE(CONTROL!$C$15, $E$9, 100%, $G$9) + CHOOSE(CONTROL!$C$38, 0.0342, 0)</f>
        <v>31.773699999999998</v>
      </c>
      <c r="I406" s="17">
        <f>31.7411 * CHOOSE(CONTROL!$C$15, $E$9, 100%, $G$9) + CHOOSE(CONTROL!$C$38, 0.0342, 0)</f>
        <v>31.775299999999998</v>
      </c>
      <c r="J406" s="44">
        <f>233.4645</f>
        <v>233.46449999999999</v>
      </c>
    </row>
    <row r="407" spans="1:10" ht="15.75" x14ac:dyDescent="0.25">
      <c r="A407" s="14">
        <v>53327</v>
      </c>
      <c r="B407" s="17">
        <f>34.7209 * CHOOSE(CONTROL!$C$15, $E$9, 100%, $G$9) + CHOOSE(CONTROL!$C$38, 0.034, 0)</f>
        <v>34.754899999999999</v>
      </c>
      <c r="C407" s="17">
        <f>32.6707 * CHOOSE(CONTROL!$C$15, $E$9, 100%, $G$9) + CHOOSE(CONTROL!$C$38, 0.0342, 0)</f>
        <v>32.704899999999995</v>
      </c>
      <c r="D407" s="17">
        <f>32.6629 * CHOOSE(CONTROL!$C$15, $E$9, 100%, $G$9) + CHOOSE(CONTROL!$C$38, 0.0342, 0)</f>
        <v>32.697099999999999</v>
      </c>
      <c r="E407" s="17">
        <f>32.6629 * CHOOSE(CONTROL!$C$15, $E$9, 100%, $G$9) + CHOOSE(CONTROL!$C$38, 0.0342, 0)</f>
        <v>32.697099999999999</v>
      </c>
      <c r="F407" s="45">
        <f>34.7209 * CHOOSE(CONTROL!$C$15, $E$9, 100%, $G$9) + CHOOSE(CONTROL!$C$38, 0.034, 0)</f>
        <v>34.754899999999999</v>
      </c>
      <c r="G407" s="17">
        <f>32.6692 * CHOOSE(CONTROL!$C$15, $E$9, 100%, $G$9) + CHOOSE(CONTROL!$C$38, 0.0342, 0)</f>
        <v>32.703399999999995</v>
      </c>
      <c r="H407" s="17">
        <f>32.6692 * CHOOSE(CONTROL!$C$15, $E$9, 100%, $G$9) + CHOOSE(CONTROL!$C$38, 0.0342, 0)</f>
        <v>32.703399999999995</v>
      </c>
      <c r="I407" s="17">
        <f>32.6707 * CHOOSE(CONTROL!$C$15, $E$9, 100%, $G$9) + CHOOSE(CONTROL!$C$38, 0.0342, 0)</f>
        <v>32.704899999999995</v>
      </c>
      <c r="J407" s="44">
        <f>226.5364</f>
        <v>226.53639999999999</v>
      </c>
    </row>
    <row r="408" spans="1:10" ht="15.75" x14ac:dyDescent="0.25">
      <c r="A408" s="14">
        <v>53358</v>
      </c>
      <c r="B408" s="17">
        <f>36.0133 * CHOOSE(CONTROL!$C$15, $E$9, 100%, $G$9) + CHOOSE(CONTROL!$C$38, 0.034, 0)</f>
        <v>36.0473</v>
      </c>
      <c r="C408" s="17">
        <f>33.9313 * CHOOSE(CONTROL!$C$15, $E$9, 100%, $G$9) + CHOOSE(CONTROL!$C$38, 0.0342, 0)</f>
        <v>33.965499999999999</v>
      </c>
      <c r="D408" s="17">
        <f>33.9235 * CHOOSE(CONTROL!$C$15, $E$9, 100%, $G$9) + CHOOSE(CONTROL!$C$38, 0.0342, 0)</f>
        <v>33.957699999999996</v>
      </c>
      <c r="E408" s="17">
        <f>33.9235 * CHOOSE(CONTROL!$C$15, $E$9, 100%, $G$9) + CHOOSE(CONTROL!$C$38, 0.0342, 0)</f>
        <v>33.957699999999996</v>
      </c>
      <c r="F408" s="45">
        <f>36.0133 * CHOOSE(CONTROL!$C$15, $E$9, 100%, $G$9) + CHOOSE(CONTROL!$C$38, 0.034, 0)</f>
        <v>36.0473</v>
      </c>
      <c r="G408" s="17">
        <f>33.9298 * CHOOSE(CONTROL!$C$15, $E$9, 100%, $G$9) + CHOOSE(CONTROL!$C$38, 0.0342, 0)</f>
        <v>33.963999999999999</v>
      </c>
      <c r="H408" s="17">
        <f>33.9298 * CHOOSE(CONTROL!$C$15, $E$9, 100%, $G$9) + CHOOSE(CONTROL!$C$38, 0.0342, 0)</f>
        <v>33.963999999999999</v>
      </c>
      <c r="I408" s="17">
        <f>33.9313 * CHOOSE(CONTROL!$C$15, $E$9, 100%, $G$9) + CHOOSE(CONTROL!$C$38, 0.0342, 0)</f>
        <v>33.965499999999999</v>
      </c>
      <c r="J408" s="44">
        <f>226.3728</f>
        <v>226.37280000000001</v>
      </c>
    </row>
    <row r="409" spans="1:10" ht="15.75" x14ac:dyDescent="0.25">
      <c r="A409" s="14">
        <v>53386</v>
      </c>
      <c r="B409" s="17">
        <f>36.3576 * CHOOSE(CONTROL!$C$15, $E$9, 100%, $G$9) + CHOOSE(CONTROL!$C$38, 0.034, 0)</f>
        <v>36.391599999999997</v>
      </c>
      <c r="C409" s="17">
        <f>34.2756 * CHOOSE(CONTROL!$C$15, $E$9, 100%, $G$9) + CHOOSE(CONTROL!$C$38, 0.0342, 0)</f>
        <v>34.309799999999996</v>
      </c>
      <c r="D409" s="17">
        <f>34.2678 * CHOOSE(CONTROL!$C$15, $E$9, 100%, $G$9) + CHOOSE(CONTROL!$C$38, 0.0342, 0)</f>
        <v>34.302</v>
      </c>
      <c r="E409" s="17">
        <f>34.2678 * CHOOSE(CONTROL!$C$15, $E$9, 100%, $G$9) + CHOOSE(CONTROL!$C$38, 0.0342, 0)</f>
        <v>34.302</v>
      </c>
      <c r="F409" s="45">
        <f>36.3576 * CHOOSE(CONTROL!$C$15, $E$9, 100%, $G$9) + CHOOSE(CONTROL!$C$38, 0.034, 0)</f>
        <v>36.391599999999997</v>
      </c>
      <c r="G409" s="17">
        <f>34.2741 * CHOOSE(CONTROL!$C$15, $E$9, 100%, $G$9) + CHOOSE(CONTROL!$C$38, 0.0342, 0)</f>
        <v>34.308299999999996</v>
      </c>
      <c r="H409" s="17">
        <f>34.2741 * CHOOSE(CONTROL!$C$15, $E$9, 100%, $G$9) + CHOOSE(CONTROL!$C$38, 0.0342, 0)</f>
        <v>34.308299999999996</v>
      </c>
      <c r="I409" s="17">
        <f>34.2756 * CHOOSE(CONTROL!$C$15, $E$9, 100%, $G$9) + CHOOSE(CONTROL!$C$38, 0.0342, 0)</f>
        <v>34.309799999999996</v>
      </c>
      <c r="J409" s="44">
        <f>225.7436</f>
        <v>225.74359999999999</v>
      </c>
    </row>
    <row r="410" spans="1:10" ht="15.75" x14ac:dyDescent="0.25">
      <c r="A410" s="14">
        <v>53417</v>
      </c>
      <c r="B410" s="17">
        <f>35.5605 * CHOOSE(CONTROL!$C$15, $E$9, 100%, $G$9) + CHOOSE(CONTROL!$C$38, 0.034, 0)</f>
        <v>35.594499999999996</v>
      </c>
      <c r="C410" s="17">
        <f>33.4786 * CHOOSE(CONTROL!$C$15, $E$9, 100%, $G$9) + CHOOSE(CONTROL!$C$38, 0.0342, 0)</f>
        <v>33.512799999999999</v>
      </c>
      <c r="D410" s="17">
        <f>33.4708 * CHOOSE(CONTROL!$C$15, $E$9, 100%, $G$9) + CHOOSE(CONTROL!$C$38, 0.0342, 0)</f>
        <v>33.504999999999995</v>
      </c>
      <c r="E410" s="17">
        <f>33.4708 * CHOOSE(CONTROL!$C$15, $E$9, 100%, $G$9) + CHOOSE(CONTROL!$C$38, 0.0342, 0)</f>
        <v>33.504999999999995</v>
      </c>
      <c r="F410" s="45">
        <f>35.5605 * CHOOSE(CONTROL!$C$15, $E$9, 100%, $G$9) + CHOOSE(CONTROL!$C$38, 0.034, 0)</f>
        <v>35.594499999999996</v>
      </c>
      <c r="G410" s="17">
        <f>33.477 * CHOOSE(CONTROL!$C$15, $E$9, 100%, $G$9) + CHOOSE(CONTROL!$C$38, 0.0342, 0)</f>
        <v>33.511199999999995</v>
      </c>
      <c r="H410" s="17">
        <f>33.477 * CHOOSE(CONTROL!$C$15, $E$9, 100%, $G$9) + CHOOSE(CONTROL!$C$38, 0.0342, 0)</f>
        <v>33.511199999999995</v>
      </c>
      <c r="I410" s="17">
        <f>33.4786 * CHOOSE(CONTROL!$C$15, $E$9, 100%, $G$9) + CHOOSE(CONTROL!$C$38, 0.0342, 0)</f>
        <v>33.512799999999999</v>
      </c>
      <c r="J410" s="44">
        <f>237.6416</f>
        <v>237.64160000000001</v>
      </c>
    </row>
    <row r="411" spans="1:10" ht="15.75" x14ac:dyDescent="0.25">
      <c r="A411" s="14">
        <v>53447</v>
      </c>
      <c r="B411" s="17">
        <f>34.7882 * CHOOSE(CONTROL!$C$15, $E$9, 100%, $G$9) + CHOOSE(CONTROL!$C$38, 0.034, 0)</f>
        <v>34.822200000000002</v>
      </c>
      <c r="C411" s="17">
        <f>32.7063 * CHOOSE(CONTROL!$C$15, $E$9, 100%, $G$9) + CHOOSE(CONTROL!$C$38, 0.0342, 0)</f>
        <v>32.740499999999997</v>
      </c>
      <c r="D411" s="17">
        <f>32.6985 * CHOOSE(CONTROL!$C$15, $E$9, 100%, $G$9) + CHOOSE(CONTROL!$C$38, 0.0342, 0)</f>
        <v>32.732700000000001</v>
      </c>
      <c r="E411" s="17">
        <f>32.6985 * CHOOSE(CONTROL!$C$15, $E$9, 100%, $G$9) + CHOOSE(CONTROL!$C$38, 0.0342, 0)</f>
        <v>32.732700000000001</v>
      </c>
      <c r="F411" s="45">
        <f>34.7882 * CHOOSE(CONTROL!$C$15, $E$9, 100%, $G$9) + CHOOSE(CONTROL!$C$38, 0.034, 0)</f>
        <v>34.822200000000002</v>
      </c>
      <c r="G411" s="17">
        <f>32.7047 * CHOOSE(CONTROL!$C$15, $E$9, 100%, $G$9) + CHOOSE(CONTROL!$C$38, 0.0342, 0)</f>
        <v>32.738900000000001</v>
      </c>
      <c r="H411" s="17">
        <f>32.7047 * CHOOSE(CONTROL!$C$15, $E$9, 100%, $G$9) + CHOOSE(CONTROL!$C$38, 0.0342, 0)</f>
        <v>32.738900000000001</v>
      </c>
      <c r="I411" s="17">
        <f>32.7063 * CHOOSE(CONTROL!$C$15, $E$9, 100%, $G$9) + CHOOSE(CONTROL!$C$38, 0.0342, 0)</f>
        <v>32.740499999999997</v>
      </c>
      <c r="J411" s="44">
        <f>253.0704</f>
        <v>253.07040000000001</v>
      </c>
    </row>
    <row r="412" spans="1:10" ht="15.75" x14ac:dyDescent="0.25">
      <c r="A412" s="14">
        <v>53478</v>
      </c>
      <c r="B412" s="17">
        <f>33.9833 * CHOOSE(CONTROL!$C$15, $E$9, 100%, $G$9) + CHOOSE(CONTROL!$C$38, 0.0353, 0)</f>
        <v>34.018599999999999</v>
      </c>
      <c r="C412" s="17">
        <f>31.9013 * CHOOSE(CONTROL!$C$15, $E$9, 100%, $G$9) + CHOOSE(CONTROL!$C$38, 0.0354, 0)</f>
        <v>31.936699999999998</v>
      </c>
      <c r="D412" s="17">
        <f>31.8935 * CHOOSE(CONTROL!$C$15, $E$9, 100%, $G$9) + CHOOSE(CONTROL!$C$38, 0.0354, 0)</f>
        <v>31.928899999999999</v>
      </c>
      <c r="E412" s="17">
        <f>31.8935 * CHOOSE(CONTROL!$C$15, $E$9, 100%, $G$9) + CHOOSE(CONTROL!$C$38, 0.0354, 0)</f>
        <v>31.928899999999999</v>
      </c>
      <c r="F412" s="45">
        <f>33.9833 * CHOOSE(CONTROL!$C$15, $E$9, 100%, $G$9) + CHOOSE(CONTROL!$C$38, 0.0353, 0)</f>
        <v>34.018599999999999</v>
      </c>
      <c r="G412" s="17">
        <f>31.8998 * CHOOSE(CONTROL!$C$15, $E$9, 100%, $G$9) + CHOOSE(CONTROL!$C$38, 0.0354, 0)</f>
        <v>31.935199999999998</v>
      </c>
      <c r="H412" s="17">
        <f>31.8998 * CHOOSE(CONTROL!$C$15, $E$9, 100%, $G$9) + CHOOSE(CONTROL!$C$38, 0.0354, 0)</f>
        <v>31.935199999999998</v>
      </c>
      <c r="I412" s="17">
        <f>31.9013 * CHOOSE(CONTROL!$C$15, $E$9, 100%, $G$9) + CHOOSE(CONTROL!$C$38, 0.0354, 0)</f>
        <v>31.936699999999998</v>
      </c>
      <c r="J412" s="44">
        <f>261.563</f>
        <v>261.56299999999999</v>
      </c>
    </row>
    <row r="413" spans="1:10" ht="15.75" x14ac:dyDescent="0.25">
      <c r="A413" s="14">
        <v>53508</v>
      </c>
      <c r="B413" s="17">
        <f>33.4189 * CHOOSE(CONTROL!$C$15, $E$9, 100%, $G$9) + CHOOSE(CONTROL!$C$38, 0.0353, 0)</f>
        <v>33.4542</v>
      </c>
      <c r="C413" s="17">
        <f>31.337 * CHOOSE(CONTROL!$C$15, $E$9, 100%, $G$9) + CHOOSE(CONTROL!$C$38, 0.0354, 0)</f>
        <v>31.372399999999999</v>
      </c>
      <c r="D413" s="17">
        <f>31.3292 * CHOOSE(CONTROL!$C$15, $E$9, 100%, $G$9) + CHOOSE(CONTROL!$C$38, 0.0354, 0)</f>
        <v>31.364599999999999</v>
      </c>
      <c r="E413" s="17">
        <f>31.3292 * CHOOSE(CONTROL!$C$15, $E$9, 100%, $G$9) + CHOOSE(CONTROL!$C$38, 0.0354, 0)</f>
        <v>31.364599999999999</v>
      </c>
      <c r="F413" s="45">
        <f>33.4189 * CHOOSE(CONTROL!$C$15, $E$9, 100%, $G$9) + CHOOSE(CONTROL!$C$38, 0.0353, 0)</f>
        <v>33.4542</v>
      </c>
      <c r="G413" s="17">
        <f>31.3354 * CHOOSE(CONTROL!$C$15, $E$9, 100%, $G$9) + CHOOSE(CONTROL!$C$38, 0.0354, 0)</f>
        <v>31.370799999999999</v>
      </c>
      <c r="H413" s="17">
        <f>31.3354 * CHOOSE(CONTROL!$C$15, $E$9, 100%, $G$9) + CHOOSE(CONTROL!$C$38, 0.0354, 0)</f>
        <v>31.370799999999999</v>
      </c>
      <c r="I413" s="17">
        <f>31.337 * CHOOSE(CONTROL!$C$15, $E$9, 100%, $G$9) + CHOOSE(CONTROL!$C$38, 0.0354, 0)</f>
        <v>31.372399999999999</v>
      </c>
      <c r="J413" s="44">
        <f>265.3318</f>
        <v>265.33179999999999</v>
      </c>
    </row>
    <row r="414" spans="1:10" ht="15.75" x14ac:dyDescent="0.25">
      <c r="A414" s="14">
        <v>53539</v>
      </c>
      <c r="B414" s="17">
        <f>33.0969 * CHOOSE(CONTROL!$C$15, $E$9, 100%, $G$9) + CHOOSE(CONTROL!$C$38, 0.0353, 0)</f>
        <v>33.132199999999997</v>
      </c>
      <c r="C414" s="17">
        <f>31.0149 * CHOOSE(CONTROL!$C$15, $E$9, 100%, $G$9) + CHOOSE(CONTROL!$C$38, 0.0354, 0)</f>
        <v>31.0503</v>
      </c>
      <c r="D414" s="17">
        <f>31.0071 * CHOOSE(CONTROL!$C$15, $E$9, 100%, $G$9) + CHOOSE(CONTROL!$C$38, 0.0354, 0)</f>
        <v>31.0425</v>
      </c>
      <c r="E414" s="17">
        <f>31.0071 * CHOOSE(CONTROL!$C$15, $E$9, 100%, $G$9) + CHOOSE(CONTROL!$C$38, 0.0354, 0)</f>
        <v>31.0425</v>
      </c>
      <c r="F414" s="45">
        <f>33.0969 * CHOOSE(CONTROL!$C$15, $E$9, 100%, $G$9) + CHOOSE(CONTROL!$C$38, 0.0353, 0)</f>
        <v>33.132199999999997</v>
      </c>
      <c r="G414" s="17">
        <f>31.0134 * CHOOSE(CONTROL!$C$15, $E$9, 100%, $G$9) + CHOOSE(CONTROL!$C$38, 0.0354, 0)</f>
        <v>31.0488</v>
      </c>
      <c r="H414" s="17">
        <f>31.0134 * CHOOSE(CONTROL!$C$15, $E$9, 100%, $G$9) + CHOOSE(CONTROL!$C$38, 0.0354, 0)</f>
        <v>31.0488</v>
      </c>
      <c r="I414" s="17">
        <f>31.0149 * CHOOSE(CONTROL!$C$15, $E$9, 100%, $G$9) + CHOOSE(CONTROL!$C$38, 0.0354, 0)</f>
        <v>31.0503</v>
      </c>
      <c r="J414" s="44">
        <f>264.0909</f>
        <v>264.09089999999998</v>
      </c>
    </row>
    <row r="415" spans="1:10" ht="15.75" x14ac:dyDescent="0.25">
      <c r="A415" s="14">
        <v>53570</v>
      </c>
      <c r="B415" s="17">
        <f>33.2558 * CHOOSE(CONTROL!$C$15, $E$9, 100%, $G$9) + CHOOSE(CONTROL!$C$38, 0.0353, 0)</f>
        <v>33.2911</v>
      </c>
      <c r="C415" s="17">
        <f>31.1739 * CHOOSE(CONTROL!$C$15, $E$9, 100%, $G$9) + CHOOSE(CONTROL!$C$38, 0.0354, 0)</f>
        <v>31.209299999999999</v>
      </c>
      <c r="D415" s="17">
        <f>31.1661 * CHOOSE(CONTROL!$C$15, $E$9, 100%, $G$9) + CHOOSE(CONTROL!$C$38, 0.0354, 0)</f>
        <v>31.201499999999999</v>
      </c>
      <c r="E415" s="17">
        <f>31.1661 * CHOOSE(CONTROL!$C$15, $E$9, 100%, $G$9) + CHOOSE(CONTROL!$C$38, 0.0354, 0)</f>
        <v>31.201499999999999</v>
      </c>
      <c r="F415" s="45">
        <f>33.2558 * CHOOSE(CONTROL!$C$15, $E$9, 100%, $G$9) + CHOOSE(CONTROL!$C$38, 0.0353, 0)</f>
        <v>33.2911</v>
      </c>
      <c r="G415" s="17">
        <f>31.1723 * CHOOSE(CONTROL!$C$15, $E$9, 100%, $G$9) + CHOOSE(CONTROL!$C$38, 0.0354, 0)</f>
        <v>31.207699999999999</v>
      </c>
      <c r="H415" s="17">
        <f>31.1723 * CHOOSE(CONTROL!$C$15, $E$9, 100%, $G$9) + CHOOSE(CONTROL!$C$38, 0.0354, 0)</f>
        <v>31.207699999999999</v>
      </c>
      <c r="I415" s="17">
        <f>31.1739 * CHOOSE(CONTROL!$C$15, $E$9, 100%, $G$9) + CHOOSE(CONTROL!$C$38, 0.0354, 0)</f>
        <v>31.209299999999999</v>
      </c>
      <c r="J415" s="44">
        <f>257.943</f>
        <v>257.94299999999998</v>
      </c>
    </row>
    <row r="416" spans="1:10" ht="15.75" x14ac:dyDescent="0.25">
      <c r="A416" s="14">
        <v>53600</v>
      </c>
      <c r="B416" s="17">
        <f>33.6875 * CHOOSE(CONTROL!$C$15, $E$9, 100%, $G$9) + CHOOSE(CONTROL!$C$38, 0.0353, 0)</f>
        <v>33.722799999999999</v>
      </c>
      <c r="C416" s="17">
        <f>31.6056 * CHOOSE(CONTROL!$C$15, $E$9, 100%, $G$9) + CHOOSE(CONTROL!$C$38, 0.0354, 0)</f>
        <v>31.640999999999998</v>
      </c>
      <c r="D416" s="17">
        <f>31.5978 * CHOOSE(CONTROL!$C$15, $E$9, 100%, $G$9) + CHOOSE(CONTROL!$C$38, 0.0354, 0)</f>
        <v>31.633199999999999</v>
      </c>
      <c r="E416" s="17">
        <f>31.5978 * CHOOSE(CONTROL!$C$15, $E$9, 100%, $G$9) + CHOOSE(CONTROL!$C$38, 0.0354, 0)</f>
        <v>31.633199999999999</v>
      </c>
      <c r="F416" s="45">
        <f>33.6875 * CHOOSE(CONTROL!$C$15, $E$9, 100%, $G$9) + CHOOSE(CONTROL!$C$38, 0.0353, 0)</f>
        <v>33.722799999999999</v>
      </c>
      <c r="G416" s="17">
        <f>31.604 * CHOOSE(CONTROL!$C$15, $E$9, 100%, $G$9) + CHOOSE(CONTROL!$C$38, 0.0354, 0)</f>
        <v>31.639399999999998</v>
      </c>
      <c r="H416" s="17">
        <f>31.604 * CHOOSE(CONTROL!$C$15, $E$9, 100%, $G$9) + CHOOSE(CONTROL!$C$38, 0.0354, 0)</f>
        <v>31.639399999999998</v>
      </c>
      <c r="I416" s="17">
        <f>31.6056 * CHOOSE(CONTROL!$C$15, $E$9, 100%, $G$9) + CHOOSE(CONTROL!$C$38, 0.0354, 0)</f>
        <v>31.640999999999998</v>
      </c>
      <c r="J416" s="44">
        <f>249.3694</f>
        <v>249.36940000000001</v>
      </c>
    </row>
    <row r="417" spans="1:10" ht="15.75" x14ac:dyDescent="0.25">
      <c r="A417" s="14">
        <v>53631</v>
      </c>
      <c r="B417" s="17">
        <f>34.0491 * CHOOSE(CONTROL!$C$15, $E$9, 100%, $G$9) + CHOOSE(CONTROL!$C$38, 0.034, 0)</f>
        <v>34.083100000000002</v>
      </c>
      <c r="C417" s="17">
        <f>31.9672 * CHOOSE(CONTROL!$C$15, $E$9, 100%, $G$9) + CHOOSE(CONTROL!$C$38, 0.0342, 0)</f>
        <v>32.001399999999997</v>
      </c>
      <c r="D417" s="17">
        <f>31.9593 * CHOOSE(CONTROL!$C$15, $E$9, 100%, $G$9) + CHOOSE(CONTROL!$C$38, 0.0342, 0)</f>
        <v>31.993499999999997</v>
      </c>
      <c r="E417" s="17">
        <f>31.9593 * CHOOSE(CONTROL!$C$15, $E$9, 100%, $G$9) + CHOOSE(CONTROL!$C$38, 0.0342, 0)</f>
        <v>31.993499999999997</v>
      </c>
      <c r="F417" s="45">
        <f>34.0491 * CHOOSE(CONTROL!$C$15, $E$9, 100%, $G$9) + CHOOSE(CONTROL!$C$38, 0.034, 0)</f>
        <v>34.083100000000002</v>
      </c>
      <c r="G417" s="17">
        <f>31.9656 * CHOOSE(CONTROL!$C$15, $E$9, 100%, $G$9) + CHOOSE(CONTROL!$C$38, 0.0342, 0)</f>
        <v>31.999799999999997</v>
      </c>
      <c r="H417" s="17">
        <f>31.9656 * CHOOSE(CONTROL!$C$15, $E$9, 100%, $G$9) + CHOOSE(CONTROL!$C$38, 0.0342, 0)</f>
        <v>31.999799999999997</v>
      </c>
      <c r="I417" s="17">
        <f>31.9672 * CHOOSE(CONTROL!$C$15, $E$9, 100%, $G$9) + CHOOSE(CONTROL!$C$38, 0.0342, 0)</f>
        <v>32.001399999999997</v>
      </c>
      <c r="J417" s="44">
        <f>240.746</f>
        <v>240.74600000000001</v>
      </c>
    </row>
    <row r="418" spans="1:10" ht="15.75" x14ac:dyDescent="0.25">
      <c r="A418" s="14">
        <v>53661</v>
      </c>
      <c r="B418" s="17">
        <f>34.3508 * CHOOSE(CONTROL!$C$15, $E$9, 100%, $G$9) + CHOOSE(CONTROL!$C$38, 0.034, 0)</f>
        <v>34.384799999999998</v>
      </c>
      <c r="C418" s="17">
        <f>32.2689 * CHOOSE(CONTROL!$C$15, $E$9, 100%, $G$9) + CHOOSE(CONTROL!$C$38, 0.0342, 0)</f>
        <v>32.303100000000001</v>
      </c>
      <c r="D418" s="17">
        <f>32.261 * CHOOSE(CONTROL!$C$15, $E$9, 100%, $G$9) + CHOOSE(CONTROL!$C$38, 0.0342, 0)</f>
        <v>32.295200000000001</v>
      </c>
      <c r="E418" s="17">
        <f>32.261 * CHOOSE(CONTROL!$C$15, $E$9, 100%, $G$9) + CHOOSE(CONTROL!$C$38, 0.0342, 0)</f>
        <v>32.295200000000001</v>
      </c>
      <c r="F418" s="45">
        <f>34.3508 * CHOOSE(CONTROL!$C$15, $E$9, 100%, $G$9) + CHOOSE(CONTROL!$C$38, 0.034, 0)</f>
        <v>34.384799999999998</v>
      </c>
      <c r="G418" s="17">
        <f>32.2673 * CHOOSE(CONTROL!$C$15, $E$9, 100%, $G$9) + CHOOSE(CONTROL!$C$38, 0.0342, 0)</f>
        <v>32.301499999999997</v>
      </c>
      <c r="H418" s="17">
        <f>32.2673 * CHOOSE(CONTROL!$C$15, $E$9, 100%, $G$9) + CHOOSE(CONTROL!$C$38, 0.0342, 0)</f>
        <v>32.301499999999997</v>
      </c>
      <c r="I418" s="17">
        <f>32.2689 * CHOOSE(CONTROL!$C$15, $E$9, 100%, $G$9) + CHOOSE(CONTROL!$C$38, 0.0342, 0)</f>
        <v>32.303100000000001</v>
      </c>
      <c r="J418" s="44">
        <f>239.0306</f>
        <v>239.03059999999999</v>
      </c>
    </row>
    <row r="419" spans="1:10" ht="15.75" x14ac:dyDescent="0.25">
      <c r="A419" s="14">
        <v>53692</v>
      </c>
      <c r="B419" s="17">
        <f>35.2805 * CHOOSE(CONTROL!$C$15, $E$9, 100%, $G$9) + CHOOSE(CONTROL!$C$38, 0.034, 0)</f>
        <v>35.314500000000002</v>
      </c>
      <c r="C419" s="17">
        <f>33.1985 * CHOOSE(CONTROL!$C$15, $E$9, 100%, $G$9) + CHOOSE(CONTROL!$C$38, 0.0342, 0)</f>
        <v>33.232700000000001</v>
      </c>
      <c r="D419" s="17">
        <f>33.1907 * CHOOSE(CONTROL!$C$15, $E$9, 100%, $G$9) + CHOOSE(CONTROL!$C$38, 0.0342, 0)</f>
        <v>33.224899999999998</v>
      </c>
      <c r="E419" s="17">
        <f>33.1907 * CHOOSE(CONTROL!$C$15, $E$9, 100%, $G$9) + CHOOSE(CONTROL!$C$38, 0.0342, 0)</f>
        <v>33.224899999999998</v>
      </c>
      <c r="F419" s="45">
        <f>35.2805 * CHOOSE(CONTROL!$C$15, $E$9, 100%, $G$9) + CHOOSE(CONTROL!$C$38, 0.034, 0)</f>
        <v>35.314500000000002</v>
      </c>
      <c r="G419" s="17">
        <f>33.197 * CHOOSE(CONTROL!$C$15, $E$9, 100%, $G$9) + CHOOSE(CONTROL!$C$38, 0.0342, 0)</f>
        <v>33.231200000000001</v>
      </c>
      <c r="H419" s="17">
        <f>33.197 * CHOOSE(CONTROL!$C$15, $E$9, 100%, $G$9) + CHOOSE(CONTROL!$C$38, 0.0342, 0)</f>
        <v>33.231200000000001</v>
      </c>
      <c r="I419" s="17">
        <f>33.1985 * CHOOSE(CONTROL!$C$15, $E$9, 100%, $G$9) + CHOOSE(CONTROL!$C$38, 0.0342, 0)</f>
        <v>33.232700000000001</v>
      </c>
      <c r="J419" s="44">
        <f>231.9374</f>
        <v>231.9374</v>
      </c>
    </row>
    <row r="420" spans="1:10" ht="15.75" x14ac:dyDescent="0.25">
      <c r="A420" s="14">
        <v>53723</v>
      </c>
      <c r="B420" s="17">
        <f>36.5823 * CHOOSE(CONTROL!$C$15, $E$9, 100%, $G$9) + CHOOSE(CONTROL!$C$38, 0.034, 0)</f>
        <v>36.616299999999995</v>
      </c>
      <c r="C420" s="17">
        <f>34.468 * CHOOSE(CONTROL!$C$15, $E$9, 100%, $G$9) + CHOOSE(CONTROL!$C$38, 0.0342, 0)</f>
        <v>34.502200000000002</v>
      </c>
      <c r="D420" s="17">
        <f>34.4602 * CHOOSE(CONTROL!$C$15, $E$9, 100%, $G$9) + CHOOSE(CONTROL!$C$38, 0.0342, 0)</f>
        <v>34.494399999999999</v>
      </c>
      <c r="E420" s="17">
        <f>34.4602 * CHOOSE(CONTROL!$C$15, $E$9, 100%, $G$9) + CHOOSE(CONTROL!$C$38, 0.0342, 0)</f>
        <v>34.494399999999999</v>
      </c>
      <c r="F420" s="45">
        <f>36.5823 * CHOOSE(CONTROL!$C$15, $E$9, 100%, $G$9) + CHOOSE(CONTROL!$C$38, 0.034, 0)</f>
        <v>36.616299999999995</v>
      </c>
      <c r="G420" s="17">
        <f>34.4664 * CHOOSE(CONTROL!$C$15, $E$9, 100%, $G$9) + CHOOSE(CONTROL!$C$38, 0.0342, 0)</f>
        <v>34.500599999999999</v>
      </c>
      <c r="H420" s="17">
        <f>34.4664 * CHOOSE(CONTROL!$C$15, $E$9, 100%, $G$9) + CHOOSE(CONTROL!$C$38, 0.0342, 0)</f>
        <v>34.500599999999999</v>
      </c>
      <c r="I420" s="17">
        <f>34.468 * CHOOSE(CONTROL!$C$15, $E$9, 100%, $G$9) + CHOOSE(CONTROL!$C$38, 0.0342, 0)</f>
        <v>34.502200000000002</v>
      </c>
      <c r="J420" s="44">
        <f>231.7699</f>
        <v>231.76990000000001</v>
      </c>
    </row>
    <row r="421" spans="1:10" ht="15.75" x14ac:dyDescent="0.25">
      <c r="A421" s="14">
        <v>53751</v>
      </c>
      <c r="B421" s="17">
        <f>36.9266 * CHOOSE(CONTROL!$C$15, $E$9, 100%, $G$9) + CHOOSE(CONTROL!$C$38, 0.034, 0)</f>
        <v>36.960599999999999</v>
      </c>
      <c r="C421" s="17">
        <f>34.8123 * CHOOSE(CONTROL!$C$15, $E$9, 100%, $G$9) + CHOOSE(CONTROL!$C$38, 0.0342, 0)</f>
        <v>34.846499999999999</v>
      </c>
      <c r="D421" s="17">
        <f>34.8045 * CHOOSE(CONTROL!$C$15, $E$9, 100%, $G$9) + CHOOSE(CONTROL!$C$38, 0.0342, 0)</f>
        <v>34.838699999999996</v>
      </c>
      <c r="E421" s="17">
        <f>34.8045 * CHOOSE(CONTROL!$C$15, $E$9, 100%, $G$9) + CHOOSE(CONTROL!$C$38, 0.0342, 0)</f>
        <v>34.838699999999996</v>
      </c>
      <c r="F421" s="45">
        <f>36.9266 * CHOOSE(CONTROL!$C$15, $E$9, 100%, $G$9) + CHOOSE(CONTROL!$C$38, 0.034, 0)</f>
        <v>36.960599999999999</v>
      </c>
      <c r="G421" s="17">
        <f>34.8107 * CHOOSE(CONTROL!$C$15, $E$9, 100%, $G$9) + CHOOSE(CONTROL!$C$38, 0.0342, 0)</f>
        <v>34.844899999999996</v>
      </c>
      <c r="H421" s="17">
        <f>34.8107 * CHOOSE(CONTROL!$C$15, $E$9, 100%, $G$9) + CHOOSE(CONTROL!$C$38, 0.0342, 0)</f>
        <v>34.844899999999996</v>
      </c>
      <c r="I421" s="17">
        <f>34.8123 * CHOOSE(CONTROL!$C$15, $E$9, 100%, $G$9) + CHOOSE(CONTROL!$C$38, 0.0342, 0)</f>
        <v>34.846499999999999</v>
      </c>
      <c r="J421" s="44">
        <f>231.1257</f>
        <v>231.12569999999999</v>
      </c>
    </row>
    <row r="422" spans="1:10" ht="15.75" x14ac:dyDescent="0.25">
      <c r="A422" s="14">
        <v>53782</v>
      </c>
      <c r="B422" s="17">
        <f>36.1295 * CHOOSE(CONTROL!$C$15, $E$9, 100%, $G$9) + CHOOSE(CONTROL!$C$38, 0.034, 0)</f>
        <v>36.163499999999999</v>
      </c>
      <c r="C422" s="17">
        <f>34.0153 * CHOOSE(CONTROL!$C$15, $E$9, 100%, $G$9) + CHOOSE(CONTROL!$C$38, 0.0342, 0)</f>
        <v>34.049500000000002</v>
      </c>
      <c r="D422" s="17">
        <f>34.0074 * CHOOSE(CONTROL!$C$15, $E$9, 100%, $G$9) + CHOOSE(CONTROL!$C$38, 0.0342, 0)</f>
        <v>34.041599999999995</v>
      </c>
      <c r="E422" s="17">
        <f>34.0074 * CHOOSE(CONTROL!$C$15, $E$9, 100%, $G$9) + CHOOSE(CONTROL!$C$38, 0.0342, 0)</f>
        <v>34.041599999999995</v>
      </c>
      <c r="F422" s="45">
        <f>36.1295 * CHOOSE(CONTROL!$C$15, $E$9, 100%, $G$9) + CHOOSE(CONTROL!$C$38, 0.034, 0)</f>
        <v>36.163499999999999</v>
      </c>
      <c r="G422" s="17">
        <f>34.0137 * CHOOSE(CONTROL!$C$15, $E$9, 100%, $G$9) + CHOOSE(CONTROL!$C$38, 0.0342, 0)</f>
        <v>34.047899999999998</v>
      </c>
      <c r="H422" s="17">
        <f>34.0137 * CHOOSE(CONTROL!$C$15, $E$9, 100%, $G$9) + CHOOSE(CONTROL!$C$38, 0.0342, 0)</f>
        <v>34.047899999999998</v>
      </c>
      <c r="I422" s="17">
        <f>34.0153 * CHOOSE(CONTROL!$C$15, $E$9, 100%, $G$9) + CHOOSE(CONTROL!$C$38, 0.0342, 0)</f>
        <v>34.049500000000002</v>
      </c>
      <c r="J422" s="44">
        <f>243.3073</f>
        <v>243.3073</v>
      </c>
    </row>
    <row r="423" spans="1:10" ht="15.75" x14ac:dyDescent="0.25">
      <c r="A423" s="14">
        <v>53812</v>
      </c>
      <c r="B423" s="17">
        <f>35.3572 * CHOOSE(CONTROL!$C$15, $E$9, 100%, $G$9) + CHOOSE(CONTROL!$C$38, 0.034, 0)</f>
        <v>35.391199999999998</v>
      </c>
      <c r="C423" s="17">
        <f>33.2429 * CHOOSE(CONTROL!$C$15, $E$9, 100%, $G$9) + CHOOSE(CONTROL!$C$38, 0.0342, 0)</f>
        <v>33.277099999999997</v>
      </c>
      <c r="D423" s="17">
        <f>33.2351 * CHOOSE(CONTROL!$C$15, $E$9, 100%, $G$9) + CHOOSE(CONTROL!$C$38, 0.0342, 0)</f>
        <v>33.269300000000001</v>
      </c>
      <c r="E423" s="17">
        <f>33.2351 * CHOOSE(CONTROL!$C$15, $E$9, 100%, $G$9) + CHOOSE(CONTROL!$C$38, 0.0342, 0)</f>
        <v>33.269300000000001</v>
      </c>
      <c r="F423" s="45">
        <f>35.3572 * CHOOSE(CONTROL!$C$15, $E$9, 100%, $G$9) + CHOOSE(CONTROL!$C$38, 0.034, 0)</f>
        <v>35.391199999999998</v>
      </c>
      <c r="G423" s="17">
        <f>33.2414 * CHOOSE(CONTROL!$C$15, $E$9, 100%, $G$9) + CHOOSE(CONTROL!$C$38, 0.0342, 0)</f>
        <v>33.275599999999997</v>
      </c>
      <c r="H423" s="17">
        <f>33.2414 * CHOOSE(CONTROL!$C$15, $E$9, 100%, $G$9) + CHOOSE(CONTROL!$C$38, 0.0342, 0)</f>
        <v>33.275599999999997</v>
      </c>
      <c r="I423" s="17">
        <f>33.2429 * CHOOSE(CONTROL!$C$15, $E$9, 100%, $G$9) + CHOOSE(CONTROL!$C$38, 0.0342, 0)</f>
        <v>33.277099999999997</v>
      </c>
      <c r="J423" s="44">
        <f>259.104</f>
        <v>259.10399999999998</v>
      </c>
    </row>
    <row r="424" spans="1:10" ht="15.75" x14ac:dyDescent="0.25">
      <c r="A424" s="14">
        <v>53843</v>
      </c>
      <c r="B424" s="17">
        <f>34.5523 * CHOOSE(CONTROL!$C$15, $E$9, 100%, $G$9) + CHOOSE(CONTROL!$C$38, 0.0353, 0)</f>
        <v>34.587600000000002</v>
      </c>
      <c r="C424" s="17">
        <f>32.438 * CHOOSE(CONTROL!$C$15, $E$9, 100%, $G$9) + CHOOSE(CONTROL!$C$38, 0.0354, 0)</f>
        <v>32.473400000000005</v>
      </c>
      <c r="D424" s="17">
        <f>32.4302 * CHOOSE(CONTROL!$C$15, $E$9, 100%, $G$9) + CHOOSE(CONTROL!$C$38, 0.0354, 0)</f>
        <v>32.465600000000002</v>
      </c>
      <c r="E424" s="17">
        <f>32.4302 * CHOOSE(CONTROL!$C$15, $E$9, 100%, $G$9) + CHOOSE(CONTROL!$C$38, 0.0354, 0)</f>
        <v>32.465600000000002</v>
      </c>
      <c r="F424" s="45">
        <f>34.5523 * CHOOSE(CONTROL!$C$15, $E$9, 100%, $G$9) + CHOOSE(CONTROL!$C$38, 0.0353, 0)</f>
        <v>34.587600000000002</v>
      </c>
      <c r="G424" s="17">
        <f>32.4364 * CHOOSE(CONTROL!$C$15, $E$9, 100%, $G$9) + CHOOSE(CONTROL!$C$38, 0.0354, 0)</f>
        <v>32.471800000000002</v>
      </c>
      <c r="H424" s="17">
        <f>32.4364 * CHOOSE(CONTROL!$C$15, $E$9, 100%, $G$9) + CHOOSE(CONTROL!$C$38, 0.0354, 0)</f>
        <v>32.471800000000002</v>
      </c>
      <c r="I424" s="17">
        <f>32.438 * CHOOSE(CONTROL!$C$15, $E$9, 100%, $G$9) + CHOOSE(CONTROL!$C$38, 0.0354, 0)</f>
        <v>32.473400000000005</v>
      </c>
      <c r="J424" s="44">
        <f>267.799</f>
        <v>267.79899999999998</v>
      </c>
    </row>
    <row r="425" spans="1:10" ht="15.75" x14ac:dyDescent="0.25">
      <c r="A425" s="14">
        <v>53873</v>
      </c>
      <c r="B425" s="17">
        <f>33.9879 * CHOOSE(CONTROL!$C$15, $E$9, 100%, $G$9) + CHOOSE(CONTROL!$C$38, 0.0353, 0)</f>
        <v>34.023200000000003</v>
      </c>
      <c r="C425" s="17">
        <f>31.8736 * CHOOSE(CONTROL!$C$15, $E$9, 100%, $G$9) + CHOOSE(CONTROL!$C$38, 0.0354, 0)</f>
        <v>31.908999999999999</v>
      </c>
      <c r="D425" s="17">
        <f>31.8658 * CHOOSE(CONTROL!$C$15, $E$9, 100%, $G$9) + CHOOSE(CONTROL!$C$38, 0.0354, 0)</f>
        <v>31.901199999999999</v>
      </c>
      <c r="E425" s="17">
        <f>31.8658 * CHOOSE(CONTROL!$C$15, $E$9, 100%, $G$9) + CHOOSE(CONTROL!$C$38, 0.0354, 0)</f>
        <v>31.901199999999999</v>
      </c>
      <c r="F425" s="45">
        <f>33.9879 * CHOOSE(CONTROL!$C$15, $E$9, 100%, $G$9) + CHOOSE(CONTROL!$C$38, 0.0353, 0)</f>
        <v>34.023200000000003</v>
      </c>
      <c r="G425" s="17">
        <f>31.8721 * CHOOSE(CONTROL!$C$15, $E$9, 100%, $G$9) + CHOOSE(CONTROL!$C$38, 0.0354, 0)</f>
        <v>31.907499999999999</v>
      </c>
      <c r="H425" s="17">
        <f>31.8721 * CHOOSE(CONTROL!$C$15, $E$9, 100%, $G$9) + CHOOSE(CONTROL!$C$38, 0.0354, 0)</f>
        <v>31.907499999999999</v>
      </c>
      <c r="I425" s="17">
        <f>31.8736 * CHOOSE(CONTROL!$C$15, $E$9, 100%, $G$9) + CHOOSE(CONTROL!$C$38, 0.0354, 0)</f>
        <v>31.908999999999999</v>
      </c>
      <c r="J425" s="44">
        <f>271.6577</f>
        <v>271.65769999999998</v>
      </c>
    </row>
    <row r="426" spans="1:10" ht="15.75" x14ac:dyDescent="0.25">
      <c r="A426" s="14">
        <v>53904</v>
      </c>
      <c r="B426" s="17">
        <f>33.6659 * CHOOSE(CONTROL!$C$15, $E$9, 100%, $G$9) + CHOOSE(CONTROL!$C$38, 0.0353, 0)</f>
        <v>33.7012</v>
      </c>
      <c r="C426" s="17">
        <f>31.5516 * CHOOSE(CONTROL!$C$15, $E$9, 100%, $G$9) + CHOOSE(CONTROL!$C$38, 0.0354, 0)</f>
        <v>31.587</v>
      </c>
      <c r="D426" s="17">
        <f>31.5438 * CHOOSE(CONTROL!$C$15, $E$9, 100%, $G$9) + CHOOSE(CONTROL!$C$38, 0.0354, 0)</f>
        <v>31.5792</v>
      </c>
      <c r="E426" s="17">
        <f>31.5438 * CHOOSE(CONTROL!$C$15, $E$9, 100%, $G$9) + CHOOSE(CONTROL!$C$38, 0.0354, 0)</f>
        <v>31.5792</v>
      </c>
      <c r="F426" s="45">
        <f>33.6659 * CHOOSE(CONTROL!$C$15, $E$9, 100%, $G$9) + CHOOSE(CONTROL!$C$38, 0.0353, 0)</f>
        <v>33.7012</v>
      </c>
      <c r="G426" s="17">
        <f>31.55 * CHOOSE(CONTROL!$C$15, $E$9, 100%, $G$9) + CHOOSE(CONTROL!$C$38, 0.0354, 0)</f>
        <v>31.5854</v>
      </c>
      <c r="H426" s="17">
        <f>31.55 * CHOOSE(CONTROL!$C$15, $E$9, 100%, $G$9) + CHOOSE(CONTROL!$C$38, 0.0354, 0)</f>
        <v>31.5854</v>
      </c>
      <c r="I426" s="17">
        <f>31.5516 * CHOOSE(CONTROL!$C$15, $E$9, 100%, $G$9) + CHOOSE(CONTROL!$C$38, 0.0354, 0)</f>
        <v>31.587</v>
      </c>
      <c r="J426" s="44">
        <f>270.3873</f>
        <v>270.38729999999998</v>
      </c>
    </row>
    <row r="427" spans="1:10" ht="15.75" x14ac:dyDescent="0.25">
      <c r="A427" s="14">
        <v>53935</v>
      </c>
      <c r="B427" s="17">
        <f>33.8248 * CHOOSE(CONTROL!$C$15, $E$9, 100%, $G$9) + CHOOSE(CONTROL!$C$38, 0.0353, 0)</f>
        <v>33.860100000000003</v>
      </c>
      <c r="C427" s="17">
        <f>31.7105 * CHOOSE(CONTROL!$C$15, $E$9, 100%, $G$9) + CHOOSE(CONTROL!$C$38, 0.0354, 0)</f>
        <v>31.745899999999999</v>
      </c>
      <c r="D427" s="17">
        <f>31.7027 * CHOOSE(CONTROL!$C$15, $E$9, 100%, $G$9) + CHOOSE(CONTROL!$C$38, 0.0354, 0)</f>
        <v>31.738099999999999</v>
      </c>
      <c r="E427" s="17">
        <f>31.7027 * CHOOSE(CONTROL!$C$15, $E$9, 100%, $G$9) + CHOOSE(CONTROL!$C$38, 0.0354, 0)</f>
        <v>31.738099999999999</v>
      </c>
      <c r="F427" s="45">
        <f>33.8248 * CHOOSE(CONTROL!$C$15, $E$9, 100%, $G$9) + CHOOSE(CONTROL!$C$38, 0.0353, 0)</f>
        <v>33.860100000000003</v>
      </c>
      <c r="G427" s="17">
        <f>31.709 * CHOOSE(CONTROL!$C$15, $E$9, 100%, $G$9) + CHOOSE(CONTROL!$C$38, 0.0354, 0)</f>
        <v>31.744399999999999</v>
      </c>
      <c r="H427" s="17">
        <f>31.709 * CHOOSE(CONTROL!$C$15, $E$9, 100%, $G$9) + CHOOSE(CONTROL!$C$38, 0.0354, 0)</f>
        <v>31.744399999999999</v>
      </c>
      <c r="I427" s="17">
        <f>31.7105 * CHOOSE(CONTROL!$C$15, $E$9, 100%, $G$9) + CHOOSE(CONTROL!$C$38, 0.0354, 0)</f>
        <v>31.745899999999999</v>
      </c>
      <c r="J427" s="44">
        <f>264.0928</f>
        <v>264.09280000000001</v>
      </c>
    </row>
    <row r="428" spans="1:10" ht="15.75" x14ac:dyDescent="0.25">
      <c r="A428" s="14">
        <v>53965</v>
      </c>
      <c r="B428" s="17">
        <f>34.2565 * CHOOSE(CONTROL!$C$15, $E$9, 100%, $G$9) + CHOOSE(CONTROL!$C$38, 0.0353, 0)</f>
        <v>34.291800000000002</v>
      </c>
      <c r="C428" s="17">
        <f>32.1422 * CHOOSE(CONTROL!$C$15, $E$9, 100%, $G$9) + CHOOSE(CONTROL!$C$38, 0.0354, 0)</f>
        <v>32.177600000000005</v>
      </c>
      <c r="D428" s="17">
        <f>32.1344 * CHOOSE(CONTROL!$C$15, $E$9, 100%, $G$9) + CHOOSE(CONTROL!$C$38, 0.0354, 0)</f>
        <v>32.169800000000002</v>
      </c>
      <c r="E428" s="17">
        <f>32.1344 * CHOOSE(CONTROL!$C$15, $E$9, 100%, $G$9) + CHOOSE(CONTROL!$C$38, 0.0354, 0)</f>
        <v>32.169800000000002</v>
      </c>
      <c r="F428" s="45">
        <f>34.2565 * CHOOSE(CONTROL!$C$15, $E$9, 100%, $G$9) + CHOOSE(CONTROL!$C$38, 0.0353, 0)</f>
        <v>34.291800000000002</v>
      </c>
      <c r="G428" s="17">
        <f>32.1407 * CHOOSE(CONTROL!$C$15, $E$9, 100%, $G$9) + CHOOSE(CONTROL!$C$38, 0.0354, 0)</f>
        <v>32.176100000000005</v>
      </c>
      <c r="H428" s="17">
        <f>32.1407 * CHOOSE(CONTROL!$C$15, $E$9, 100%, $G$9) + CHOOSE(CONTROL!$C$38, 0.0354, 0)</f>
        <v>32.176100000000005</v>
      </c>
      <c r="I428" s="17">
        <f>32.1422 * CHOOSE(CONTROL!$C$15, $E$9, 100%, $G$9) + CHOOSE(CONTROL!$C$38, 0.0354, 0)</f>
        <v>32.177600000000005</v>
      </c>
      <c r="J428" s="44">
        <f>255.3148</f>
        <v>255.31479999999999</v>
      </c>
    </row>
    <row r="429" spans="1:10" ht="15.75" x14ac:dyDescent="0.25">
      <c r="A429" s="14">
        <v>53996</v>
      </c>
      <c r="B429" s="17">
        <f>34.6181 * CHOOSE(CONTROL!$C$15, $E$9, 100%, $G$9) + CHOOSE(CONTROL!$C$38, 0.034, 0)</f>
        <v>34.652099999999997</v>
      </c>
      <c r="C429" s="17">
        <f>32.5038 * CHOOSE(CONTROL!$C$15, $E$9, 100%, $G$9) + CHOOSE(CONTROL!$C$38, 0.0342, 0)</f>
        <v>32.537999999999997</v>
      </c>
      <c r="D429" s="17">
        <f>32.496 * CHOOSE(CONTROL!$C$15, $E$9, 100%, $G$9) + CHOOSE(CONTROL!$C$38, 0.0342, 0)</f>
        <v>32.530200000000001</v>
      </c>
      <c r="E429" s="17">
        <f>32.496 * CHOOSE(CONTROL!$C$15, $E$9, 100%, $G$9) + CHOOSE(CONTROL!$C$38, 0.0342, 0)</f>
        <v>32.530200000000001</v>
      </c>
      <c r="F429" s="45">
        <f>34.6181 * CHOOSE(CONTROL!$C$15, $E$9, 100%, $G$9) + CHOOSE(CONTROL!$C$38, 0.034, 0)</f>
        <v>34.652099999999997</v>
      </c>
      <c r="G429" s="17">
        <f>32.5022 * CHOOSE(CONTROL!$C$15, $E$9, 100%, $G$9) + CHOOSE(CONTROL!$C$38, 0.0342, 0)</f>
        <v>32.5364</v>
      </c>
      <c r="H429" s="17">
        <f>32.5022 * CHOOSE(CONTROL!$C$15, $E$9, 100%, $G$9) + CHOOSE(CONTROL!$C$38, 0.0342, 0)</f>
        <v>32.5364</v>
      </c>
      <c r="I429" s="17">
        <f>32.5038 * CHOOSE(CONTROL!$C$15, $E$9, 100%, $G$9) + CHOOSE(CONTROL!$C$38, 0.0342, 0)</f>
        <v>32.537999999999997</v>
      </c>
      <c r="J429" s="44">
        <f>246.4857</f>
        <v>246.48570000000001</v>
      </c>
    </row>
    <row r="430" spans="1:10" ht="15.75" x14ac:dyDescent="0.25">
      <c r="A430" s="14">
        <v>54026</v>
      </c>
      <c r="B430" s="17">
        <f>34.9198 * CHOOSE(CONTROL!$C$15, $E$9, 100%, $G$9) + CHOOSE(CONTROL!$C$38, 0.034, 0)</f>
        <v>34.953800000000001</v>
      </c>
      <c r="C430" s="17">
        <f>32.8055 * CHOOSE(CONTROL!$C$15, $E$9, 100%, $G$9) + CHOOSE(CONTROL!$C$38, 0.0342, 0)</f>
        <v>32.839700000000001</v>
      </c>
      <c r="D430" s="17">
        <f>32.7977 * CHOOSE(CONTROL!$C$15, $E$9, 100%, $G$9) + CHOOSE(CONTROL!$C$38, 0.0342, 0)</f>
        <v>32.831899999999997</v>
      </c>
      <c r="E430" s="17">
        <f>32.7977 * CHOOSE(CONTROL!$C$15, $E$9, 100%, $G$9) + CHOOSE(CONTROL!$C$38, 0.0342, 0)</f>
        <v>32.831899999999997</v>
      </c>
      <c r="F430" s="45">
        <f>34.9198 * CHOOSE(CONTROL!$C$15, $E$9, 100%, $G$9) + CHOOSE(CONTROL!$C$38, 0.034, 0)</f>
        <v>34.953800000000001</v>
      </c>
      <c r="G430" s="17">
        <f>32.8039 * CHOOSE(CONTROL!$C$15, $E$9, 100%, $G$9) + CHOOSE(CONTROL!$C$38, 0.0342, 0)</f>
        <v>32.838099999999997</v>
      </c>
      <c r="H430" s="17">
        <f>32.8039 * CHOOSE(CONTROL!$C$15, $E$9, 100%, $G$9) + CHOOSE(CONTROL!$C$38, 0.0342, 0)</f>
        <v>32.838099999999997</v>
      </c>
      <c r="I430" s="17">
        <f>32.8055 * CHOOSE(CONTROL!$C$15, $E$9, 100%, $G$9) + CHOOSE(CONTROL!$C$38, 0.0342, 0)</f>
        <v>32.839700000000001</v>
      </c>
      <c r="J430" s="44">
        <f>244.7295</f>
        <v>244.7295</v>
      </c>
    </row>
    <row r="431" spans="1:10" ht="15.75" x14ac:dyDescent="0.25">
      <c r="A431" s="14">
        <v>54057</v>
      </c>
      <c r="B431" s="17">
        <f>35.8495 * CHOOSE(CONTROL!$C$15, $E$9, 100%, $G$9) + CHOOSE(CONTROL!$C$38, 0.034, 0)</f>
        <v>35.883499999999998</v>
      </c>
      <c r="C431" s="17">
        <f>33.7352 * CHOOSE(CONTROL!$C$15, $E$9, 100%, $G$9) + CHOOSE(CONTROL!$C$38, 0.0342, 0)</f>
        <v>33.769399999999997</v>
      </c>
      <c r="D431" s="17">
        <f>33.7274 * CHOOSE(CONTROL!$C$15, $E$9, 100%, $G$9) + CHOOSE(CONTROL!$C$38, 0.0342, 0)</f>
        <v>33.761600000000001</v>
      </c>
      <c r="E431" s="17">
        <f>33.7274 * CHOOSE(CONTROL!$C$15, $E$9, 100%, $G$9) + CHOOSE(CONTROL!$C$38, 0.0342, 0)</f>
        <v>33.761600000000001</v>
      </c>
      <c r="F431" s="45">
        <f>35.8495 * CHOOSE(CONTROL!$C$15, $E$9, 100%, $G$9) + CHOOSE(CONTROL!$C$38, 0.034, 0)</f>
        <v>35.883499999999998</v>
      </c>
      <c r="G431" s="17">
        <f>33.7336 * CHOOSE(CONTROL!$C$15, $E$9, 100%, $G$9) + CHOOSE(CONTROL!$C$38, 0.0342, 0)</f>
        <v>33.767800000000001</v>
      </c>
      <c r="H431" s="17">
        <f>33.7336 * CHOOSE(CONTROL!$C$15, $E$9, 100%, $G$9) + CHOOSE(CONTROL!$C$38, 0.0342, 0)</f>
        <v>33.767800000000001</v>
      </c>
      <c r="I431" s="17">
        <f>33.7352 * CHOOSE(CONTROL!$C$15, $E$9, 100%, $G$9) + CHOOSE(CONTROL!$C$38, 0.0342, 0)</f>
        <v>33.769399999999997</v>
      </c>
      <c r="J431" s="44">
        <f>237.4671</f>
        <v>237.46709999999999</v>
      </c>
    </row>
    <row r="432" spans="1:10" ht="15.75" x14ac:dyDescent="0.25">
      <c r="A432" s="14">
        <v>54088</v>
      </c>
      <c r="B432" s="17">
        <f>37.1608 * CHOOSE(CONTROL!$C$15, $E$9, 100%, $G$9) + CHOOSE(CONTROL!$C$38, 0.034, 0)</f>
        <v>37.194800000000001</v>
      </c>
      <c r="C432" s="17">
        <f>35.0136 * CHOOSE(CONTROL!$C$15, $E$9, 100%, $G$9) + CHOOSE(CONTROL!$C$38, 0.0342, 0)</f>
        <v>35.047799999999995</v>
      </c>
      <c r="D432" s="17">
        <f>35.0058 * CHOOSE(CONTROL!$C$15, $E$9, 100%, $G$9) + CHOOSE(CONTROL!$C$38, 0.0342, 0)</f>
        <v>35.04</v>
      </c>
      <c r="E432" s="17">
        <f>35.0058 * CHOOSE(CONTROL!$C$15, $E$9, 100%, $G$9) + CHOOSE(CONTROL!$C$38, 0.0342, 0)</f>
        <v>35.04</v>
      </c>
      <c r="F432" s="45">
        <f>37.1608 * CHOOSE(CONTROL!$C$15, $E$9, 100%, $G$9) + CHOOSE(CONTROL!$C$38, 0.034, 0)</f>
        <v>37.194800000000001</v>
      </c>
      <c r="G432" s="17">
        <f>35.0121 * CHOOSE(CONTROL!$C$15, $E$9, 100%, $G$9) + CHOOSE(CONTROL!$C$38, 0.0342, 0)</f>
        <v>35.046299999999995</v>
      </c>
      <c r="H432" s="17">
        <f>35.0121 * CHOOSE(CONTROL!$C$15, $E$9, 100%, $G$9) + CHOOSE(CONTROL!$C$38, 0.0342, 0)</f>
        <v>35.046299999999995</v>
      </c>
      <c r="I432" s="17">
        <f>35.0136 * CHOOSE(CONTROL!$C$15, $E$9, 100%, $G$9) + CHOOSE(CONTROL!$C$38, 0.0342, 0)</f>
        <v>35.047799999999995</v>
      </c>
      <c r="J432" s="44">
        <f>237.2956</f>
        <v>237.29560000000001</v>
      </c>
    </row>
    <row r="433" spans="1:10" ht="15.75" x14ac:dyDescent="0.25">
      <c r="A433" s="14">
        <v>54116</v>
      </c>
      <c r="B433" s="17">
        <f>37.5051 * CHOOSE(CONTROL!$C$15, $E$9, 100%, $G$9) + CHOOSE(CONTROL!$C$38, 0.034, 0)</f>
        <v>37.539099999999998</v>
      </c>
      <c r="C433" s="17">
        <f>35.358 * CHOOSE(CONTROL!$C$15, $E$9, 100%, $G$9) + CHOOSE(CONTROL!$C$38, 0.0342, 0)</f>
        <v>35.392199999999995</v>
      </c>
      <c r="D433" s="17">
        <f>35.3501 * CHOOSE(CONTROL!$C$15, $E$9, 100%, $G$9) + CHOOSE(CONTROL!$C$38, 0.0342, 0)</f>
        <v>35.384299999999996</v>
      </c>
      <c r="E433" s="17">
        <f>35.3501 * CHOOSE(CONTROL!$C$15, $E$9, 100%, $G$9) + CHOOSE(CONTROL!$C$38, 0.0342, 0)</f>
        <v>35.384299999999996</v>
      </c>
      <c r="F433" s="45">
        <f>37.5051 * CHOOSE(CONTROL!$C$15, $E$9, 100%, $G$9) + CHOOSE(CONTROL!$C$38, 0.034, 0)</f>
        <v>37.539099999999998</v>
      </c>
      <c r="G433" s="17">
        <f>35.3564 * CHOOSE(CONTROL!$C$15, $E$9, 100%, $G$9) + CHOOSE(CONTROL!$C$38, 0.0342, 0)</f>
        <v>35.390599999999999</v>
      </c>
      <c r="H433" s="17">
        <f>35.3564 * CHOOSE(CONTROL!$C$15, $E$9, 100%, $G$9) + CHOOSE(CONTROL!$C$38, 0.0342, 0)</f>
        <v>35.390599999999999</v>
      </c>
      <c r="I433" s="17">
        <f>35.358 * CHOOSE(CONTROL!$C$15, $E$9, 100%, $G$9) + CHOOSE(CONTROL!$C$38, 0.0342, 0)</f>
        <v>35.392199999999995</v>
      </c>
      <c r="J433" s="44">
        <f>236.636</f>
        <v>236.636</v>
      </c>
    </row>
    <row r="434" spans="1:10" ht="15.75" x14ac:dyDescent="0.25">
      <c r="A434" s="14">
        <v>54148</v>
      </c>
      <c r="B434" s="17">
        <f>36.7081 * CHOOSE(CONTROL!$C$15, $E$9, 100%, $G$9) + CHOOSE(CONTROL!$C$38, 0.034, 0)</f>
        <v>36.742100000000001</v>
      </c>
      <c r="C434" s="17">
        <f>34.5609 * CHOOSE(CONTROL!$C$15, $E$9, 100%, $G$9) + CHOOSE(CONTROL!$C$38, 0.0342, 0)</f>
        <v>34.595099999999995</v>
      </c>
      <c r="D434" s="17">
        <f>34.5531 * CHOOSE(CONTROL!$C$15, $E$9, 100%, $G$9) + CHOOSE(CONTROL!$C$38, 0.0342, 0)</f>
        <v>34.587299999999999</v>
      </c>
      <c r="E434" s="17">
        <f>34.5531 * CHOOSE(CONTROL!$C$15, $E$9, 100%, $G$9) + CHOOSE(CONTROL!$C$38, 0.0342, 0)</f>
        <v>34.587299999999999</v>
      </c>
      <c r="F434" s="45">
        <f>36.7081 * CHOOSE(CONTROL!$C$15, $E$9, 100%, $G$9) + CHOOSE(CONTROL!$C$38, 0.034, 0)</f>
        <v>36.742100000000001</v>
      </c>
      <c r="G434" s="17">
        <f>34.5594 * CHOOSE(CONTROL!$C$15, $E$9, 100%, $G$9) + CHOOSE(CONTROL!$C$38, 0.0342, 0)</f>
        <v>34.593599999999995</v>
      </c>
      <c r="H434" s="17">
        <f>34.5594 * CHOOSE(CONTROL!$C$15, $E$9, 100%, $G$9) + CHOOSE(CONTROL!$C$38, 0.0342, 0)</f>
        <v>34.593599999999995</v>
      </c>
      <c r="I434" s="17">
        <f>34.5609 * CHOOSE(CONTROL!$C$15, $E$9, 100%, $G$9) + CHOOSE(CONTROL!$C$38, 0.0342, 0)</f>
        <v>34.595099999999995</v>
      </c>
      <c r="J434" s="44">
        <f>249.1081</f>
        <v>249.10810000000001</v>
      </c>
    </row>
    <row r="435" spans="1:10" ht="15.75" x14ac:dyDescent="0.25">
      <c r="A435" s="14">
        <v>54178</v>
      </c>
      <c r="B435" s="17">
        <f>35.9358 * CHOOSE(CONTROL!$C$15, $E$9, 100%, $G$9) + CHOOSE(CONTROL!$C$38, 0.034, 0)</f>
        <v>35.969799999999999</v>
      </c>
      <c r="C435" s="17">
        <f>33.7886 * CHOOSE(CONTROL!$C$15, $E$9, 100%, $G$9) + CHOOSE(CONTROL!$C$38, 0.0342, 0)</f>
        <v>33.822800000000001</v>
      </c>
      <c r="D435" s="17">
        <f>33.7808 * CHOOSE(CONTROL!$C$15, $E$9, 100%, $G$9) + CHOOSE(CONTROL!$C$38, 0.0342, 0)</f>
        <v>33.814999999999998</v>
      </c>
      <c r="E435" s="17">
        <f>33.7808 * CHOOSE(CONTROL!$C$15, $E$9, 100%, $G$9) + CHOOSE(CONTROL!$C$38, 0.0342, 0)</f>
        <v>33.814999999999998</v>
      </c>
      <c r="F435" s="45">
        <f>35.9358 * CHOOSE(CONTROL!$C$15, $E$9, 100%, $G$9) + CHOOSE(CONTROL!$C$38, 0.034, 0)</f>
        <v>35.969799999999999</v>
      </c>
      <c r="G435" s="17">
        <f>33.787 * CHOOSE(CONTROL!$C$15, $E$9, 100%, $G$9) + CHOOSE(CONTROL!$C$38, 0.0342, 0)</f>
        <v>33.821199999999997</v>
      </c>
      <c r="H435" s="17">
        <f>33.787 * CHOOSE(CONTROL!$C$15, $E$9, 100%, $G$9) + CHOOSE(CONTROL!$C$38, 0.0342, 0)</f>
        <v>33.821199999999997</v>
      </c>
      <c r="I435" s="17">
        <f>33.7886 * CHOOSE(CONTROL!$C$15, $E$9, 100%, $G$9) + CHOOSE(CONTROL!$C$38, 0.0342, 0)</f>
        <v>33.822800000000001</v>
      </c>
      <c r="J435" s="44">
        <f>265.2815</f>
        <v>265.28149999999999</v>
      </c>
    </row>
    <row r="436" spans="1:10" ht="15.75" x14ac:dyDescent="0.25">
      <c r="A436" s="14">
        <v>54209</v>
      </c>
      <c r="B436" s="17">
        <f>35.1308 * CHOOSE(CONTROL!$C$15, $E$9, 100%, $G$9) + CHOOSE(CONTROL!$C$38, 0.0353, 0)</f>
        <v>35.1661</v>
      </c>
      <c r="C436" s="17">
        <f>32.9836 * CHOOSE(CONTROL!$C$15, $E$9, 100%, $G$9) + CHOOSE(CONTROL!$C$38, 0.0354, 0)</f>
        <v>33.019000000000005</v>
      </c>
      <c r="D436" s="17">
        <f>32.9758 * CHOOSE(CONTROL!$C$15, $E$9, 100%, $G$9) + CHOOSE(CONTROL!$C$38, 0.0354, 0)</f>
        <v>33.011200000000002</v>
      </c>
      <c r="E436" s="17">
        <f>32.9758 * CHOOSE(CONTROL!$C$15, $E$9, 100%, $G$9) + CHOOSE(CONTROL!$C$38, 0.0354, 0)</f>
        <v>33.011200000000002</v>
      </c>
      <c r="F436" s="45">
        <f>35.1308 * CHOOSE(CONTROL!$C$15, $E$9, 100%, $G$9) + CHOOSE(CONTROL!$C$38, 0.0353, 0)</f>
        <v>35.1661</v>
      </c>
      <c r="G436" s="17">
        <f>32.9821 * CHOOSE(CONTROL!$C$15, $E$9, 100%, $G$9) + CHOOSE(CONTROL!$C$38, 0.0354, 0)</f>
        <v>33.017500000000005</v>
      </c>
      <c r="H436" s="17">
        <f>32.9821 * CHOOSE(CONTROL!$C$15, $E$9, 100%, $G$9) + CHOOSE(CONTROL!$C$38, 0.0354, 0)</f>
        <v>33.017500000000005</v>
      </c>
      <c r="I436" s="17">
        <f>32.9836 * CHOOSE(CONTROL!$C$15, $E$9, 100%, $G$9) + CHOOSE(CONTROL!$C$38, 0.0354, 0)</f>
        <v>33.019000000000005</v>
      </c>
      <c r="J436" s="44">
        <f>274.1838</f>
        <v>274.18380000000002</v>
      </c>
    </row>
    <row r="437" spans="1:10" ht="15.75" x14ac:dyDescent="0.25">
      <c r="A437" s="14">
        <v>54239</v>
      </c>
      <c r="B437" s="17">
        <f>34.5665 * CHOOSE(CONTROL!$C$15, $E$9, 100%, $G$9) + CHOOSE(CONTROL!$C$38, 0.0353, 0)</f>
        <v>34.601799999999997</v>
      </c>
      <c r="C437" s="17">
        <f>32.4193 * CHOOSE(CONTROL!$C$15, $E$9, 100%, $G$9) + CHOOSE(CONTROL!$C$38, 0.0354, 0)</f>
        <v>32.454700000000003</v>
      </c>
      <c r="D437" s="17">
        <f>32.4115 * CHOOSE(CONTROL!$C$15, $E$9, 100%, $G$9) + CHOOSE(CONTROL!$C$38, 0.0354, 0)</f>
        <v>32.446899999999999</v>
      </c>
      <c r="E437" s="17">
        <f>32.4115 * CHOOSE(CONTROL!$C$15, $E$9, 100%, $G$9) + CHOOSE(CONTROL!$C$38, 0.0354, 0)</f>
        <v>32.446899999999999</v>
      </c>
      <c r="F437" s="45">
        <f>34.5665 * CHOOSE(CONTROL!$C$15, $E$9, 100%, $G$9) + CHOOSE(CONTROL!$C$38, 0.0353, 0)</f>
        <v>34.601799999999997</v>
      </c>
      <c r="G437" s="17">
        <f>32.4177 * CHOOSE(CONTROL!$C$15, $E$9, 100%, $G$9) + CHOOSE(CONTROL!$C$38, 0.0354, 0)</f>
        <v>32.453100000000006</v>
      </c>
      <c r="H437" s="17">
        <f>32.4177 * CHOOSE(CONTROL!$C$15, $E$9, 100%, $G$9) + CHOOSE(CONTROL!$C$38, 0.0354, 0)</f>
        <v>32.453100000000006</v>
      </c>
      <c r="I437" s="17">
        <f>32.4193 * CHOOSE(CONTROL!$C$15, $E$9, 100%, $G$9) + CHOOSE(CONTROL!$C$38, 0.0354, 0)</f>
        <v>32.454700000000003</v>
      </c>
      <c r="J437" s="44">
        <f>278.1345</f>
        <v>278.1345</v>
      </c>
    </row>
    <row r="438" spans="1:10" ht="15.75" x14ac:dyDescent="0.25">
      <c r="A438" s="14">
        <v>54270</v>
      </c>
      <c r="B438" s="17">
        <f>34.2444 * CHOOSE(CONTROL!$C$15, $E$9, 100%, $G$9) + CHOOSE(CONTROL!$C$38, 0.0353, 0)</f>
        <v>34.279699999999998</v>
      </c>
      <c r="C438" s="17">
        <f>32.0973 * CHOOSE(CONTROL!$C$15, $E$9, 100%, $G$9) + CHOOSE(CONTROL!$C$38, 0.0354, 0)</f>
        <v>32.1327</v>
      </c>
      <c r="D438" s="17">
        <f>32.0894 * CHOOSE(CONTROL!$C$15, $E$9, 100%, $G$9) + CHOOSE(CONTROL!$C$38, 0.0354, 0)</f>
        <v>32.1248</v>
      </c>
      <c r="E438" s="17">
        <f>32.0894 * CHOOSE(CONTROL!$C$15, $E$9, 100%, $G$9) + CHOOSE(CONTROL!$C$38, 0.0354, 0)</f>
        <v>32.1248</v>
      </c>
      <c r="F438" s="45">
        <f>34.2444 * CHOOSE(CONTROL!$C$15, $E$9, 100%, $G$9) + CHOOSE(CONTROL!$C$38, 0.0353, 0)</f>
        <v>34.279699999999998</v>
      </c>
      <c r="G438" s="17">
        <f>32.0957 * CHOOSE(CONTROL!$C$15, $E$9, 100%, $G$9) + CHOOSE(CONTROL!$C$38, 0.0354, 0)</f>
        <v>32.131100000000004</v>
      </c>
      <c r="H438" s="17">
        <f>32.0957 * CHOOSE(CONTROL!$C$15, $E$9, 100%, $G$9) + CHOOSE(CONTROL!$C$38, 0.0354, 0)</f>
        <v>32.131100000000004</v>
      </c>
      <c r="I438" s="17">
        <f>32.0973 * CHOOSE(CONTROL!$C$15, $E$9, 100%, $G$9) + CHOOSE(CONTROL!$C$38, 0.0354, 0)</f>
        <v>32.1327</v>
      </c>
      <c r="J438" s="44">
        <f>276.8337</f>
        <v>276.83370000000002</v>
      </c>
    </row>
    <row r="439" spans="1:10" ht="15.75" x14ac:dyDescent="0.25">
      <c r="A439" s="14">
        <v>54301</v>
      </c>
      <c r="B439" s="17">
        <f>34.4034 * CHOOSE(CONTROL!$C$15, $E$9, 100%, $G$9) + CHOOSE(CONTROL!$C$38, 0.0353, 0)</f>
        <v>34.438699999999997</v>
      </c>
      <c r="C439" s="17">
        <f>32.2562 * CHOOSE(CONTROL!$C$15, $E$9, 100%, $G$9) + CHOOSE(CONTROL!$C$38, 0.0354, 0)</f>
        <v>32.291600000000003</v>
      </c>
      <c r="D439" s="17">
        <f>32.2484 * CHOOSE(CONTROL!$C$15, $E$9, 100%, $G$9) + CHOOSE(CONTROL!$C$38, 0.0354, 0)</f>
        <v>32.283799999999999</v>
      </c>
      <c r="E439" s="17">
        <f>32.2484 * CHOOSE(CONTROL!$C$15, $E$9, 100%, $G$9) + CHOOSE(CONTROL!$C$38, 0.0354, 0)</f>
        <v>32.283799999999999</v>
      </c>
      <c r="F439" s="45">
        <f>34.4034 * CHOOSE(CONTROL!$C$15, $E$9, 100%, $G$9) + CHOOSE(CONTROL!$C$38, 0.0353, 0)</f>
        <v>34.438699999999997</v>
      </c>
      <c r="G439" s="17">
        <f>32.2546 * CHOOSE(CONTROL!$C$15, $E$9, 100%, $G$9) + CHOOSE(CONTROL!$C$38, 0.0354, 0)</f>
        <v>32.290000000000006</v>
      </c>
      <c r="H439" s="17">
        <f>32.2546 * CHOOSE(CONTROL!$C$15, $E$9, 100%, $G$9) + CHOOSE(CONTROL!$C$38, 0.0354, 0)</f>
        <v>32.290000000000006</v>
      </c>
      <c r="I439" s="17">
        <f>32.2562 * CHOOSE(CONTROL!$C$15, $E$9, 100%, $G$9) + CHOOSE(CONTROL!$C$38, 0.0354, 0)</f>
        <v>32.291600000000003</v>
      </c>
      <c r="J439" s="44">
        <f>270.3891</f>
        <v>270.38909999999998</v>
      </c>
    </row>
    <row r="440" spans="1:10" ht="15.75" x14ac:dyDescent="0.25">
      <c r="A440" s="14">
        <v>54331</v>
      </c>
      <c r="B440" s="17">
        <f>34.8351 * CHOOSE(CONTROL!$C$15, $E$9, 100%, $G$9) + CHOOSE(CONTROL!$C$38, 0.0353, 0)</f>
        <v>34.870399999999997</v>
      </c>
      <c r="C440" s="17">
        <f>32.6879 * CHOOSE(CONTROL!$C$15, $E$9, 100%, $G$9) + CHOOSE(CONTROL!$C$38, 0.0354, 0)</f>
        <v>32.723300000000002</v>
      </c>
      <c r="D440" s="17">
        <f>32.6801 * CHOOSE(CONTROL!$C$15, $E$9, 100%, $G$9) + CHOOSE(CONTROL!$C$38, 0.0354, 0)</f>
        <v>32.715500000000006</v>
      </c>
      <c r="E440" s="17">
        <f>32.6801 * CHOOSE(CONTROL!$C$15, $E$9, 100%, $G$9) + CHOOSE(CONTROL!$C$38, 0.0354, 0)</f>
        <v>32.715500000000006</v>
      </c>
      <c r="F440" s="45">
        <f>34.8351 * CHOOSE(CONTROL!$C$15, $E$9, 100%, $G$9) + CHOOSE(CONTROL!$C$38, 0.0353, 0)</f>
        <v>34.870399999999997</v>
      </c>
      <c r="G440" s="17">
        <f>32.6863 * CHOOSE(CONTROL!$C$15, $E$9, 100%, $G$9) + CHOOSE(CONTROL!$C$38, 0.0354, 0)</f>
        <v>32.721700000000006</v>
      </c>
      <c r="H440" s="17">
        <f>32.6863 * CHOOSE(CONTROL!$C$15, $E$9, 100%, $G$9) + CHOOSE(CONTROL!$C$38, 0.0354, 0)</f>
        <v>32.721700000000006</v>
      </c>
      <c r="I440" s="17">
        <f>32.6879 * CHOOSE(CONTROL!$C$15, $E$9, 100%, $G$9) + CHOOSE(CONTROL!$C$38, 0.0354, 0)</f>
        <v>32.723300000000002</v>
      </c>
      <c r="J440" s="44">
        <f>261.4019</f>
        <v>261.40190000000001</v>
      </c>
    </row>
    <row r="441" spans="1:10" ht="15.75" x14ac:dyDescent="0.25">
      <c r="A441" s="14">
        <v>54362</v>
      </c>
      <c r="B441" s="17">
        <f>35.1967 * CHOOSE(CONTROL!$C$15, $E$9, 100%, $G$9) + CHOOSE(CONTROL!$C$38, 0.034, 0)</f>
        <v>35.230699999999999</v>
      </c>
      <c r="C441" s="17">
        <f>33.0495 * CHOOSE(CONTROL!$C$15, $E$9, 100%, $G$9) + CHOOSE(CONTROL!$C$38, 0.0342, 0)</f>
        <v>33.0837</v>
      </c>
      <c r="D441" s="17">
        <f>33.0417 * CHOOSE(CONTROL!$C$15, $E$9, 100%, $G$9) + CHOOSE(CONTROL!$C$38, 0.0342, 0)</f>
        <v>33.075899999999997</v>
      </c>
      <c r="E441" s="17">
        <f>33.0417 * CHOOSE(CONTROL!$C$15, $E$9, 100%, $G$9) + CHOOSE(CONTROL!$C$38, 0.0342, 0)</f>
        <v>33.075899999999997</v>
      </c>
      <c r="F441" s="45">
        <f>35.1967 * CHOOSE(CONTROL!$C$15, $E$9, 100%, $G$9) + CHOOSE(CONTROL!$C$38, 0.034, 0)</f>
        <v>35.230699999999999</v>
      </c>
      <c r="G441" s="17">
        <f>33.0479 * CHOOSE(CONTROL!$C$15, $E$9, 100%, $G$9) + CHOOSE(CONTROL!$C$38, 0.0342, 0)</f>
        <v>33.082099999999997</v>
      </c>
      <c r="H441" s="17">
        <f>33.0479 * CHOOSE(CONTROL!$C$15, $E$9, 100%, $G$9) + CHOOSE(CONTROL!$C$38, 0.0342, 0)</f>
        <v>33.082099999999997</v>
      </c>
      <c r="I441" s="17">
        <f>33.0495 * CHOOSE(CONTROL!$C$15, $E$9, 100%, $G$9) + CHOOSE(CONTROL!$C$38, 0.0342, 0)</f>
        <v>33.0837</v>
      </c>
      <c r="J441" s="44">
        <f>252.3623</f>
        <v>252.3623</v>
      </c>
    </row>
    <row r="442" spans="1:10" ht="15.75" x14ac:dyDescent="0.25">
      <c r="A442" s="14">
        <v>54392</v>
      </c>
      <c r="B442" s="17">
        <f>35.4984 * CHOOSE(CONTROL!$C$15, $E$9, 100%, $G$9) + CHOOSE(CONTROL!$C$38, 0.034, 0)</f>
        <v>35.532399999999996</v>
      </c>
      <c r="C442" s="17">
        <f>33.3512 * CHOOSE(CONTROL!$C$15, $E$9, 100%, $G$9) + CHOOSE(CONTROL!$C$38, 0.0342, 0)</f>
        <v>33.385399999999997</v>
      </c>
      <c r="D442" s="17">
        <f>33.3434 * CHOOSE(CONTROL!$C$15, $E$9, 100%, $G$9) + CHOOSE(CONTROL!$C$38, 0.0342, 0)</f>
        <v>33.377600000000001</v>
      </c>
      <c r="E442" s="17">
        <f>33.3434 * CHOOSE(CONTROL!$C$15, $E$9, 100%, $G$9) + CHOOSE(CONTROL!$C$38, 0.0342, 0)</f>
        <v>33.377600000000001</v>
      </c>
      <c r="F442" s="45">
        <f>35.4984 * CHOOSE(CONTROL!$C$15, $E$9, 100%, $G$9) + CHOOSE(CONTROL!$C$38, 0.034, 0)</f>
        <v>35.532399999999996</v>
      </c>
      <c r="G442" s="17">
        <f>33.3496 * CHOOSE(CONTROL!$C$15, $E$9, 100%, $G$9) + CHOOSE(CONTROL!$C$38, 0.0342, 0)</f>
        <v>33.383800000000001</v>
      </c>
      <c r="H442" s="17">
        <f>33.3496 * CHOOSE(CONTROL!$C$15, $E$9, 100%, $G$9) + CHOOSE(CONTROL!$C$38, 0.0342, 0)</f>
        <v>33.383800000000001</v>
      </c>
      <c r="I442" s="17">
        <f>33.3512 * CHOOSE(CONTROL!$C$15, $E$9, 100%, $G$9) + CHOOSE(CONTROL!$C$38, 0.0342, 0)</f>
        <v>33.385399999999997</v>
      </c>
      <c r="J442" s="44">
        <f>250.5642</f>
        <v>250.5642</v>
      </c>
    </row>
    <row r="443" spans="1:10" ht="15.75" x14ac:dyDescent="0.25">
      <c r="A443" s="14">
        <v>54423</v>
      </c>
      <c r="B443" s="17">
        <f>36.428 * CHOOSE(CONTROL!$C$15, $E$9, 100%, $G$9) + CHOOSE(CONTROL!$C$38, 0.034, 0)</f>
        <v>36.461999999999996</v>
      </c>
      <c r="C443" s="17">
        <f>34.2808 * CHOOSE(CONTROL!$C$15, $E$9, 100%, $G$9) + CHOOSE(CONTROL!$C$38, 0.0342, 0)</f>
        <v>34.314999999999998</v>
      </c>
      <c r="D443" s="17">
        <f>34.273 * CHOOSE(CONTROL!$C$15, $E$9, 100%, $G$9) + CHOOSE(CONTROL!$C$38, 0.0342, 0)</f>
        <v>34.307200000000002</v>
      </c>
      <c r="E443" s="17">
        <f>34.273 * CHOOSE(CONTROL!$C$15, $E$9, 100%, $G$9) + CHOOSE(CONTROL!$C$38, 0.0342, 0)</f>
        <v>34.307200000000002</v>
      </c>
      <c r="F443" s="45">
        <f>36.428 * CHOOSE(CONTROL!$C$15, $E$9, 100%, $G$9) + CHOOSE(CONTROL!$C$38, 0.034, 0)</f>
        <v>36.461999999999996</v>
      </c>
      <c r="G443" s="17">
        <f>34.2793 * CHOOSE(CONTROL!$C$15, $E$9, 100%, $G$9) + CHOOSE(CONTROL!$C$38, 0.0342, 0)</f>
        <v>34.313499999999998</v>
      </c>
      <c r="H443" s="17">
        <f>34.2793 * CHOOSE(CONTROL!$C$15, $E$9, 100%, $G$9) + CHOOSE(CONTROL!$C$38, 0.0342, 0)</f>
        <v>34.313499999999998</v>
      </c>
      <c r="I443" s="17">
        <f>34.2808 * CHOOSE(CONTROL!$C$15, $E$9, 100%, $G$9) + CHOOSE(CONTROL!$C$38, 0.0342, 0)</f>
        <v>34.314999999999998</v>
      </c>
      <c r="J443" s="44">
        <f>243.1287</f>
        <v>243.12870000000001</v>
      </c>
    </row>
    <row r="444" spans="1:10" ht="15.75" x14ac:dyDescent="0.25">
      <c r="A444" s="14">
        <v>54454</v>
      </c>
      <c r="B444" s="17">
        <f>37.7491 * CHOOSE(CONTROL!$C$15, $E$9, 100%, $G$9) + CHOOSE(CONTROL!$C$38, 0.034, 0)</f>
        <v>37.783099999999997</v>
      </c>
      <c r="C444" s="17">
        <f>35.5685 * CHOOSE(CONTROL!$C$15, $E$9, 100%, $G$9) + CHOOSE(CONTROL!$C$38, 0.0342, 0)</f>
        <v>35.602699999999999</v>
      </c>
      <c r="D444" s="17">
        <f>35.5607 * CHOOSE(CONTROL!$C$15, $E$9, 100%, $G$9) + CHOOSE(CONTROL!$C$38, 0.0342, 0)</f>
        <v>35.594899999999996</v>
      </c>
      <c r="E444" s="17">
        <f>35.5607 * CHOOSE(CONTROL!$C$15, $E$9, 100%, $G$9) + CHOOSE(CONTROL!$C$38, 0.0342, 0)</f>
        <v>35.594899999999996</v>
      </c>
      <c r="F444" s="45">
        <f>37.7491 * CHOOSE(CONTROL!$C$15, $E$9, 100%, $G$9) + CHOOSE(CONTROL!$C$38, 0.034, 0)</f>
        <v>37.783099999999997</v>
      </c>
      <c r="G444" s="17">
        <f>35.5669 * CHOOSE(CONTROL!$C$15, $E$9, 100%, $G$9) + CHOOSE(CONTROL!$C$38, 0.0342, 0)</f>
        <v>35.601099999999995</v>
      </c>
      <c r="H444" s="17">
        <f>35.5669 * CHOOSE(CONTROL!$C$15, $E$9, 100%, $G$9) + CHOOSE(CONTROL!$C$38, 0.0342, 0)</f>
        <v>35.601099999999995</v>
      </c>
      <c r="I444" s="17">
        <f>35.5685 * CHOOSE(CONTROL!$C$15, $E$9, 100%, $G$9) + CHOOSE(CONTROL!$C$38, 0.0342, 0)</f>
        <v>35.602699999999999</v>
      </c>
      <c r="J444" s="44">
        <f>242.9531</f>
        <v>242.95310000000001</v>
      </c>
    </row>
    <row r="445" spans="1:10" ht="15.75" x14ac:dyDescent="0.25">
      <c r="A445" s="14">
        <v>54482</v>
      </c>
      <c r="B445" s="17">
        <f>38.0934 * CHOOSE(CONTROL!$C$15, $E$9, 100%, $G$9) + CHOOSE(CONTROL!$C$38, 0.034, 0)</f>
        <v>38.127400000000002</v>
      </c>
      <c r="C445" s="17">
        <f>35.9128 * CHOOSE(CONTROL!$C$15, $E$9, 100%, $G$9) + CHOOSE(CONTROL!$C$38, 0.0342, 0)</f>
        <v>35.946999999999996</v>
      </c>
      <c r="D445" s="17">
        <f>35.905 * CHOOSE(CONTROL!$C$15, $E$9, 100%, $G$9) + CHOOSE(CONTROL!$C$38, 0.0342, 0)</f>
        <v>35.9392</v>
      </c>
      <c r="E445" s="17">
        <f>35.905 * CHOOSE(CONTROL!$C$15, $E$9, 100%, $G$9) + CHOOSE(CONTROL!$C$38, 0.0342, 0)</f>
        <v>35.9392</v>
      </c>
      <c r="F445" s="45">
        <f>38.0934 * CHOOSE(CONTROL!$C$15, $E$9, 100%, $G$9) + CHOOSE(CONTROL!$C$38, 0.034, 0)</f>
        <v>38.127400000000002</v>
      </c>
      <c r="G445" s="17">
        <f>35.9112 * CHOOSE(CONTROL!$C$15, $E$9, 100%, $G$9) + CHOOSE(CONTROL!$C$38, 0.0342, 0)</f>
        <v>35.945399999999999</v>
      </c>
      <c r="H445" s="17">
        <f>35.9112 * CHOOSE(CONTROL!$C$15, $E$9, 100%, $G$9) + CHOOSE(CONTROL!$C$38, 0.0342, 0)</f>
        <v>35.945399999999999</v>
      </c>
      <c r="I445" s="17">
        <f>35.9128 * CHOOSE(CONTROL!$C$15, $E$9, 100%, $G$9) + CHOOSE(CONTROL!$C$38, 0.0342, 0)</f>
        <v>35.946999999999996</v>
      </c>
      <c r="J445" s="44">
        <f>242.2778</f>
        <v>242.27780000000001</v>
      </c>
    </row>
    <row r="446" spans="1:10" ht="15.75" x14ac:dyDescent="0.25">
      <c r="A446" s="14">
        <v>54513</v>
      </c>
      <c r="B446" s="17">
        <f>37.2964 * CHOOSE(CONTROL!$C$15, $E$9, 100%, $G$9) + CHOOSE(CONTROL!$C$38, 0.034, 0)</f>
        <v>37.330399999999997</v>
      </c>
      <c r="C446" s="17">
        <f>35.1158 * CHOOSE(CONTROL!$C$15, $E$9, 100%, $G$9) + CHOOSE(CONTROL!$C$38, 0.0342, 0)</f>
        <v>35.15</v>
      </c>
      <c r="D446" s="17">
        <f>35.1079 * CHOOSE(CONTROL!$C$15, $E$9, 100%, $G$9) + CHOOSE(CONTROL!$C$38, 0.0342, 0)</f>
        <v>35.142099999999999</v>
      </c>
      <c r="E446" s="17">
        <f>35.1079 * CHOOSE(CONTROL!$C$15, $E$9, 100%, $G$9) + CHOOSE(CONTROL!$C$38, 0.0342, 0)</f>
        <v>35.142099999999999</v>
      </c>
      <c r="F446" s="45">
        <f>37.2964 * CHOOSE(CONTROL!$C$15, $E$9, 100%, $G$9) + CHOOSE(CONTROL!$C$38, 0.034, 0)</f>
        <v>37.330399999999997</v>
      </c>
      <c r="G446" s="17">
        <f>35.1142 * CHOOSE(CONTROL!$C$15, $E$9, 100%, $G$9) + CHOOSE(CONTROL!$C$38, 0.0342, 0)</f>
        <v>35.148399999999995</v>
      </c>
      <c r="H446" s="17">
        <f>35.1142 * CHOOSE(CONTROL!$C$15, $E$9, 100%, $G$9) + CHOOSE(CONTROL!$C$38, 0.0342, 0)</f>
        <v>35.148399999999995</v>
      </c>
      <c r="I446" s="17">
        <f>35.1158 * CHOOSE(CONTROL!$C$15, $E$9, 100%, $G$9) + CHOOSE(CONTROL!$C$38, 0.0342, 0)</f>
        <v>35.15</v>
      </c>
      <c r="J446" s="44">
        <f>255.0472</f>
        <v>255.0472</v>
      </c>
    </row>
    <row r="447" spans="1:10" ht="15.75" x14ac:dyDescent="0.25">
      <c r="A447" s="14">
        <v>54543</v>
      </c>
      <c r="B447" s="17">
        <f>36.5241 * CHOOSE(CONTROL!$C$15, $E$9, 100%, $G$9) + CHOOSE(CONTROL!$C$38, 0.034, 0)</f>
        <v>36.558099999999996</v>
      </c>
      <c r="C447" s="17">
        <f>34.3434 * CHOOSE(CONTROL!$C$15, $E$9, 100%, $G$9) + CHOOSE(CONTROL!$C$38, 0.0342, 0)</f>
        <v>34.377600000000001</v>
      </c>
      <c r="D447" s="17">
        <f>34.3356 * CHOOSE(CONTROL!$C$15, $E$9, 100%, $G$9) + CHOOSE(CONTROL!$C$38, 0.0342, 0)</f>
        <v>34.369799999999998</v>
      </c>
      <c r="E447" s="17">
        <f>34.3356 * CHOOSE(CONTROL!$C$15, $E$9, 100%, $G$9) + CHOOSE(CONTROL!$C$38, 0.0342, 0)</f>
        <v>34.369799999999998</v>
      </c>
      <c r="F447" s="45">
        <f>36.5241 * CHOOSE(CONTROL!$C$15, $E$9, 100%, $G$9) + CHOOSE(CONTROL!$C$38, 0.034, 0)</f>
        <v>36.558099999999996</v>
      </c>
      <c r="G447" s="17">
        <f>34.3419 * CHOOSE(CONTROL!$C$15, $E$9, 100%, $G$9) + CHOOSE(CONTROL!$C$38, 0.0342, 0)</f>
        <v>34.376100000000001</v>
      </c>
      <c r="H447" s="17">
        <f>34.3419 * CHOOSE(CONTROL!$C$15, $E$9, 100%, $G$9) + CHOOSE(CONTROL!$C$38, 0.0342, 0)</f>
        <v>34.376100000000001</v>
      </c>
      <c r="I447" s="17">
        <f>34.3434 * CHOOSE(CONTROL!$C$15, $E$9, 100%, $G$9) + CHOOSE(CONTROL!$C$38, 0.0342, 0)</f>
        <v>34.377600000000001</v>
      </c>
      <c r="J447" s="44">
        <f>271.6062</f>
        <v>271.6062</v>
      </c>
    </row>
    <row r="448" spans="1:10" ht="15.75" x14ac:dyDescent="0.25">
      <c r="A448" s="14">
        <v>54574</v>
      </c>
      <c r="B448" s="17">
        <f>35.7191 * CHOOSE(CONTROL!$C$15, $E$9, 100%, $G$9) + CHOOSE(CONTROL!$C$38, 0.0353, 0)</f>
        <v>35.754399999999997</v>
      </c>
      <c r="C448" s="17">
        <f>33.5385 * CHOOSE(CONTROL!$C$15, $E$9, 100%, $G$9) + CHOOSE(CONTROL!$C$38, 0.0354, 0)</f>
        <v>33.573900000000002</v>
      </c>
      <c r="D448" s="17">
        <f>33.5307 * CHOOSE(CONTROL!$C$15, $E$9, 100%, $G$9) + CHOOSE(CONTROL!$C$38, 0.0354, 0)</f>
        <v>33.566100000000006</v>
      </c>
      <c r="E448" s="17">
        <f>33.5307 * CHOOSE(CONTROL!$C$15, $E$9, 100%, $G$9) + CHOOSE(CONTROL!$C$38, 0.0354, 0)</f>
        <v>33.566100000000006</v>
      </c>
      <c r="F448" s="45">
        <f>35.7191 * CHOOSE(CONTROL!$C$15, $E$9, 100%, $G$9) + CHOOSE(CONTROL!$C$38, 0.0353, 0)</f>
        <v>35.754399999999997</v>
      </c>
      <c r="G448" s="17">
        <f>33.5369 * CHOOSE(CONTROL!$C$15, $E$9, 100%, $G$9) + CHOOSE(CONTROL!$C$38, 0.0354, 0)</f>
        <v>33.572300000000006</v>
      </c>
      <c r="H448" s="17">
        <f>33.5369 * CHOOSE(CONTROL!$C$15, $E$9, 100%, $G$9) + CHOOSE(CONTROL!$C$38, 0.0354, 0)</f>
        <v>33.572300000000006</v>
      </c>
      <c r="I448" s="17">
        <f>33.5385 * CHOOSE(CONTROL!$C$15, $E$9, 100%, $G$9) + CHOOSE(CONTROL!$C$38, 0.0354, 0)</f>
        <v>33.573900000000002</v>
      </c>
      <c r="J448" s="44">
        <f>280.7207</f>
        <v>280.72070000000002</v>
      </c>
    </row>
    <row r="449" spans="1:10" ht="15.75" x14ac:dyDescent="0.25">
      <c r="A449" s="14">
        <v>54604</v>
      </c>
      <c r="B449" s="17">
        <f>35.1548 * CHOOSE(CONTROL!$C$15, $E$9, 100%, $G$9) + CHOOSE(CONTROL!$C$38, 0.0353, 0)</f>
        <v>35.190100000000001</v>
      </c>
      <c r="C449" s="17">
        <f>32.9741 * CHOOSE(CONTROL!$C$15, $E$9, 100%, $G$9) + CHOOSE(CONTROL!$C$38, 0.0354, 0)</f>
        <v>33.009500000000003</v>
      </c>
      <c r="D449" s="17">
        <f>32.9663 * CHOOSE(CONTROL!$C$15, $E$9, 100%, $G$9) + CHOOSE(CONTROL!$C$38, 0.0354, 0)</f>
        <v>33.0017</v>
      </c>
      <c r="E449" s="17">
        <f>32.9663 * CHOOSE(CONTROL!$C$15, $E$9, 100%, $G$9) + CHOOSE(CONTROL!$C$38, 0.0354, 0)</f>
        <v>33.0017</v>
      </c>
      <c r="F449" s="45">
        <f>35.1548 * CHOOSE(CONTROL!$C$15, $E$9, 100%, $G$9) + CHOOSE(CONTROL!$C$38, 0.0353, 0)</f>
        <v>35.190100000000001</v>
      </c>
      <c r="G449" s="17">
        <f>32.9726 * CHOOSE(CONTROL!$C$15, $E$9, 100%, $G$9) + CHOOSE(CONTROL!$C$38, 0.0354, 0)</f>
        <v>33.008000000000003</v>
      </c>
      <c r="H449" s="17">
        <f>32.9726 * CHOOSE(CONTROL!$C$15, $E$9, 100%, $G$9) + CHOOSE(CONTROL!$C$38, 0.0354, 0)</f>
        <v>33.008000000000003</v>
      </c>
      <c r="I449" s="17">
        <f>32.9741 * CHOOSE(CONTROL!$C$15, $E$9, 100%, $G$9) + CHOOSE(CONTROL!$C$38, 0.0354, 0)</f>
        <v>33.009500000000003</v>
      </c>
      <c r="J449" s="44">
        <f>284.7656</f>
        <v>284.76560000000001</v>
      </c>
    </row>
    <row r="450" spans="1:10" ht="15.75" x14ac:dyDescent="0.25">
      <c r="A450" s="14">
        <v>54635</v>
      </c>
      <c r="B450" s="17">
        <f>34.8327 * CHOOSE(CONTROL!$C$15, $E$9, 100%, $G$9) + CHOOSE(CONTROL!$C$38, 0.0353, 0)</f>
        <v>34.868000000000002</v>
      </c>
      <c r="C450" s="17">
        <f>32.6521 * CHOOSE(CONTROL!$C$15, $E$9, 100%, $G$9) + CHOOSE(CONTROL!$C$38, 0.0354, 0)</f>
        <v>32.6875</v>
      </c>
      <c r="D450" s="17">
        <f>32.6443 * CHOOSE(CONTROL!$C$15, $E$9, 100%, $G$9) + CHOOSE(CONTROL!$C$38, 0.0354, 0)</f>
        <v>32.679700000000004</v>
      </c>
      <c r="E450" s="17">
        <f>32.6443 * CHOOSE(CONTROL!$C$15, $E$9, 100%, $G$9) + CHOOSE(CONTROL!$C$38, 0.0354, 0)</f>
        <v>32.679700000000004</v>
      </c>
      <c r="F450" s="45">
        <f>34.8327 * CHOOSE(CONTROL!$C$15, $E$9, 100%, $G$9) + CHOOSE(CONTROL!$C$38, 0.0353, 0)</f>
        <v>34.868000000000002</v>
      </c>
      <c r="G450" s="17">
        <f>32.6505 * CHOOSE(CONTROL!$C$15, $E$9, 100%, $G$9) + CHOOSE(CONTROL!$C$38, 0.0354, 0)</f>
        <v>32.685900000000004</v>
      </c>
      <c r="H450" s="17">
        <f>32.6505 * CHOOSE(CONTROL!$C$15, $E$9, 100%, $G$9) + CHOOSE(CONTROL!$C$38, 0.0354, 0)</f>
        <v>32.685900000000004</v>
      </c>
      <c r="I450" s="17">
        <f>32.6521 * CHOOSE(CONTROL!$C$15, $E$9, 100%, $G$9) + CHOOSE(CONTROL!$C$38, 0.0354, 0)</f>
        <v>32.6875</v>
      </c>
      <c r="J450" s="44">
        <f>283.4338</f>
        <v>283.43380000000002</v>
      </c>
    </row>
    <row r="451" spans="1:10" ht="15.75" x14ac:dyDescent="0.25">
      <c r="A451" s="14">
        <v>54666</v>
      </c>
      <c r="B451" s="17">
        <f>34.9917 * CHOOSE(CONTROL!$C$15, $E$9, 100%, $G$9) + CHOOSE(CONTROL!$C$38, 0.0353, 0)</f>
        <v>35.027000000000001</v>
      </c>
      <c r="C451" s="17">
        <f>32.811 * CHOOSE(CONTROL!$C$15, $E$9, 100%, $G$9) + CHOOSE(CONTROL!$C$38, 0.0354, 0)</f>
        <v>32.846400000000003</v>
      </c>
      <c r="D451" s="17">
        <f>32.8032 * CHOOSE(CONTROL!$C$15, $E$9, 100%, $G$9) + CHOOSE(CONTROL!$C$38, 0.0354, 0)</f>
        <v>32.8386</v>
      </c>
      <c r="E451" s="17">
        <f>32.8032 * CHOOSE(CONTROL!$C$15, $E$9, 100%, $G$9) + CHOOSE(CONTROL!$C$38, 0.0354, 0)</f>
        <v>32.8386</v>
      </c>
      <c r="F451" s="45">
        <f>34.9917 * CHOOSE(CONTROL!$C$15, $E$9, 100%, $G$9) + CHOOSE(CONTROL!$C$38, 0.0353, 0)</f>
        <v>35.027000000000001</v>
      </c>
      <c r="G451" s="17">
        <f>32.8095 * CHOOSE(CONTROL!$C$15, $E$9, 100%, $G$9) + CHOOSE(CONTROL!$C$38, 0.0354, 0)</f>
        <v>32.844900000000003</v>
      </c>
      <c r="H451" s="17">
        <f>32.8095 * CHOOSE(CONTROL!$C$15, $E$9, 100%, $G$9) + CHOOSE(CONTROL!$C$38, 0.0354, 0)</f>
        <v>32.844900000000003</v>
      </c>
      <c r="I451" s="17">
        <f>32.811 * CHOOSE(CONTROL!$C$15, $E$9, 100%, $G$9) + CHOOSE(CONTROL!$C$38, 0.0354, 0)</f>
        <v>32.846400000000003</v>
      </c>
      <c r="J451" s="44">
        <f>276.8356</f>
        <v>276.8356</v>
      </c>
    </row>
    <row r="452" spans="1:10" ht="15.75" x14ac:dyDescent="0.25">
      <c r="A452" s="14">
        <v>54696</v>
      </c>
      <c r="B452" s="17">
        <f>35.4234 * CHOOSE(CONTROL!$C$15, $E$9, 100%, $G$9) + CHOOSE(CONTROL!$C$38, 0.0353, 0)</f>
        <v>35.4587</v>
      </c>
      <c r="C452" s="17">
        <f>33.2427 * CHOOSE(CONTROL!$C$15, $E$9, 100%, $G$9) + CHOOSE(CONTROL!$C$38, 0.0354, 0)</f>
        <v>33.278100000000002</v>
      </c>
      <c r="D452" s="17">
        <f>33.2349 * CHOOSE(CONTROL!$C$15, $E$9, 100%, $G$9) + CHOOSE(CONTROL!$C$38, 0.0354, 0)</f>
        <v>33.270300000000006</v>
      </c>
      <c r="E452" s="17">
        <f>33.2349 * CHOOSE(CONTROL!$C$15, $E$9, 100%, $G$9) + CHOOSE(CONTROL!$C$38, 0.0354, 0)</f>
        <v>33.270300000000006</v>
      </c>
      <c r="F452" s="45">
        <f>35.4234 * CHOOSE(CONTROL!$C$15, $E$9, 100%, $G$9) + CHOOSE(CONTROL!$C$38, 0.0353, 0)</f>
        <v>35.4587</v>
      </c>
      <c r="G452" s="17">
        <f>33.2412 * CHOOSE(CONTROL!$C$15, $E$9, 100%, $G$9) + CHOOSE(CONTROL!$C$38, 0.0354, 0)</f>
        <v>33.276600000000002</v>
      </c>
      <c r="H452" s="17">
        <f>33.2412 * CHOOSE(CONTROL!$C$15, $E$9, 100%, $G$9) + CHOOSE(CONTROL!$C$38, 0.0354, 0)</f>
        <v>33.276600000000002</v>
      </c>
      <c r="I452" s="17">
        <f>33.2427 * CHOOSE(CONTROL!$C$15, $E$9, 100%, $G$9) + CHOOSE(CONTROL!$C$38, 0.0354, 0)</f>
        <v>33.278100000000002</v>
      </c>
      <c r="J452" s="44">
        <f>267.6341</f>
        <v>267.63409999999999</v>
      </c>
    </row>
    <row r="453" spans="1:10" ht="15.75" x14ac:dyDescent="0.25">
      <c r="A453" s="14">
        <v>54727</v>
      </c>
      <c r="B453" s="17">
        <f>35.7849 * CHOOSE(CONTROL!$C$15, $E$9, 100%, $G$9) + CHOOSE(CONTROL!$C$38, 0.034, 0)</f>
        <v>35.818899999999999</v>
      </c>
      <c r="C453" s="17">
        <f>33.6043 * CHOOSE(CONTROL!$C$15, $E$9, 100%, $G$9) + CHOOSE(CONTROL!$C$38, 0.0342, 0)</f>
        <v>33.638500000000001</v>
      </c>
      <c r="D453" s="17">
        <f>33.5965 * CHOOSE(CONTROL!$C$15, $E$9, 100%, $G$9) + CHOOSE(CONTROL!$C$38, 0.0342, 0)</f>
        <v>33.630699999999997</v>
      </c>
      <c r="E453" s="17">
        <f>33.5965 * CHOOSE(CONTROL!$C$15, $E$9, 100%, $G$9) + CHOOSE(CONTROL!$C$38, 0.0342, 0)</f>
        <v>33.630699999999997</v>
      </c>
      <c r="F453" s="45">
        <f>35.7849 * CHOOSE(CONTROL!$C$15, $E$9, 100%, $G$9) + CHOOSE(CONTROL!$C$38, 0.034, 0)</f>
        <v>35.818899999999999</v>
      </c>
      <c r="G453" s="17">
        <f>33.6027 * CHOOSE(CONTROL!$C$15, $E$9, 100%, $G$9) + CHOOSE(CONTROL!$C$38, 0.0342, 0)</f>
        <v>33.636899999999997</v>
      </c>
      <c r="H453" s="17">
        <f>33.6027 * CHOOSE(CONTROL!$C$15, $E$9, 100%, $G$9) + CHOOSE(CONTROL!$C$38, 0.0342, 0)</f>
        <v>33.636899999999997</v>
      </c>
      <c r="I453" s="17">
        <f>33.6043 * CHOOSE(CONTROL!$C$15, $E$9, 100%, $G$9) + CHOOSE(CONTROL!$C$38, 0.0342, 0)</f>
        <v>33.638500000000001</v>
      </c>
      <c r="J453" s="44">
        <f>258.379</f>
        <v>258.37900000000002</v>
      </c>
    </row>
    <row r="454" spans="1:10" ht="15.75" x14ac:dyDescent="0.25">
      <c r="A454" s="14">
        <v>54757</v>
      </c>
      <c r="B454" s="17">
        <f>36.0866 * CHOOSE(CONTROL!$C$15, $E$9, 100%, $G$9) + CHOOSE(CONTROL!$C$38, 0.034, 0)</f>
        <v>36.120599999999996</v>
      </c>
      <c r="C454" s="17">
        <f>33.906 * CHOOSE(CONTROL!$C$15, $E$9, 100%, $G$9) + CHOOSE(CONTROL!$C$38, 0.0342, 0)</f>
        <v>33.940199999999997</v>
      </c>
      <c r="D454" s="17">
        <f>33.8982 * CHOOSE(CONTROL!$C$15, $E$9, 100%, $G$9) + CHOOSE(CONTROL!$C$38, 0.0342, 0)</f>
        <v>33.932400000000001</v>
      </c>
      <c r="E454" s="17">
        <f>33.8982 * CHOOSE(CONTROL!$C$15, $E$9, 100%, $G$9) + CHOOSE(CONTROL!$C$38, 0.0342, 0)</f>
        <v>33.932400000000001</v>
      </c>
      <c r="F454" s="45">
        <f>36.0866 * CHOOSE(CONTROL!$C$15, $E$9, 100%, $G$9) + CHOOSE(CONTROL!$C$38, 0.034, 0)</f>
        <v>36.120599999999996</v>
      </c>
      <c r="G454" s="17">
        <f>33.9044 * CHOOSE(CONTROL!$C$15, $E$9, 100%, $G$9) + CHOOSE(CONTROL!$C$38, 0.0342, 0)</f>
        <v>33.938600000000001</v>
      </c>
      <c r="H454" s="17">
        <f>33.9044 * CHOOSE(CONTROL!$C$15, $E$9, 100%, $G$9) + CHOOSE(CONTROL!$C$38, 0.0342, 0)</f>
        <v>33.938600000000001</v>
      </c>
      <c r="I454" s="17">
        <f>33.906 * CHOOSE(CONTROL!$C$15, $E$9, 100%, $G$9) + CHOOSE(CONTROL!$C$38, 0.0342, 0)</f>
        <v>33.940199999999997</v>
      </c>
      <c r="J454" s="44">
        <f>256.538</f>
        <v>256.53800000000001</v>
      </c>
    </row>
    <row r="455" spans="1:10" ht="15.75" x14ac:dyDescent="0.25">
      <c r="A455" s="14">
        <v>54788</v>
      </c>
      <c r="B455" s="17">
        <f>37.0163 * CHOOSE(CONTROL!$C$15, $E$9, 100%, $G$9) + CHOOSE(CONTROL!$C$38, 0.034, 0)</f>
        <v>37.0503</v>
      </c>
      <c r="C455" s="17">
        <f>34.8357 * CHOOSE(CONTROL!$C$15, $E$9, 100%, $G$9) + CHOOSE(CONTROL!$C$38, 0.0342, 0)</f>
        <v>34.869900000000001</v>
      </c>
      <c r="D455" s="17">
        <f>34.8279 * CHOOSE(CONTROL!$C$15, $E$9, 100%, $G$9) + CHOOSE(CONTROL!$C$38, 0.0342, 0)</f>
        <v>34.862099999999998</v>
      </c>
      <c r="E455" s="17">
        <f>34.8279 * CHOOSE(CONTROL!$C$15, $E$9, 100%, $G$9) + CHOOSE(CONTROL!$C$38, 0.0342, 0)</f>
        <v>34.862099999999998</v>
      </c>
      <c r="F455" s="45">
        <f>37.0163 * CHOOSE(CONTROL!$C$15, $E$9, 100%, $G$9) + CHOOSE(CONTROL!$C$38, 0.034, 0)</f>
        <v>37.0503</v>
      </c>
      <c r="G455" s="17">
        <f>34.8341 * CHOOSE(CONTROL!$C$15, $E$9, 100%, $G$9) + CHOOSE(CONTROL!$C$38, 0.0342, 0)</f>
        <v>34.868299999999998</v>
      </c>
      <c r="H455" s="17">
        <f>34.8341 * CHOOSE(CONTROL!$C$15, $E$9, 100%, $G$9) + CHOOSE(CONTROL!$C$38, 0.0342, 0)</f>
        <v>34.868299999999998</v>
      </c>
      <c r="I455" s="17">
        <f>34.8357 * CHOOSE(CONTROL!$C$15, $E$9, 100%, $G$9) + CHOOSE(CONTROL!$C$38, 0.0342, 0)</f>
        <v>34.869900000000001</v>
      </c>
      <c r="J455" s="44">
        <f>248.9252</f>
        <v>248.92519999999999</v>
      </c>
    </row>
    <row r="456" spans="1:10" ht="15.75" x14ac:dyDescent="0.25">
      <c r="A456" s="14">
        <v>54819</v>
      </c>
      <c r="B456" s="17">
        <f>38.3473 * CHOOSE(CONTROL!$C$15, $E$9, 100%, $G$9) + CHOOSE(CONTROL!$C$38, 0.034, 0)</f>
        <v>38.381299999999996</v>
      </c>
      <c r="C456" s="17">
        <f>36.1326 * CHOOSE(CONTROL!$C$15, $E$9, 100%, $G$9) + CHOOSE(CONTROL!$C$38, 0.0342, 0)</f>
        <v>36.166799999999995</v>
      </c>
      <c r="D456" s="17">
        <f>36.1248 * CHOOSE(CONTROL!$C$15, $E$9, 100%, $G$9) + CHOOSE(CONTROL!$C$38, 0.0342, 0)</f>
        <v>36.158999999999999</v>
      </c>
      <c r="E456" s="17">
        <f>36.1248 * CHOOSE(CONTROL!$C$15, $E$9, 100%, $G$9) + CHOOSE(CONTROL!$C$38, 0.0342, 0)</f>
        <v>36.158999999999999</v>
      </c>
      <c r="F456" s="45">
        <f>38.3473 * CHOOSE(CONTROL!$C$15, $E$9, 100%, $G$9) + CHOOSE(CONTROL!$C$38, 0.034, 0)</f>
        <v>38.381299999999996</v>
      </c>
      <c r="G456" s="17">
        <f>36.1311 * CHOOSE(CONTROL!$C$15, $E$9, 100%, $G$9) + CHOOSE(CONTROL!$C$38, 0.0342, 0)</f>
        <v>36.165300000000002</v>
      </c>
      <c r="H456" s="17">
        <f>36.1311 * CHOOSE(CONTROL!$C$15, $E$9, 100%, $G$9) + CHOOSE(CONTROL!$C$38, 0.0342, 0)</f>
        <v>36.165300000000002</v>
      </c>
      <c r="I456" s="17">
        <f>36.1326 * CHOOSE(CONTROL!$C$15, $E$9, 100%, $G$9) + CHOOSE(CONTROL!$C$38, 0.0342, 0)</f>
        <v>36.166799999999995</v>
      </c>
      <c r="J456" s="44">
        <f>248.7455</f>
        <v>248.74549999999999</v>
      </c>
    </row>
    <row r="457" spans="1:10" ht="15.75" x14ac:dyDescent="0.25">
      <c r="A457" s="14">
        <v>54847</v>
      </c>
      <c r="B457" s="17">
        <f>38.6916 * CHOOSE(CONTROL!$C$15, $E$9, 100%, $G$9) + CHOOSE(CONTROL!$C$38, 0.034, 0)</f>
        <v>38.7256</v>
      </c>
      <c r="C457" s="17">
        <f>36.4769 * CHOOSE(CONTROL!$C$15, $E$9, 100%, $G$9) + CHOOSE(CONTROL!$C$38, 0.0342, 0)</f>
        <v>36.511099999999999</v>
      </c>
      <c r="D457" s="17">
        <f>36.4691 * CHOOSE(CONTROL!$C$15, $E$9, 100%, $G$9) + CHOOSE(CONTROL!$C$38, 0.0342, 0)</f>
        <v>36.503299999999996</v>
      </c>
      <c r="E457" s="17">
        <f>36.4691 * CHOOSE(CONTROL!$C$15, $E$9, 100%, $G$9) + CHOOSE(CONTROL!$C$38, 0.0342, 0)</f>
        <v>36.503299999999996</v>
      </c>
      <c r="F457" s="45">
        <f>38.6916 * CHOOSE(CONTROL!$C$15, $E$9, 100%, $G$9) + CHOOSE(CONTROL!$C$38, 0.034, 0)</f>
        <v>38.7256</v>
      </c>
      <c r="G457" s="17">
        <f>36.4754 * CHOOSE(CONTROL!$C$15, $E$9, 100%, $G$9) + CHOOSE(CONTROL!$C$38, 0.0342, 0)</f>
        <v>36.509599999999999</v>
      </c>
      <c r="H457" s="17">
        <f>36.4754 * CHOOSE(CONTROL!$C$15, $E$9, 100%, $G$9) + CHOOSE(CONTROL!$C$38, 0.0342, 0)</f>
        <v>36.509599999999999</v>
      </c>
      <c r="I457" s="17">
        <f>36.4769 * CHOOSE(CONTROL!$C$15, $E$9, 100%, $G$9) + CHOOSE(CONTROL!$C$38, 0.0342, 0)</f>
        <v>36.511099999999999</v>
      </c>
      <c r="J457" s="44">
        <f>248.0541</f>
        <v>248.05410000000001</v>
      </c>
    </row>
    <row r="458" spans="1:10" ht="15.75" x14ac:dyDescent="0.25">
      <c r="A458" s="14">
        <v>54878</v>
      </c>
      <c r="B458" s="17">
        <f>37.8945 * CHOOSE(CONTROL!$C$15, $E$9, 100%, $G$9) + CHOOSE(CONTROL!$C$38, 0.034, 0)</f>
        <v>37.9285</v>
      </c>
      <c r="C458" s="17">
        <f>35.6799 * CHOOSE(CONTROL!$C$15, $E$9, 100%, $G$9) + CHOOSE(CONTROL!$C$38, 0.0342, 0)</f>
        <v>35.714100000000002</v>
      </c>
      <c r="D458" s="17">
        <f>35.6721 * CHOOSE(CONTROL!$C$15, $E$9, 100%, $G$9) + CHOOSE(CONTROL!$C$38, 0.0342, 0)</f>
        <v>35.706299999999999</v>
      </c>
      <c r="E458" s="17">
        <f>35.6721 * CHOOSE(CONTROL!$C$15, $E$9, 100%, $G$9) + CHOOSE(CONTROL!$C$38, 0.0342, 0)</f>
        <v>35.706299999999999</v>
      </c>
      <c r="F458" s="45">
        <f>37.8945 * CHOOSE(CONTROL!$C$15, $E$9, 100%, $G$9) + CHOOSE(CONTROL!$C$38, 0.034, 0)</f>
        <v>37.9285</v>
      </c>
      <c r="G458" s="17">
        <f>35.6783 * CHOOSE(CONTROL!$C$15, $E$9, 100%, $G$9) + CHOOSE(CONTROL!$C$38, 0.0342, 0)</f>
        <v>35.712499999999999</v>
      </c>
      <c r="H458" s="17">
        <f>35.6783 * CHOOSE(CONTROL!$C$15, $E$9, 100%, $G$9) + CHOOSE(CONTROL!$C$38, 0.0342, 0)</f>
        <v>35.712499999999999</v>
      </c>
      <c r="I458" s="17">
        <f>35.6799 * CHOOSE(CONTROL!$C$15, $E$9, 100%, $G$9) + CHOOSE(CONTROL!$C$38, 0.0342, 0)</f>
        <v>35.714100000000002</v>
      </c>
      <c r="J458" s="44">
        <f>261.128</f>
        <v>261.12799999999999</v>
      </c>
    </row>
    <row r="459" spans="1:10" ht="15.75" x14ac:dyDescent="0.25">
      <c r="A459" s="14">
        <v>54908</v>
      </c>
      <c r="B459" s="17">
        <f>37.1222 * CHOOSE(CONTROL!$C$15, $E$9, 100%, $G$9) + CHOOSE(CONTROL!$C$38, 0.034, 0)</f>
        <v>37.156199999999998</v>
      </c>
      <c r="C459" s="17">
        <f>34.9076 * CHOOSE(CONTROL!$C$15, $E$9, 100%, $G$9) + CHOOSE(CONTROL!$C$38, 0.0342, 0)</f>
        <v>34.941800000000001</v>
      </c>
      <c r="D459" s="17">
        <f>34.8998 * CHOOSE(CONTROL!$C$15, $E$9, 100%, $G$9) + CHOOSE(CONTROL!$C$38, 0.0342, 0)</f>
        <v>34.933999999999997</v>
      </c>
      <c r="E459" s="17">
        <f>34.8998 * CHOOSE(CONTROL!$C$15, $E$9, 100%, $G$9) + CHOOSE(CONTROL!$C$38, 0.0342, 0)</f>
        <v>34.933999999999997</v>
      </c>
      <c r="F459" s="45">
        <f>37.1222 * CHOOSE(CONTROL!$C$15, $E$9, 100%, $G$9) + CHOOSE(CONTROL!$C$38, 0.034, 0)</f>
        <v>37.156199999999998</v>
      </c>
      <c r="G459" s="17">
        <f>34.906 * CHOOSE(CONTROL!$C$15, $E$9, 100%, $G$9) + CHOOSE(CONTROL!$C$38, 0.0342, 0)</f>
        <v>34.940199999999997</v>
      </c>
      <c r="H459" s="17">
        <f>34.906 * CHOOSE(CONTROL!$C$15, $E$9, 100%, $G$9) + CHOOSE(CONTROL!$C$38, 0.0342, 0)</f>
        <v>34.940199999999997</v>
      </c>
      <c r="I459" s="17">
        <f>34.9076 * CHOOSE(CONTROL!$C$15, $E$9, 100%, $G$9) + CHOOSE(CONTROL!$C$38, 0.0342, 0)</f>
        <v>34.941800000000001</v>
      </c>
      <c r="J459" s="44">
        <f>278.0817</f>
        <v>278.08170000000001</v>
      </c>
    </row>
    <row r="460" spans="1:10" ht="15.75" x14ac:dyDescent="0.25">
      <c r="A460" s="14">
        <v>54939</v>
      </c>
      <c r="B460" s="17">
        <f>36.3173 * CHOOSE(CONTROL!$C$15, $E$9, 100%, $G$9) + CHOOSE(CONTROL!$C$38, 0.0353, 0)</f>
        <v>36.352600000000002</v>
      </c>
      <c r="C460" s="17">
        <f>34.1026 * CHOOSE(CONTROL!$C$15, $E$9, 100%, $G$9) + CHOOSE(CONTROL!$C$38, 0.0354, 0)</f>
        <v>34.138000000000005</v>
      </c>
      <c r="D460" s="17">
        <f>34.0948 * CHOOSE(CONTROL!$C$15, $E$9, 100%, $G$9) + CHOOSE(CONTROL!$C$38, 0.0354, 0)</f>
        <v>34.130200000000002</v>
      </c>
      <c r="E460" s="17">
        <f>34.0948 * CHOOSE(CONTROL!$C$15, $E$9, 100%, $G$9) + CHOOSE(CONTROL!$C$38, 0.0354, 0)</f>
        <v>34.130200000000002</v>
      </c>
      <c r="F460" s="45">
        <f>36.3173 * CHOOSE(CONTROL!$C$15, $E$9, 100%, $G$9) + CHOOSE(CONTROL!$C$38, 0.0353, 0)</f>
        <v>36.352600000000002</v>
      </c>
      <c r="G460" s="17">
        <f>34.1011 * CHOOSE(CONTROL!$C$15, $E$9, 100%, $G$9) + CHOOSE(CONTROL!$C$38, 0.0354, 0)</f>
        <v>34.136500000000005</v>
      </c>
      <c r="H460" s="17">
        <f>34.1011 * CHOOSE(CONTROL!$C$15, $E$9, 100%, $G$9) + CHOOSE(CONTROL!$C$38, 0.0354, 0)</f>
        <v>34.136500000000005</v>
      </c>
      <c r="I460" s="17">
        <f>34.1026 * CHOOSE(CONTROL!$C$15, $E$9, 100%, $G$9) + CHOOSE(CONTROL!$C$38, 0.0354, 0)</f>
        <v>34.138000000000005</v>
      </c>
      <c r="J460" s="44">
        <f>287.4135</f>
        <v>287.4135</v>
      </c>
    </row>
    <row r="461" spans="1:10" ht="15.75" x14ac:dyDescent="0.25">
      <c r="A461" s="14">
        <v>54969</v>
      </c>
      <c r="B461" s="17">
        <f>35.7529 * CHOOSE(CONTROL!$C$15, $E$9, 100%, $G$9) + CHOOSE(CONTROL!$C$38, 0.0353, 0)</f>
        <v>35.788199999999996</v>
      </c>
      <c r="C461" s="17">
        <f>33.5383 * CHOOSE(CONTROL!$C$15, $E$9, 100%, $G$9) + CHOOSE(CONTROL!$C$38, 0.0354, 0)</f>
        <v>33.573700000000002</v>
      </c>
      <c r="D461" s="17">
        <f>33.5305 * CHOOSE(CONTROL!$C$15, $E$9, 100%, $G$9) + CHOOSE(CONTROL!$C$38, 0.0354, 0)</f>
        <v>33.565900000000006</v>
      </c>
      <c r="E461" s="17">
        <f>33.5305 * CHOOSE(CONTROL!$C$15, $E$9, 100%, $G$9) + CHOOSE(CONTROL!$C$38, 0.0354, 0)</f>
        <v>33.565900000000006</v>
      </c>
      <c r="F461" s="45">
        <f>35.7529 * CHOOSE(CONTROL!$C$15, $E$9, 100%, $G$9) + CHOOSE(CONTROL!$C$38, 0.0353, 0)</f>
        <v>35.788199999999996</v>
      </c>
      <c r="G461" s="17">
        <f>33.5367 * CHOOSE(CONTROL!$C$15, $E$9, 100%, $G$9) + CHOOSE(CONTROL!$C$38, 0.0354, 0)</f>
        <v>33.572100000000006</v>
      </c>
      <c r="H461" s="17">
        <f>33.5367 * CHOOSE(CONTROL!$C$15, $E$9, 100%, $G$9) + CHOOSE(CONTROL!$C$38, 0.0354, 0)</f>
        <v>33.572100000000006</v>
      </c>
      <c r="I461" s="17">
        <f>33.5383 * CHOOSE(CONTROL!$C$15, $E$9, 100%, $G$9) + CHOOSE(CONTROL!$C$38, 0.0354, 0)</f>
        <v>33.573700000000002</v>
      </c>
      <c r="J461" s="44">
        <f>291.5548</f>
        <v>291.5548</v>
      </c>
    </row>
    <row r="462" spans="1:10" ht="15.75" x14ac:dyDescent="0.25">
      <c r="A462" s="14">
        <v>55000</v>
      </c>
      <c r="B462" s="17">
        <f>35.4309 * CHOOSE(CONTROL!$C$15, $E$9, 100%, $G$9) + CHOOSE(CONTROL!$C$38, 0.0353, 0)</f>
        <v>35.466200000000001</v>
      </c>
      <c r="C462" s="17">
        <f>33.2162 * CHOOSE(CONTROL!$C$15, $E$9, 100%, $G$9) + CHOOSE(CONTROL!$C$38, 0.0354, 0)</f>
        <v>33.251600000000003</v>
      </c>
      <c r="D462" s="17">
        <f>33.2084 * CHOOSE(CONTROL!$C$15, $E$9, 100%, $G$9) + CHOOSE(CONTROL!$C$38, 0.0354, 0)</f>
        <v>33.2438</v>
      </c>
      <c r="E462" s="17">
        <f>33.2084 * CHOOSE(CONTROL!$C$15, $E$9, 100%, $G$9) + CHOOSE(CONTROL!$C$38, 0.0354, 0)</f>
        <v>33.2438</v>
      </c>
      <c r="F462" s="45">
        <f>35.4309 * CHOOSE(CONTROL!$C$15, $E$9, 100%, $G$9) + CHOOSE(CONTROL!$C$38, 0.0353, 0)</f>
        <v>35.466200000000001</v>
      </c>
      <c r="G462" s="17">
        <f>33.2147 * CHOOSE(CONTROL!$C$15, $E$9, 100%, $G$9) + CHOOSE(CONTROL!$C$38, 0.0354, 0)</f>
        <v>33.250100000000003</v>
      </c>
      <c r="H462" s="17">
        <f>33.2147 * CHOOSE(CONTROL!$C$15, $E$9, 100%, $G$9) + CHOOSE(CONTROL!$C$38, 0.0354, 0)</f>
        <v>33.250100000000003</v>
      </c>
      <c r="I462" s="17">
        <f>33.2162 * CHOOSE(CONTROL!$C$15, $E$9, 100%, $G$9) + CHOOSE(CONTROL!$C$38, 0.0354, 0)</f>
        <v>33.251600000000003</v>
      </c>
      <c r="J462" s="44">
        <f>290.1913</f>
        <v>290.19130000000001</v>
      </c>
    </row>
    <row r="463" spans="1:10" ht="15.75" x14ac:dyDescent="0.25">
      <c r="A463" s="14">
        <v>55031</v>
      </c>
      <c r="B463" s="17">
        <f>35.5898 * CHOOSE(CONTROL!$C$15, $E$9, 100%, $G$9) + CHOOSE(CONTROL!$C$38, 0.0353, 0)</f>
        <v>35.625099999999996</v>
      </c>
      <c r="C463" s="17">
        <f>33.3752 * CHOOSE(CONTROL!$C$15, $E$9, 100%, $G$9) + CHOOSE(CONTROL!$C$38, 0.0354, 0)</f>
        <v>33.410600000000002</v>
      </c>
      <c r="D463" s="17">
        <f>33.3674 * CHOOSE(CONTROL!$C$15, $E$9, 100%, $G$9) + CHOOSE(CONTROL!$C$38, 0.0354, 0)</f>
        <v>33.402800000000006</v>
      </c>
      <c r="E463" s="17">
        <f>33.3674 * CHOOSE(CONTROL!$C$15, $E$9, 100%, $G$9) + CHOOSE(CONTROL!$C$38, 0.0354, 0)</f>
        <v>33.402800000000006</v>
      </c>
      <c r="F463" s="45">
        <f>35.5898 * CHOOSE(CONTROL!$C$15, $E$9, 100%, $G$9) + CHOOSE(CONTROL!$C$38, 0.0353, 0)</f>
        <v>35.625099999999996</v>
      </c>
      <c r="G463" s="17">
        <f>33.3736 * CHOOSE(CONTROL!$C$15, $E$9, 100%, $G$9) + CHOOSE(CONTROL!$C$38, 0.0354, 0)</f>
        <v>33.409000000000006</v>
      </c>
      <c r="H463" s="17">
        <f>33.3736 * CHOOSE(CONTROL!$C$15, $E$9, 100%, $G$9) + CHOOSE(CONTROL!$C$38, 0.0354, 0)</f>
        <v>33.409000000000006</v>
      </c>
      <c r="I463" s="17">
        <f>33.3752 * CHOOSE(CONTROL!$C$15, $E$9, 100%, $G$9) + CHOOSE(CONTROL!$C$38, 0.0354, 0)</f>
        <v>33.410600000000002</v>
      </c>
      <c r="J463" s="44">
        <f>283.4358</f>
        <v>283.43579999999997</v>
      </c>
    </row>
    <row r="464" spans="1:10" ht="15.75" x14ac:dyDescent="0.25">
      <c r="A464" s="14">
        <v>55061</v>
      </c>
      <c r="B464" s="17">
        <f>36.0215 * CHOOSE(CONTROL!$C$15, $E$9, 100%, $G$9) + CHOOSE(CONTROL!$C$38, 0.0353, 0)</f>
        <v>36.056800000000003</v>
      </c>
      <c r="C464" s="17">
        <f>33.8069 * CHOOSE(CONTROL!$C$15, $E$9, 100%, $G$9) + CHOOSE(CONTROL!$C$38, 0.0354, 0)</f>
        <v>33.842300000000002</v>
      </c>
      <c r="D464" s="17">
        <f>33.7991 * CHOOSE(CONTROL!$C$15, $E$9, 100%, $G$9) + CHOOSE(CONTROL!$C$38, 0.0354, 0)</f>
        <v>33.834500000000006</v>
      </c>
      <c r="E464" s="17">
        <f>33.7991 * CHOOSE(CONTROL!$C$15, $E$9, 100%, $G$9) + CHOOSE(CONTROL!$C$38, 0.0354, 0)</f>
        <v>33.834500000000006</v>
      </c>
      <c r="F464" s="45">
        <f>36.0215 * CHOOSE(CONTROL!$C$15, $E$9, 100%, $G$9) + CHOOSE(CONTROL!$C$38, 0.0353, 0)</f>
        <v>36.056800000000003</v>
      </c>
      <c r="G464" s="17">
        <f>33.8053 * CHOOSE(CONTROL!$C$15, $E$9, 100%, $G$9) + CHOOSE(CONTROL!$C$38, 0.0354, 0)</f>
        <v>33.840700000000005</v>
      </c>
      <c r="H464" s="17">
        <f>33.8053 * CHOOSE(CONTROL!$C$15, $E$9, 100%, $G$9) + CHOOSE(CONTROL!$C$38, 0.0354, 0)</f>
        <v>33.840700000000005</v>
      </c>
      <c r="I464" s="17">
        <f>33.8069 * CHOOSE(CONTROL!$C$15, $E$9, 100%, $G$9) + CHOOSE(CONTROL!$C$38, 0.0354, 0)</f>
        <v>33.842300000000002</v>
      </c>
      <c r="J464" s="44">
        <f>274.0149</f>
        <v>274.01490000000001</v>
      </c>
    </row>
    <row r="465" spans="1:10" ht="15.75" x14ac:dyDescent="0.25">
      <c r="A465" s="14">
        <v>55092</v>
      </c>
      <c r="B465" s="17">
        <f>36.3831 * CHOOSE(CONTROL!$C$15, $E$9, 100%, $G$9) + CHOOSE(CONTROL!$C$38, 0.034, 0)</f>
        <v>36.417099999999998</v>
      </c>
      <c r="C465" s="17">
        <f>34.1685 * CHOOSE(CONTROL!$C$15, $E$9, 100%, $G$9) + CHOOSE(CONTROL!$C$38, 0.0342, 0)</f>
        <v>34.2027</v>
      </c>
      <c r="D465" s="17">
        <f>34.1606 * CHOOSE(CONTROL!$C$15, $E$9, 100%, $G$9) + CHOOSE(CONTROL!$C$38, 0.0342, 0)</f>
        <v>34.194800000000001</v>
      </c>
      <c r="E465" s="17">
        <f>34.1606 * CHOOSE(CONTROL!$C$15, $E$9, 100%, $G$9) + CHOOSE(CONTROL!$C$38, 0.0342, 0)</f>
        <v>34.194800000000001</v>
      </c>
      <c r="F465" s="45">
        <f>36.3831 * CHOOSE(CONTROL!$C$15, $E$9, 100%, $G$9) + CHOOSE(CONTROL!$C$38, 0.034, 0)</f>
        <v>36.417099999999998</v>
      </c>
      <c r="G465" s="17">
        <f>34.1669 * CHOOSE(CONTROL!$C$15, $E$9, 100%, $G$9) + CHOOSE(CONTROL!$C$38, 0.0342, 0)</f>
        <v>34.201099999999997</v>
      </c>
      <c r="H465" s="17">
        <f>34.1669 * CHOOSE(CONTROL!$C$15, $E$9, 100%, $G$9) + CHOOSE(CONTROL!$C$38, 0.0342, 0)</f>
        <v>34.201099999999997</v>
      </c>
      <c r="I465" s="17">
        <f>34.1685 * CHOOSE(CONTROL!$C$15, $E$9, 100%, $G$9) + CHOOSE(CONTROL!$C$38, 0.0342, 0)</f>
        <v>34.2027</v>
      </c>
      <c r="J465" s="44">
        <f>264.5392</f>
        <v>264.53919999999999</v>
      </c>
    </row>
    <row r="466" spans="1:10" ht="15.75" x14ac:dyDescent="0.25">
      <c r="A466" s="14">
        <v>55122</v>
      </c>
      <c r="B466" s="17">
        <f>36.6848 * CHOOSE(CONTROL!$C$15, $E$9, 100%, $G$9) + CHOOSE(CONTROL!$C$38, 0.034, 0)</f>
        <v>36.718800000000002</v>
      </c>
      <c r="C466" s="17">
        <f>34.4702 * CHOOSE(CONTROL!$C$15, $E$9, 100%, $G$9) + CHOOSE(CONTROL!$C$38, 0.0342, 0)</f>
        <v>34.504399999999997</v>
      </c>
      <c r="D466" s="17">
        <f>34.4624 * CHOOSE(CONTROL!$C$15, $E$9, 100%, $G$9) + CHOOSE(CONTROL!$C$38, 0.0342, 0)</f>
        <v>34.496600000000001</v>
      </c>
      <c r="E466" s="17">
        <f>34.4624 * CHOOSE(CONTROL!$C$15, $E$9, 100%, $G$9) + CHOOSE(CONTROL!$C$38, 0.0342, 0)</f>
        <v>34.496600000000001</v>
      </c>
      <c r="F466" s="45">
        <f>36.6848 * CHOOSE(CONTROL!$C$15, $E$9, 100%, $G$9) + CHOOSE(CONTROL!$C$38, 0.034, 0)</f>
        <v>36.718800000000002</v>
      </c>
      <c r="G466" s="17">
        <f>34.4686 * CHOOSE(CONTROL!$C$15, $E$9, 100%, $G$9) + CHOOSE(CONTROL!$C$38, 0.0342, 0)</f>
        <v>34.502800000000001</v>
      </c>
      <c r="H466" s="17">
        <f>34.4686 * CHOOSE(CONTROL!$C$15, $E$9, 100%, $G$9) + CHOOSE(CONTROL!$C$38, 0.0342, 0)</f>
        <v>34.502800000000001</v>
      </c>
      <c r="I466" s="17">
        <f>34.4702 * CHOOSE(CONTROL!$C$15, $E$9, 100%, $G$9) + CHOOSE(CONTROL!$C$38, 0.0342, 0)</f>
        <v>34.504399999999997</v>
      </c>
      <c r="J466" s="44">
        <f>262.6543</f>
        <v>262.65429999999998</v>
      </c>
    </row>
    <row r="467" spans="1:10" ht="15.75" x14ac:dyDescent="0.25">
      <c r="A467" s="14">
        <v>55153</v>
      </c>
      <c r="B467" s="17">
        <f>37.6145 * CHOOSE(CONTROL!$C$15, $E$9, 100%, $G$9) + CHOOSE(CONTROL!$C$38, 0.034, 0)</f>
        <v>37.648499999999999</v>
      </c>
      <c r="C467" s="17">
        <f>35.3998 * CHOOSE(CONTROL!$C$15, $E$9, 100%, $G$9) + CHOOSE(CONTROL!$C$38, 0.0342, 0)</f>
        <v>35.433999999999997</v>
      </c>
      <c r="D467" s="17">
        <f>35.392 * CHOOSE(CONTROL!$C$15, $E$9, 100%, $G$9) + CHOOSE(CONTROL!$C$38, 0.0342, 0)</f>
        <v>35.426200000000001</v>
      </c>
      <c r="E467" s="17">
        <f>35.392 * CHOOSE(CONTROL!$C$15, $E$9, 100%, $G$9) + CHOOSE(CONTROL!$C$38, 0.0342, 0)</f>
        <v>35.426200000000001</v>
      </c>
      <c r="F467" s="45">
        <f>37.6145 * CHOOSE(CONTROL!$C$15, $E$9, 100%, $G$9) + CHOOSE(CONTROL!$C$38, 0.034, 0)</f>
        <v>37.648499999999999</v>
      </c>
      <c r="G467" s="17">
        <f>35.3983 * CHOOSE(CONTROL!$C$15, $E$9, 100%, $G$9) + CHOOSE(CONTROL!$C$38, 0.0342, 0)</f>
        <v>35.432499999999997</v>
      </c>
      <c r="H467" s="17">
        <f>35.3983 * CHOOSE(CONTROL!$C$15, $E$9, 100%, $G$9) + CHOOSE(CONTROL!$C$38, 0.0342, 0)</f>
        <v>35.432499999999997</v>
      </c>
      <c r="I467" s="17">
        <f>35.3998 * CHOOSE(CONTROL!$C$15, $E$9, 100%, $G$9) + CHOOSE(CONTROL!$C$38, 0.0342, 0)</f>
        <v>35.433999999999997</v>
      </c>
      <c r="J467" s="44">
        <f>254.86</f>
        <v>254.86</v>
      </c>
    </row>
    <row r="468" spans="1:10" ht="15.75" x14ac:dyDescent="0.25">
      <c r="A468" s="14">
        <v>55184</v>
      </c>
      <c r="B468" s="17">
        <f>38.9555 * CHOOSE(CONTROL!$C$15, $E$9, 100%, $G$9) + CHOOSE(CONTROL!$C$38, 0.034, 0)</f>
        <v>38.9895</v>
      </c>
      <c r="C468" s="17">
        <f>36.7063 * CHOOSE(CONTROL!$C$15, $E$9, 100%, $G$9) + CHOOSE(CONTROL!$C$38, 0.0342, 0)</f>
        <v>36.740499999999997</v>
      </c>
      <c r="D468" s="17">
        <f>36.6984 * CHOOSE(CONTROL!$C$15, $E$9, 100%, $G$9) + CHOOSE(CONTROL!$C$38, 0.0342, 0)</f>
        <v>36.732599999999998</v>
      </c>
      <c r="E468" s="17">
        <f>36.6984 * CHOOSE(CONTROL!$C$15, $E$9, 100%, $G$9) + CHOOSE(CONTROL!$C$38, 0.0342, 0)</f>
        <v>36.732599999999998</v>
      </c>
      <c r="F468" s="45">
        <f>38.9555 * CHOOSE(CONTROL!$C$15, $E$9, 100%, $G$9) + CHOOSE(CONTROL!$C$38, 0.034, 0)</f>
        <v>38.9895</v>
      </c>
      <c r="G468" s="17">
        <f>36.7047 * CHOOSE(CONTROL!$C$15, $E$9, 100%, $G$9) + CHOOSE(CONTROL!$C$38, 0.0342, 0)</f>
        <v>36.738900000000001</v>
      </c>
      <c r="H468" s="17">
        <f>36.7047 * CHOOSE(CONTROL!$C$15, $E$9, 100%, $G$9) + CHOOSE(CONTROL!$C$38, 0.0342, 0)</f>
        <v>36.738900000000001</v>
      </c>
      <c r="I468" s="17">
        <f>36.7063 * CHOOSE(CONTROL!$C$15, $E$9, 100%, $G$9) + CHOOSE(CONTROL!$C$38, 0.0342, 0)</f>
        <v>36.740499999999997</v>
      </c>
      <c r="J468" s="44">
        <f>254.676</f>
        <v>254.67599999999999</v>
      </c>
    </row>
    <row r="469" spans="1:10" ht="15.75" x14ac:dyDescent="0.25">
      <c r="A469" s="14">
        <v>55212</v>
      </c>
      <c r="B469" s="17">
        <f>39.2998 * CHOOSE(CONTROL!$C$15, $E$9, 100%, $G$9) + CHOOSE(CONTROL!$C$38, 0.034, 0)</f>
        <v>39.333799999999997</v>
      </c>
      <c r="C469" s="17">
        <f>37.0506 * CHOOSE(CONTROL!$C$15, $E$9, 100%, $G$9) + CHOOSE(CONTROL!$C$38, 0.0342, 0)</f>
        <v>37.084800000000001</v>
      </c>
      <c r="D469" s="17">
        <f>37.0428 * CHOOSE(CONTROL!$C$15, $E$9, 100%, $G$9) + CHOOSE(CONTROL!$C$38, 0.0342, 0)</f>
        <v>37.076999999999998</v>
      </c>
      <c r="E469" s="17">
        <f>37.0428 * CHOOSE(CONTROL!$C$15, $E$9, 100%, $G$9) + CHOOSE(CONTROL!$C$38, 0.0342, 0)</f>
        <v>37.076999999999998</v>
      </c>
      <c r="F469" s="45">
        <f>39.2998 * CHOOSE(CONTROL!$C$15, $E$9, 100%, $G$9) + CHOOSE(CONTROL!$C$38, 0.034, 0)</f>
        <v>39.333799999999997</v>
      </c>
      <c r="G469" s="17">
        <f>37.049 * CHOOSE(CONTROL!$C$15, $E$9, 100%, $G$9) + CHOOSE(CONTROL!$C$38, 0.0342, 0)</f>
        <v>37.083199999999998</v>
      </c>
      <c r="H469" s="17">
        <f>37.049 * CHOOSE(CONTROL!$C$15, $E$9, 100%, $G$9) + CHOOSE(CONTROL!$C$38, 0.0342, 0)</f>
        <v>37.083199999999998</v>
      </c>
      <c r="I469" s="17">
        <f>37.0506 * CHOOSE(CONTROL!$C$15, $E$9, 100%, $G$9) + CHOOSE(CONTROL!$C$38, 0.0342, 0)</f>
        <v>37.084800000000001</v>
      </c>
      <c r="J469" s="44">
        <f>253.9681</f>
        <v>253.96809999999999</v>
      </c>
    </row>
    <row r="470" spans="1:10" ht="15.75" x14ac:dyDescent="0.25">
      <c r="A470" s="14">
        <v>55243</v>
      </c>
      <c r="B470" s="17">
        <f>38.5028 * CHOOSE(CONTROL!$C$15, $E$9, 100%, $G$9) + CHOOSE(CONTROL!$C$38, 0.034, 0)</f>
        <v>38.536799999999999</v>
      </c>
      <c r="C470" s="17">
        <f>36.2535 * CHOOSE(CONTROL!$C$15, $E$9, 100%, $G$9) + CHOOSE(CONTROL!$C$38, 0.0342, 0)</f>
        <v>36.287700000000001</v>
      </c>
      <c r="D470" s="17">
        <f>36.2457 * CHOOSE(CONTROL!$C$15, $E$9, 100%, $G$9) + CHOOSE(CONTROL!$C$38, 0.0342, 0)</f>
        <v>36.279899999999998</v>
      </c>
      <c r="E470" s="17">
        <f>36.2457 * CHOOSE(CONTROL!$C$15, $E$9, 100%, $G$9) + CHOOSE(CONTROL!$C$38, 0.0342, 0)</f>
        <v>36.279899999999998</v>
      </c>
      <c r="F470" s="45">
        <f>38.5028 * CHOOSE(CONTROL!$C$15, $E$9, 100%, $G$9) + CHOOSE(CONTROL!$C$38, 0.034, 0)</f>
        <v>38.536799999999999</v>
      </c>
      <c r="G470" s="17">
        <f>36.252 * CHOOSE(CONTROL!$C$15, $E$9, 100%, $G$9) + CHOOSE(CONTROL!$C$38, 0.0342, 0)</f>
        <v>36.286200000000001</v>
      </c>
      <c r="H470" s="17">
        <f>36.252 * CHOOSE(CONTROL!$C$15, $E$9, 100%, $G$9) + CHOOSE(CONTROL!$C$38, 0.0342, 0)</f>
        <v>36.286200000000001</v>
      </c>
      <c r="I470" s="17">
        <f>36.2535 * CHOOSE(CONTROL!$C$15, $E$9, 100%, $G$9) + CHOOSE(CONTROL!$C$38, 0.0342, 0)</f>
        <v>36.287700000000001</v>
      </c>
      <c r="J470" s="44">
        <f>267.3536</f>
        <v>267.35359999999997</v>
      </c>
    </row>
    <row r="471" spans="1:10" ht="15.75" x14ac:dyDescent="0.25">
      <c r="A471" s="14">
        <v>55273</v>
      </c>
      <c r="B471" s="17">
        <f>37.7305 * CHOOSE(CONTROL!$C$15, $E$9, 100%, $G$9) + CHOOSE(CONTROL!$C$38, 0.034, 0)</f>
        <v>37.764499999999998</v>
      </c>
      <c r="C471" s="17">
        <f>35.4812 * CHOOSE(CONTROL!$C$15, $E$9, 100%, $G$9) + CHOOSE(CONTROL!$C$38, 0.0342, 0)</f>
        <v>35.5154</v>
      </c>
      <c r="D471" s="17">
        <f>35.4734 * CHOOSE(CONTROL!$C$15, $E$9, 100%, $G$9) + CHOOSE(CONTROL!$C$38, 0.0342, 0)</f>
        <v>35.507599999999996</v>
      </c>
      <c r="E471" s="17">
        <f>35.4734 * CHOOSE(CONTROL!$C$15, $E$9, 100%, $G$9) + CHOOSE(CONTROL!$C$38, 0.0342, 0)</f>
        <v>35.507599999999996</v>
      </c>
      <c r="F471" s="45">
        <f>37.7305 * CHOOSE(CONTROL!$C$15, $E$9, 100%, $G$9) + CHOOSE(CONTROL!$C$38, 0.034, 0)</f>
        <v>37.764499999999998</v>
      </c>
      <c r="G471" s="17">
        <f>35.4797 * CHOOSE(CONTROL!$C$15, $E$9, 100%, $G$9) + CHOOSE(CONTROL!$C$38, 0.0342, 0)</f>
        <v>35.5139</v>
      </c>
      <c r="H471" s="17">
        <f>35.4797 * CHOOSE(CONTROL!$C$15, $E$9, 100%, $G$9) + CHOOSE(CONTROL!$C$38, 0.0342, 0)</f>
        <v>35.5139</v>
      </c>
      <c r="I471" s="17">
        <f>35.4812 * CHOOSE(CONTROL!$C$15, $E$9, 100%, $G$9) + CHOOSE(CONTROL!$C$38, 0.0342, 0)</f>
        <v>35.5154</v>
      </c>
      <c r="J471" s="44">
        <f>284.7115</f>
        <v>284.7115</v>
      </c>
    </row>
    <row r="472" spans="1:10" ht="15.75" x14ac:dyDescent="0.25">
      <c r="A472" s="14">
        <v>55304</v>
      </c>
      <c r="B472" s="17">
        <f>36.9255 * CHOOSE(CONTROL!$C$15, $E$9, 100%, $G$9) + CHOOSE(CONTROL!$C$38, 0.0353, 0)</f>
        <v>36.960799999999999</v>
      </c>
      <c r="C472" s="17">
        <f>34.6763 * CHOOSE(CONTROL!$C$15, $E$9, 100%, $G$9) + CHOOSE(CONTROL!$C$38, 0.0354, 0)</f>
        <v>34.7117</v>
      </c>
      <c r="D472" s="17">
        <f>34.6685 * CHOOSE(CONTROL!$C$15, $E$9, 100%, $G$9) + CHOOSE(CONTROL!$C$38, 0.0354, 0)</f>
        <v>34.703900000000004</v>
      </c>
      <c r="E472" s="17">
        <f>34.6685 * CHOOSE(CONTROL!$C$15, $E$9, 100%, $G$9) + CHOOSE(CONTROL!$C$38, 0.0354, 0)</f>
        <v>34.703900000000004</v>
      </c>
      <c r="F472" s="45">
        <f>36.9255 * CHOOSE(CONTROL!$C$15, $E$9, 100%, $G$9) + CHOOSE(CONTROL!$C$38, 0.0353, 0)</f>
        <v>36.960799999999999</v>
      </c>
      <c r="G472" s="17">
        <f>34.6747 * CHOOSE(CONTROL!$C$15, $E$9, 100%, $G$9) + CHOOSE(CONTROL!$C$38, 0.0354, 0)</f>
        <v>34.710100000000004</v>
      </c>
      <c r="H472" s="17">
        <f>34.6747 * CHOOSE(CONTROL!$C$15, $E$9, 100%, $G$9) + CHOOSE(CONTROL!$C$38, 0.0354, 0)</f>
        <v>34.710100000000004</v>
      </c>
      <c r="I472" s="17">
        <f>34.6763 * CHOOSE(CONTROL!$C$15, $E$9, 100%, $G$9) + CHOOSE(CONTROL!$C$38, 0.0354, 0)</f>
        <v>34.7117</v>
      </c>
      <c r="J472" s="44">
        <f>294.2659</f>
        <v>294.26589999999999</v>
      </c>
    </row>
    <row r="473" spans="1:10" ht="15.75" x14ac:dyDescent="0.25">
      <c r="A473" s="14">
        <v>55334</v>
      </c>
      <c r="B473" s="17">
        <f>36.3612 * CHOOSE(CONTROL!$C$15, $E$9, 100%, $G$9) + CHOOSE(CONTROL!$C$38, 0.0353, 0)</f>
        <v>36.396499999999996</v>
      </c>
      <c r="C473" s="17">
        <f>34.1119 * CHOOSE(CONTROL!$C$15, $E$9, 100%, $G$9) + CHOOSE(CONTROL!$C$38, 0.0354, 0)</f>
        <v>34.147300000000001</v>
      </c>
      <c r="D473" s="17">
        <f>34.1041 * CHOOSE(CONTROL!$C$15, $E$9, 100%, $G$9) + CHOOSE(CONTROL!$C$38, 0.0354, 0)</f>
        <v>34.139500000000005</v>
      </c>
      <c r="E473" s="17">
        <f>34.1041 * CHOOSE(CONTROL!$C$15, $E$9, 100%, $G$9) + CHOOSE(CONTROL!$C$38, 0.0354, 0)</f>
        <v>34.139500000000005</v>
      </c>
      <c r="F473" s="45">
        <f>36.3612 * CHOOSE(CONTROL!$C$15, $E$9, 100%, $G$9) + CHOOSE(CONTROL!$C$38, 0.0353, 0)</f>
        <v>36.396499999999996</v>
      </c>
      <c r="G473" s="17">
        <f>34.1104 * CHOOSE(CONTROL!$C$15, $E$9, 100%, $G$9) + CHOOSE(CONTROL!$C$38, 0.0354, 0)</f>
        <v>34.145800000000001</v>
      </c>
      <c r="H473" s="17">
        <f>34.1104 * CHOOSE(CONTROL!$C$15, $E$9, 100%, $G$9) + CHOOSE(CONTROL!$C$38, 0.0354, 0)</f>
        <v>34.145800000000001</v>
      </c>
      <c r="I473" s="17">
        <f>34.1119 * CHOOSE(CONTROL!$C$15, $E$9, 100%, $G$9) + CHOOSE(CONTROL!$C$38, 0.0354, 0)</f>
        <v>34.147300000000001</v>
      </c>
      <c r="J473" s="44">
        <f>298.506</f>
        <v>298.50599999999997</v>
      </c>
    </row>
    <row r="474" spans="1:10" ht="15.75" x14ac:dyDescent="0.25">
      <c r="A474" s="14">
        <v>55365</v>
      </c>
      <c r="B474" s="17">
        <f>36.0391 * CHOOSE(CONTROL!$C$15, $E$9, 100%, $G$9) + CHOOSE(CONTROL!$C$38, 0.0353, 0)</f>
        <v>36.074399999999997</v>
      </c>
      <c r="C474" s="17">
        <f>33.7899 * CHOOSE(CONTROL!$C$15, $E$9, 100%, $G$9) + CHOOSE(CONTROL!$C$38, 0.0354, 0)</f>
        <v>33.825300000000006</v>
      </c>
      <c r="D474" s="17">
        <f>33.7821 * CHOOSE(CONTROL!$C$15, $E$9, 100%, $G$9) + CHOOSE(CONTROL!$C$38, 0.0354, 0)</f>
        <v>33.817500000000003</v>
      </c>
      <c r="E474" s="17">
        <f>33.7821 * CHOOSE(CONTROL!$C$15, $E$9, 100%, $G$9) + CHOOSE(CONTROL!$C$38, 0.0354, 0)</f>
        <v>33.817500000000003</v>
      </c>
      <c r="F474" s="45">
        <f>36.0391 * CHOOSE(CONTROL!$C$15, $E$9, 100%, $G$9) + CHOOSE(CONTROL!$C$38, 0.0353, 0)</f>
        <v>36.074399999999997</v>
      </c>
      <c r="G474" s="17">
        <f>33.7883 * CHOOSE(CONTROL!$C$15, $E$9, 100%, $G$9) + CHOOSE(CONTROL!$C$38, 0.0354, 0)</f>
        <v>33.823700000000002</v>
      </c>
      <c r="H474" s="17">
        <f>33.7883 * CHOOSE(CONTROL!$C$15, $E$9, 100%, $G$9) + CHOOSE(CONTROL!$C$38, 0.0354, 0)</f>
        <v>33.823700000000002</v>
      </c>
      <c r="I474" s="17">
        <f>33.7899 * CHOOSE(CONTROL!$C$15, $E$9, 100%, $G$9) + CHOOSE(CONTROL!$C$38, 0.0354, 0)</f>
        <v>33.825300000000006</v>
      </c>
      <c r="J474" s="44">
        <f>297.1099</f>
        <v>297.10989999999998</v>
      </c>
    </row>
    <row r="475" spans="1:10" ht="15.75" x14ac:dyDescent="0.25">
      <c r="A475" s="14">
        <v>55396</v>
      </c>
      <c r="B475" s="17">
        <f>36.198 * CHOOSE(CONTROL!$C$15, $E$9, 100%, $G$9) + CHOOSE(CONTROL!$C$38, 0.0353, 0)</f>
        <v>36.2333</v>
      </c>
      <c r="C475" s="17">
        <f>33.9488 * CHOOSE(CONTROL!$C$15, $E$9, 100%, $G$9) + CHOOSE(CONTROL!$C$38, 0.0354, 0)</f>
        <v>33.984200000000001</v>
      </c>
      <c r="D475" s="17">
        <f>33.941 * CHOOSE(CONTROL!$C$15, $E$9, 100%, $G$9) + CHOOSE(CONTROL!$C$38, 0.0354, 0)</f>
        <v>33.976400000000005</v>
      </c>
      <c r="E475" s="17">
        <f>33.941 * CHOOSE(CONTROL!$C$15, $E$9, 100%, $G$9) + CHOOSE(CONTROL!$C$38, 0.0354, 0)</f>
        <v>33.976400000000005</v>
      </c>
      <c r="F475" s="45">
        <f>36.198 * CHOOSE(CONTROL!$C$15, $E$9, 100%, $G$9) + CHOOSE(CONTROL!$C$38, 0.0353, 0)</f>
        <v>36.2333</v>
      </c>
      <c r="G475" s="17">
        <f>33.9473 * CHOOSE(CONTROL!$C$15, $E$9, 100%, $G$9) + CHOOSE(CONTROL!$C$38, 0.0354, 0)</f>
        <v>33.982700000000001</v>
      </c>
      <c r="H475" s="17">
        <f>33.9473 * CHOOSE(CONTROL!$C$15, $E$9, 100%, $G$9) + CHOOSE(CONTROL!$C$38, 0.0354, 0)</f>
        <v>33.982700000000001</v>
      </c>
      <c r="I475" s="17">
        <f>33.9488 * CHOOSE(CONTROL!$C$15, $E$9, 100%, $G$9) + CHOOSE(CONTROL!$C$38, 0.0354, 0)</f>
        <v>33.984200000000001</v>
      </c>
      <c r="J475" s="44">
        <f>290.1933</f>
        <v>290.19330000000002</v>
      </c>
    </row>
    <row r="476" spans="1:10" ht="15.75" x14ac:dyDescent="0.25">
      <c r="A476" s="14">
        <v>55426</v>
      </c>
      <c r="B476" s="17">
        <f>36.6298 * CHOOSE(CONTROL!$C$15, $E$9, 100%, $G$9) + CHOOSE(CONTROL!$C$38, 0.0353, 0)</f>
        <v>36.665100000000002</v>
      </c>
      <c r="C476" s="17">
        <f>34.3805 * CHOOSE(CONTROL!$C$15, $E$9, 100%, $G$9) + CHOOSE(CONTROL!$C$38, 0.0354, 0)</f>
        <v>34.415900000000001</v>
      </c>
      <c r="D476" s="17">
        <f>34.3727 * CHOOSE(CONTROL!$C$15, $E$9, 100%, $G$9) + CHOOSE(CONTROL!$C$38, 0.0354, 0)</f>
        <v>34.408100000000005</v>
      </c>
      <c r="E476" s="17">
        <f>34.3727 * CHOOSE(CONTROL!$C$15, $E$9, 100%, $G$9) + CHOOSE(CONTROL!$C$38, 0.0354, 0)</f>
        <v>34.408100000000005</v>
      </c>
      <c r="F476" s="45">
        <f>36.6298 * CHOOSE(CONTROL!$C$15, $E$9, 100%, $G$9) + CHOOSE(CONTROL!$C$38, 0.0353, 0)</f>
        <v>36.665100000000002</v>
      </c>
      <c r="G476" s="17">
        <f>34.379 * CHOOSE(CONTROL!$C$15, $E$9, 100%, $G$9) + CHOOSE(CONTROL!$C$38, 0.0354, 0)</f>
        <v>34.414400000000001</v>
      </c>
      <c r="H476" s="17">
        <f>34.379 * CHOOSE(CONTROL!$C$15, $E$9, 100%, $G$9) + CHOOSE(CONTROL!$C$38, 0.0354, 0)</f>
        <v>34.414400000000001</v>
      </c>
      <c r="I476" s="17">
        <f>34.3805 * CHOOSE(CONTROL!$C$15, $E$9, 100%, $G$9) + CHOOSE(CONTROL!$C$38, 0.0354, 0)</f>
        <v>34.415900000000001</v>
      </c>
      <c r="J476" s="44">
        <f>280.5478</f>
        <v>280.5478</v>
      </c>
    </row>
    <row r="477" spans="1:10" ht="15.75" x14ac:dyDescent="0.25">
      <c r="A477" s="14">
        <v>55457</v>
      </c>
      <c r="B477" s="17">
        <f>36.9913 * CHOOSE(CONTROL!$C$15, $E$9, 100%, $G$9) + CHOOSE(CONTROL!$C$38, 0.034, 0)</f>
        <v>37.025300000000001</v>
      </c>
      <c r="C477" s="17">
        <f>34.7421 * CHOOSE(CONTROL!$C$15, $E$9, 100%, $G$9) + CHOOSE(CONTROL!$C$38, 0.0342, 0)</f>
        <v>34.776299999999999</v>
      </c>
      <c r="D477" s="17">
        <f>34.7343 * CHOOSE(CONTROL!$C$15, $E$9, 100%, $G$9) + CHOOSE(CONTROL!$C$38, 0.0342, 0)</f>
        <v>34.768499999999996</v>
      </c>
      <c r="E477" s="17">
        <f>34.7343 * CHOOSE(CONTROL!$C$15, $E$9, 100%, $G$9) + CHOOSE(CONTROL!$C$38, 0.0342, 0)</f>
        <v>34.768499999999996</v>
      </c>
      <c r="F477" s="45">
        <f>36.9913 * CHOOSE(CONTROL!$C$15, $E$9, 100%, $G$9) + CHOOSE(CONTROL!$C$38, 0.034, 0)</f>
        <v>37.025300000000001</v>
      </c>
      <c r="G477" s="17">
        <f>34.7405 * CHOOSE(CONTROL!$C$15, $E$9, 100%, $G$9) + CHOOSE(CONTROL!$C$38, 0.0342, 0)</f>
        <v>34.774699999999996</v>
      </c>
      <c r="H477" s="17">
        <f>34.7405 * CHOOSE(CONTROL!$C$15, $E$9, 100%, $G$9) + CHOOSE(CONTROL!$C$38, 0.0342, 0)</f>
        <v>34.774699999999996</v>
      </c>
      <c r="I477" s="17">
        <f>34.7421 * CHOOSE(CONTROL!$C$15, $E$9, 100%, $G$9) + CHOOSE(CONTROL!$C$38, 0.0342, 0)</f>
        <v>34.776299999999999</v>
      </c>
      <c r="J477" s="44">
        <f>270.8462</f>
        <v>270.84620000000001</v>
      </c>
    </row>
    <row r="478" spans="1:10" ht="15.75" x14ac:dyDescent="0.25">
      <c r="A478" s="14">
        <v>55487</v>
      </c>
      <c r="B478" s="17">
        <f>37.293 * CHOOSE(CONTROL!$C$15, $E$9, 100%, $G$9) + CHOOSE(CONTROL!$C$38, 0.034, 0)</f>
        <v>37.326999999999998</v>
      </c>
      <c r="C478" s="17">
        <f>35.0438 * CHOOSE(CONTROL!$C$15, $E$9, 100%, $G$9) + CHOOSE(CONTROL!$C$38, 0.0342, 0)</f>
        <v>35.077999999999996</v>
      </c>
      <c r="D478" s="17">
        <f>35.036 * CHOOSE(CONTROL!$C$15, $E$9, 100%, $G$9) + CHOOSE(CONTROL!$C$38, 0.0342, 0)</f>
        <v>35.0702</v>
      </c>
      <c r="E478" s="17">
        <f>35.036 * CHOOSE(CONTROL!$C$15, $E$9, 100%, $G$9) + CHOOSE(CONTROL!$C$38, 0.0342, 0)</f>
        <v>35.0702</v>
      </c>
      <c r="F478" s="45">
        <f>37.293 * CHOOSE(CONTROL!$C$15, $E$9, 100%, $G$9) + CHOOSE(CONTROL!$C$38, 0.034, 0)</f>
        <v>37.326999999999998</v>
      </c>
      <c r="G478" s="17">
        <f>35.0422 * CHOOSE(CONTROL!$C$15, $E$9, 100%, $G$9) + CHOOSE(CONTROL!$C$38, 0.0342, 0)</f>
        <v>35.0764</v>
      </c>
      <c r="H478" s="17">
        <f>35.0422 * CHOOSE(CONTROL!$C$15, $E$9, 100%, $G$9) + CHOOSE(CONTROL!$C$38, 0.0342, 0)</f>
        <v>35.0764</v>
      </c>
      <c r="I478" s="17">
        <f>35.0438 * CHOOSE(CONTROL!$C$15, $E$9, 100%, $G$9) + CHOOSE(CONTROL!$C$38, 0.0342, 0)</f>
        <v>35.077999999999996</v>
      </c>
      <c r="J478" s="44">
        <f>268.9163</f>
        <v>268.91629999999998</v>
      </c>
    </row>
    <row r="479" spans="1:10" ht="15.75" x14ac:dyDescent="0.25">
      <c r="A479" s="14">
        <v>55518</v>
      </c>
      <c r="B479" s="17">
        <f>38.2227 * CHOOSE(CONTROL!$C$15, $E$9, 100%, $G$9) + CHOOSE(CONTROL!$C$38, 0.034, 0)</f>
        <v>38.256700000000002</v>
      </c>
      <c r="C479" s="17">
        <f>35.9735 * CHOOSE(CONTROL!$C$15, $E$9, 100%, $G$9) + CHOOSE(CONTROL!$C$38, 0.0342, 0)</f>
        <v>36.0077</v>
      </c>
      <c r="D479" s="17">
        <f>35.9656 * CHOOSE(CONTROL!$C$15, $E$9, 100%, $G$9) + CHOOSE(CONTROL!$C$38, 0.0342, 0)</f>
        <v>35.9998</v>
      </c>
      <c r="E479" s="17">
        <f>35.9656 * CHOOSE(CONTROL!$C$15, $E$9, 100%, $G$9) + CHOOSE(CONTROL!$C$38, 0.0342, 0)</f>
        <v>35.9998</v>
      </c>
      <c r="F479" s="45">
        <f>38.2227 * CHOOSE(CONTROL!$C$15, $E$9, 100%, $G$9) + CHOOSE(CONTROL!$C$38, 0.034, 0)</f>
        <v>38.256700000000002</v>
      </c>
      <c r="G479" s="17">
        <f>35.9719 * CHOOSE(CONTROL!$C$15, $E$9, 100%, $G$9) + CHOOSE(CONTROL!$C$38, 0.0342, 0)</f>
        <v>36.006099999999996</v>
      </c>
      <c r="H479" s="17">
        <f>35.9719 * CHOOSE(CONTROL!$C$15, $E$9, 100%, $G$9) + CHOOSE(CONTROL!$C$38, 0.0342, 0)</f>
        <v>36.006099999999996</v>
      </c>
      <c r="I479" s="17">
        <f>35.9735 * CHOOSE(CONTROL!$C$15, $E$9, 100%, $G$9) + CHOOSE(CONTROL!$C$38, 0.0342, 0)</f>
        <v>36.0077</v>
      </c>
      <c r="J479" s="44">
        <f>260.9362</f>
        <v>260.93619999999999</v>
      </c>
    </row>
    <row r="480" spans="1:10" ht="15.75" x14ac:dyDescent="0.25">
      <c r="A480" s="14">
        <v>55549</v>
      </c>
      <c r="B480" s="17">
        <f>39.5739 * CHOOSE(CONTROL!$C$15, $E$9, 100%, $G$9) + CHOOSE(CONTROL!$C$38, 0.034, 0)</f>
        <v>39.607900000000001</v>
      </c>
      <c r="C480" s="17">
        <f>37.2895 * CHOOSE(CONTROL!$C$15, $E$9, 100%, $G$9) + CHOOSE(CONTROL!$C$38, 0.0342, 0)</f>
        <v>37.323699999999995</v>
      </c>
      <c r="D480" s="17">
        <f>37.2817 * CHOOSE(CONTROL!$C$15, $E$9, 100%, $G$9) + CHOOSE(CONTROL!$C$38, 0.0342, 0)</f>
        <v>37.315899999999999</v>
      </c>
      <c r="E480" s="17">
        <f>37.2817 * CHOOSE(CONTROL!$C$15, $E$9, 100%, $G$9) + CHOOSE(CONTROL!$C$38, 0.0342, 0)</f>
        <v>37.315899999999999</v>
      </c>
      <c r="F480" s="45">
        <f>39.5739 * CHOOSE(CONTROL!$C$15, $E$9, 100%, $G$9) + CHOOSE(CONTROL!$C$38, 0.034, 0)</f>
        <v>39.607900000000001</v>
      </c>
      <c r="G480" s="17">
        <f>37.288 * CHOOSE(CONTROL!$C$15, $E$9, 100%, $G$9) + CHOOSE(CONTROL!$C$38, 0.0342, 0)</f>
        <v>37.322199999999995</v>
      </c>
      <c r="H480" s="17">
        <f>37.288 * CHOOSE(CONTROL!$C$15, $E$9, 100%, $G$9) + CHOOSE(CONTROL!$C$38, 0.0342, 0)</f>
        <v>37.322199999999995</v>
      </c>
      <c r="I480" s="17">
        <f>37.2895 * CHOOSE(CONTROL!$C$15, $E$9, 100%, $G$9) + CHOOSE(CONTROL!$C$38, 0.0342, 0)</f>
        <v>37.323699999999995</v>
      </c>
      <c r="J480" s="44">
        <f>260.7478</f>
        <v>260.74779999999998</v>
      </c>
    </row>
    <row r="481" spans="1:10" ht="15.75" x14ac:dyDescent="0.25">
      <c r="A481" s="14">
        <v>55577</v>
      </c>
      <c r="B481" s="17">
        <f>39.9182 * CHOOSE(CONTROL!$C$15, $E$9, 100%, $G$9) + CHOOSE(CONTROL!$C$38, 0.034, 0)</f>
        <v>39.952199999999998</v>
      </c>
      <c r="C481" s="17">
        <f>37.6338 * CHOOSE(CONTROL!$C$15, $E$9, 100%, $G$9) + CHOOSE(CONTROL!$C$38, 0.0342, 0)</f>
        <v>37.667999999999999</v>
      </c>
      <c r="D481" s="17">
        <f>37.626 * CHOOSE(CONTROL!$C$15, $E$9, 100%, $G$9) + CHOOSE(CONTROL!$C$38, 0.0342, 0)</f>
        <v>37.660199999999996</v>
      </c>
      <c r="E481" s="17">
        <f>37.626 * CHOOSE(CONTROL!$C$15, $E$9, 100%, $G$9) + CHOOSE(CONTROL!$C$38, 0.0342, 0)</f>
        <v>37.660199999999996</v>
      </c>
      <c r="F481" s="45">
        <f>39.9182 * CHOOSE(CONTROL!$C$15, $E$9, 100%, $G$9) + CHOOSE(CONTROL!$C$38, 0.034, 0)</f>
        <v>39.952199999999998</v>
      </c>
      <c r="G481" s="17">
        <f>37.6323 * CHOOSE(CONTROL!$C$15, $E$9, 100%, $G$9) + CHOOSE(CONTROL!$C$38, 0.0342, 0)</f>
        <v>37.666499999999999</v>
      </c>
      <c r="H481" s="17">
        <f>37.6323 * CHOOSE(CONTROL!$C$15, $E$9, 100%, $G$9) + CHOOSE(CONTROL!$C$38, 0.0342, 0)</f>
        <v>37.666499999999999</v>
      </c>
      <c r="I481" s="17">
        <f>37.6338 * CHOOSE(CONTROL!$C$15, $E$9, 100%, $G$9) + CHOOSE(CONTROL!$C$38, 0.0342, 0)</f>
        <v>37.667999999999999</v>
      </c>
      <c r="J481" s="44">
        <f>260.023</f>
        <v>260.02300000000002</v>
      </c>
    </row>
    <row r="482" spans="1:10" ht="15.75" x14ac:dyDescent="0.25">
      <c r="A482" s="14">
        <v>55609</v>
      </c>
      <c r="B482" s="17">
        <f>39.1212 * CHOOSE(CONTROL!$C$15, $E$9, 100%, $G$9) + CHOOSE(CONTROL!$C$38, 0.034, 0)</f>
        <v>39.155200000000001</v>
      </c>
      <c r="C482" s="17">
        <f>36.8368 * CHOOSE(CONTROL!$C$15, $E$9, 100%, $G$9) + CHOOSE(CONTROL!$C$38, 0.0342, 0)</f>
        <v>36.870999999999995</v>
      </c>
      <c r="D482" s="17">
        <f>36.829 * CHOOSE(CONTROL!$C$15, $E$9, 100%, $G$9) + CHOOSE(CONTROL!$C$38, 0.0342, 0)</f>
        <v>36.863199999999999</v>
      </c>
      <c r="E482" s="17">
        <f>36.829 * CHOOSE(CONTROL!$C$15, $E$9, 100%, $G$9) + CHOOSE(CONTROL!$C$38, 0.0342, 0)</f>
        <v>36.863199999999999</v>
      </c>
      <c r="F482" s="45">
        <f>39.1212 * CHOOSE(CONTROL!$C$15, $E$9, 100%, $G$9) + CHOOSE(CONTROL!$C$38, 0.034, 0)</f>
        <v>39.155200000000001</v>
      </c>
      <c r="G482" s="17">
        <f>36.8352 * CHOOSE(CONTROL!$C$15, $E$9, 100%, $G$9) + CHOOSE(CONTROL!$C$38, 0.0342, 0)</f>
        <v>36.869399999999999</v>
      </c>
      <c r="H482" s="17">
        <f>36.8352 * CHOOSE(CONTROL!$C$15, $E$9, 100%, $G$9) + CHOOSE(CONTROL!$C$38, 0.0342, 0)</f>
        <v>36.869399999999999</v>
      </c>
      <c r="I482" s="17">
        <f>36.8368 * CHOOSE(CONTROL!$C$15, $E$9, 100%, $G$9) + CHOOSE(CONTROL!$C$38, 0.0342, 0)</f>
        <v>36.870999999999995</v>
      </c>
      <c r="J482" s="44">
        <f>273.7277</f>
        <v>273.72770000000003</v>
      </c>
    </row>
    <row r="483" spans="1:10" ht="15.75" x14ac:dyDescent="0.25">
      <c r="A483" s="14">
        <v>55639</v>
      </c>
      <c r="B483" s="17">
        <f>38.3489 * CHOOSE(CONTROL!$C$15, $E$9, 100%, $G$9) + CHOOSE(CONTROL!$C$38, 0.034, 0)</f>
        <v>38.382899999999999</v>
      </c>
      <c r="C483" s="17">
        <f>36.0645 * CHOOSE(CONTROL!$C$15, $E$9, 100%, $G$9) + CHOOSE(CONTROL!$C$38, 0.0342, 0)</f>
        <v>36.098700000000001</v>
      </c>
      <c r="D483" s="17">
        <f>36.0567 * CHOOSE(CONTROL!$C$15, $E$9, 100%, $G$9) + CHOOSE(CONTROL!$C$38, 0.0342, 0)</f>
        <v>36.090899999999998</v>
      </c>
      <c r="E483" s="17">
        <f>36.0567 * CHOOSE(CONTROL!$C$15, $E$9, 100%, $G$9) + CHOOSE(CONTROL!$C$38, 0.0342, 0)</f>
        <v>36.090899999999998</v>
      </c>
      <c r="F483" s="45">
        <f>38.3489 * CHOOSE(CONTROL!$C$15, $E$9, 100%, $G$9) + CHOOSE(CONTROL!$C$38, 0.034, 0)</f>
        <v>38.382899999999999</v>
      </c>
      <c r="G483" s="17">
        <f>36.0629 * CHOOSE(CONTROL!$C$15, $E$9, 100%, $G$9) + CHOOSE(CONTROL!$C$38, 0.0342, 0)</f>
        <v>36.097099999999998</v>
      </c>
      <c r="H483" s="17">
        <f>36.0629 * CHOOSE(CONTROL!$C$15, $E$9, 100%, $G$9) + CHOOSE(CONTROL!$C$38, 0.0342, 0)</f>
        <v>36.097099999999998</v>
      </c>
      <c r="I483" s="17">
        <f>36.0645 * CHOOSE(CONTROL!$C$15, $E$9, 100%, $G$9) + CHOOSE(CONTROL!$C$38, 0.0342, 0)</f>
        <v>36.098700000000001</v>
      </c>
      <c r="J483" s="44">
        <f>291.4995</f>
        <v>291.49950000000001</v>
      </c>
    </row>
    <row r="484" spans="1:10" ht="15.75" x14ac:dyDescent="0.25">
      <c r="A484" s="14">
        <v>55670</v>
      </c>
      <c r="B484" s="17">
        <f>37.5439 * CHOOSE(CONTROL!$C$15, $E$9, 100%, $G$9) + CHOOSE(CONTROL!$C$38, 0.0353, 0)</f>
        <v>37.5792</v>
      </c>
      <c r="C484" s="17">
        <f>35.2595 * CHOOSE(CONTROL!$C$15, $E$9, 100%, $G$9) + CHOOSE(CONTROL!$C$38, 0.0354, 0)</f>
        <v>35.294900000000005</v>
      </c>
      <c r="D484" s="17">
        <f>35.2517 * CHOOSE(CONTROL!$C$15, $E$9, 100%, $G$9) + CHOOSE(CONTROL!$C$38, 0.0354, 0)</f>
        <v>35.287100000000002</v>
      </c>
      <c r="E484" s="17">
        <f>35.2517 * CHOOSE(CONTROL!$C$15, $E$9, 100%, $G$9) + CHOOSE(CONTROL!$C$38, 0.0354, 0)</f>
        <v>35.287100000000002</v>
      </c>
      <c r="F484" s="45">
        <f>37.5439 * CHOOSE(CONTROL!$C$15, $E$9, 100%, $G$9) + CHOOSE(CONTROL!$C$38, 0.0353, 0)</f>
        <v>37.5792</v>
      </c>
      <c r="G484" s="17">
        <f>35.258 * CHOOSE(CONTROL!$C$15, $E$9, 100%, $G$9) + CHOOSE(CONTROL!$C$38, 0.0354, 0)</f>
        <v>35.293400000000005</v>
      </c>
      <c r="H484" s="17">
        <f>35.258 * CHOOSE(CONTROL!$C$15, $E$9, 100%, $G$9) + CHOOSE(CONTROL!$C$38, 0.0354, 0)</f>
        <v>35.293400000000005</v>
      </c>
      <c r="I484" s="17">
        <f>35.2595 * CHOOSE(CONTROL!$C$15, $E$9, 100%, $G$9) + CHOOSE(CONTROL!$C$38, 0.0354, 0)</f>
        <v>35.294900000000005</v>
      </c>
      <c r="J484" s="44">
        <f>301.2816</f>
        <v>301.28160000000003</v>
      </c>
    </row>
    <row r="485" spans="1:10" ht="15.75" x14ac:dyDescent="0.25">
      <c r="A485" s="14">
        <v>55700</v>
      </c>
      <c r="B485" s="17">
        <f>36.9796 * CHOOSE(CONTROL!$C$15, $E$9, 100%, $G$9) + CHOOSE(CONTROL!$C$38, 0.0353, 0)</f>
        <v>37.014899999999997</v>
      </c>
      <c r="C485" s="17">
        <f>34.6952 * CHOOSE(CONTROL!$C$15, $E$9, 100%, $G$9) + CHOOSE(CONTROL!$C$38, 0.0354, 0)</f>
        <v>34.730600000000003</v>
      </c>
      <c r="D485" s="17">
        <f>34.6874 * CHOOSE(CONTROL!$C$15, $E$9, 100%, $G$9) + CHOOSE(CONTROL!$C$38, 0.0354, 0)</f>
        <v>34.722799999999999</v>
      </c>
      <c r="E485" s="17">
        <f>34.6874 * CHOOSE(CONTROL!$C$15, $E$9, 100%, $G$9) + CHOOSE(CONTROL!$C$38, 0.0354, 0)</f>
        <v>34.722799999999999</v>
      </c>
      <c r="F485" s="45">
        <f>36.9796 * CHOOSE(CONTROL!$C$15, $E$9, 100%, $G$9) + CHOOSE(CONTROL!$C$38, 0.0353, 0)</f>
        <v>37.014899999999997</v>
      </c>
      <c r="G485" s="17">
        <f>34.6936 * CHOOSE(CONTROL!$C$15, $E$9, 100%, $G$9) + CHOOSE(CONTROL!$C$38, 0.0354, 0)</f>
        <v>34.729000000000006</v>
      </c>
      <c r="H485" s="17">
        <f>34.6936 * CHOOSE(CONTROL!$C$15, $E$9, 100%, $G$9) + CHOOSE(CONTROL!$C$38, 0.0354, 0)</f>
        <v>34.729000000000006</v>
      </c>
      <c r="I485" s="17">
        <f>34.6952 * CHOOSE(CONTROL!$C$15, $E$9, 100%, $G$9) + CHOOSE(CONTROL!$C$38, 0.0354, 0)</f>
        <v>34.730600000000003</v>
      </c>
      <c r="J485" s="44">
        <f>305.6228</f>
        <v>305.62279999999998</v>
      </c>
    </row>
    <row r="486" spans="1:10" ht="15.75" x14ac:dyDescent="0.25">
      <c r="A486" s="14">
        <v>55731</v>
      </c>
      <c r="B486" s="17">
        <f>36.6575 * CHOOSE(CONTROL!$C$15, $E$9, 100%, $G$9) + CHOOSE(CONTROL!$C$38, 0.0353, 0)</f>
        <v>36.692799999999998</v>
      </c>
      <c r="C486" s="17">
        <f>34.3731 * CHOOSE(CONTROL!$C$15, $E$9, 100%, $G$9) + CHOOSE(CONTROL!$C$38, 0.0354, 0)</f>
        <v>34.408500000000004</v>
      </c>
      <c r="D486" s="17">
        <f>34.3653 * CHOOSE(CONTROL!$C$15, $E$9, 100%, $G$9) + CHOOSE(CONTROL!$C$38, 0.0354, 0)</f>
        <v>34.400700000000001</v>
      </c>
      <c r="E486" s="17">
        <f>34.3653 * CHOOSE(CONTROL!$C$15, $E$9, 100%, $G$9) + CHOOSE(CONTROL!$C$38, 0.0354, 0)</f>
        <v>34.400700000000001</v>
      </c>
      <c r="F486" s="45">
        <f>36.6575 * CHOOSE(CONTROL!$C$15, $E$9, 100%, $G$9) + CHOOSE(CONTROL!$C$38, 0.0353, 0)</f>
        <v>36.692799999999998</v>
      </c>
      <c r="G486" s="17">
        <f>34.3716 * CHOOSE(CONTROL!$C$15, $E$9, 100%, $G$9) + CHOOSE(CONTROL!$C$38, 0.0354, 0)</f>
        <v>34.407000000000004</v>
      </c>
      <c r="H486" s="17">
        <f>34.3716 * CHOOSE(CONTROL!$C$15, $E$9, 100%, $G$9) + CHOOSE(CONTROL!$C$38, 0.0354, 0)</f>
        <v>34.407000000000004</v>
      </c>
      <c r="I486" s="17">
        <f>34.3731 * CHOOSE(CONTROL!$C$15, $E$9, 100%, $G$9) + CHOOSE(CONTROL!$C$38, 0.0354, 0)</f>
        <v>34.408500000000004</v>
      </c>
      <c r="J486" s="44">
        <f>304.1935</f>
        <v>304.19349999999997</v>
      </c>
    </row>
    <row r="487" spans="1:10" ht="15.75" x14ac:dyDescent="0.25">
      <c r="A487" s="14">
        <v>55762</v>
      </c>
      <c r="B487" s="17">
        <f>36.8165 * CHOOSE(CONTROL!$C$15, $E$9, 100%, $G$9) + CHOOSE(CONTROL!$C$38, 0.0353, 0)</f>
        <v>36.851799999999997</v>
      </c>
      <c r="C487" s="17">
        <f>34.5321 * CHOOSE(CONTROL!$C$15, $E$9, 100%, $G$9) + CHOOSE(CONTROL!$C$38, 0.0354, 0)</f>
        <v>34.567500000000003</v>
      </c>
      <c r="D487" s="17">
        <f>34.5243 * CHOOSE(CONTROL!$C$15, $E$9, 100%, $G$9) + CHOOSE(CONTROL!$C$38, 0.0354, 0)</f>
        <v>34.559699999999999</v>
      </c>
      <c r="E487" s="17">
        <f>34.5243 * CHOOSE(CONTROL!$C$15, $E$9, 100%, $G$9) + CHOOSE(CONTROL!$C$38, 0.0354, 0)</f>
        <v>34.559699999999999</v>
      </c>
      <c r="F487" s="45">
        <f>36.8165 * CHOOSE(CONTROL!$C$15, $E$9, 100%, $G$9) + CHOOSE(CONTROL!$C$38, 0.0353, 0)</f>
        <v>36.851799999999997</v>
      </c>
      <c r="G487" s="17">
        <f>34.5305 * CHOOSE(CONTROL!$C$15, $E$9, 100%, $G$9) + CHOOSE(CONTROL!$C$38, 0.0354, 0)</f>
        <v>34.565900000000006</v>
      </c>
      <c r="H487" s="17">
        <f>34.5305 * CHOOSE(CONTROL!$C$15, $E$9, 100%, $G$9) + CHOOSE(CONTROL!$C$38, 0.0354, 0)</f>
        <v>34.565900000000006</v>
      </c>
      <c r="I487" s="17">
        <f>34.5321 * CHOOSE(CONTROL!$C$15, $E$9, 100%, $G$9) + CHOOSE(CONTROL!$C$38, 0.0354, 0)</f>
        <v>34.567500000000003</v>
      </c>
      <c r="J487" s="44">
        <f>297.112</f>
        <v>297.11200000000002</v>
      </c>
    </row>
    <row r="488" spans="1:10" ht="15.75" x14ac:dyDescent="0.25">
      <c r="A488" s="14">
        <v>55792</v>
      </c>
      <c r="B488" s="17">
        <f>37.2482 * CHOOSE(CONTROL!$C$15, $E$9, 100%, $G$9) + CHOOSE(CONTROL!$C$38, 0.0353, 0)</f>
        <v>37.283499999999997</v>
      </c>
      <c r="C488" s="17">
        <f>34.9638 * CHOOSE(CONTROL!$C$15, $E$9, 100%, $G$9) + CHOOSE(CONTROL!$C$38, 0.0354, 0)</f>
        <v>34.999200000000002</v>
      </c>
      <c r="D488" s="17">
        <f>34.956 * CHOOSE(CONTROL!$C$15, $E$9, 100%, $G$9) + CHOOSE(CONTROL!$C$38, 0.0354, 0)</f>
        <v>34.991400000000006</v>
      </c>
      <c r="E488" s="17">
        <f>34.956 * CHOOSE(CONTROL!$C$15, $E$9, 100%, $G$9) + CHOOSE(CONTROL!$C$38, 0.0354, 0)</f>
        <v>34.991400000000006</v>
      </c>
      <c r="F488" s="45">
        <f>37.2482 * CHOOSE(CONTROL!$C$15, $E$9, 100%, $G$9) + CHOOSE(CONTROL!$C$38, 0.0353, 0)</f>
        <v>37.283499999999997</v>
      </c>
      <c r="G488" s="17">
        <f>34.9622 * CHOOSE(CONTROL!$C$15, $E$9, 100%, $G$9) + CHOOSE(CONTROL!$C$38, 0.0354, 0)</f>
        <v>34.997600000000006</v>
      </c>
      <c r="H488" s="17">
        <f>34.9622 * CHOOSE(CONTROL!$C$15, $E$9, 100%, $G$9) + CHOOSE(CONTROL!$C$38, 0.0354, 0)</f>
        <v>34.997600000000006</v>
      </c>
      <c r="I488" s="17">
        <f>34.9638 * CHOOSE(CONTROL!$C$15, $E$9, 100%, $G$9) + CHOOSE(CONTROL!$C$38, 0.0354, 0)</f>
        <v>34.999200000000002</v>
      </c>
      <c r="J488" s="44">
        <f>287.2365</f>
        <v>287.23649999999998</v>
      </c>
    </row>
    <row r="489" spans="1:10" ht="15.75" x14ac:dyDescent="0.25">
      <c r="A489" s="14">
        <v>55823</v>
      </c>
      <c r="B489" s="17">
        <f>37.6097 * CHOOSE(CONTROL!$C$15, $E$9, 100%, $G$9) + CHOOSE(CONTROL!$C$38, 0.034, 0)</f>
        <v>37.643699999999995</v>
      </c>
      <c r="C489" s="17">
        <f>35.3254 * CHOOSE(CONTROL!$C$15, $E$9, 100%, $G$9) + CHOOSE(CONTROL!$C$38, 0.0342, 0)</f>
        <v>35.3596</v>
      </c>
      <c r="D489" s="17">
        <f>35.3175 * CHOOSE(CONTROL!$C$15, $E$9, 100%, $G$9) + CHOOSE(CONTROL!$C$38, 0.0342, 0)</f>
        <v>35.351700000000001</v>
      </c>
      <c r="E489" s="17">
        <f>35.3175 * CHOOSE(CONTROL!$C$15, $E$9, 100%, $G$9) + CHOOSE(CONTROL!$C$38, 0.0342, 0)</f>
        <v>35.351700000000001</v>
      </c>
      <c r="F489" s="45">
        <f>37.6097 * CHOOSE(CONTROL!$C$15, $E$9, 100%, $G$9) + CHOOSE(CONTROL!$C$38, 0.034, 0)</f>
        <v>37.643699999999995</v>
      </c>
      <c r="G489" s="17">
        <f>35.3238 * CHOOSE(CONTROL!$C$15, $E$9, 100%, $G$9) + CHOOSE(CONTROL!$C$38, 0.0342, 0)</f>
        <v>35.357999999999997</v>
      </c>
      <c r="H489" s="17">
        <f>35.3238 * CHOOSE(CONTROL!$C$15, $E$9, 100%, $G$9) + CHOOSE(CONTROL!$C$38, 0.0342, 0)</f>
        <v>35.357999999999997</v>
      </c>
      <c r="I489" s="17">
        <f>35.3254 * CHOOSE(CONTROL!$C$15, $E$9, 100%, $G$9) + CHOOSE(CONTROL!$C$38, 0.0342, 0)</f>
        <v>35.3596</v>
      </c>
      <c r="J489" s="44">
        <f>277.3036</f>
        <v>277.30360000000002</v>
      </c>
    </row>
    <row r="490" spans="1:10" ht="15.75" x14ac:dyDescent="0.25">
      <c r="A490" s="14">
        <v>55853</v>
      </c>
      <c r="B490" s="17">
        <f>37.9114 * CHOOSE(CONTROL!$C$15, $E$9, 100%, $G$9) + CHOOSE(CONTROL!$C$38, 0.034, 0)</f>
        <v>37.945399999999999</v>
      </c>
      <c r="C490" s="17">
        <f>35.6271 * CHOOSE(CONTROL!$C$15, $E$9, 100%, $G$9) + CHOOSE(CONTROL!$C$38, 0.0342, 0)</f>
        <v>35.661299999999997</v>
      </c>
      <c r="D490" s="17">
        <f>35.6193 * CHOOSE(CONTROL!$C$15, $E$9, 100%, $G$9) + CHOOSE(CONTROL!$C$38, 0.0342, 0)</f>
        <v>35.653500000000001</v>
      </c>
      <c r="E490" s="17">
        <f>35.6193 * CHOOSE(CONTROL!$C$15, $E$9, 100%, $G$9) + CHOOSE(CONTROL!$C$38, 0.0342, 0)</f>
        <v>35.653500000000001</v>
      </c>
      <c r="F490" s="45">
        <f>37.9114 * CHOOSE(CONTROL!$C$15, $E$9, 100%, $G$9) + CHOOSE(CONTROL!$C$38, 0.034, 0)</f>
        <v>37.945399999999999</v>
      </c>
      <c r="G490" s="17">
        <f>35.6255 * CHOOSE(CONTROL!$C$15, $E$9, 100%, $G$9) + CHOOSE(CONTROL!$C$38, 0.0342, 0)</f>
        <v>35.659700000000001</v>
      </c>
      <c r="H490" s="17">
        <f>35.6255 * CHOOSE(CONTROL!$C$15, $E$9, 100%, $G$9) + CHOOSE(CONTROL!$C$38, 0.0342, 0)</f>
        <v>35.659700000000001</v>
      </c>
      <c r="I490" s="17">
        <f>35.6271 * CHOOSE(CONTROL!$C$15, $E$9, 100%, $G$9) + CHOOSE(CONTROL!$C$38, 0.0342, 0)</f>
        <v>35.661299999999997</v>
      </c>
      <c r="J490" s="44">
        <f>275.3277</f>
        <v>275.32769999999999</v>
      </c>
    </row>
    <row r="491" spans="1:10" ht="15.75" x14ac:dyDescent="0.25">
      <c r="A491" s="14">
        <v>55884</v>
      </c>
      <c r="B491" s="17">
        <f>38.8411 * CHOOSE(CONTROL!$C$15, $E$9, 100%, $G$9) + CHOOSE(CONTROL!$C$38, 0.034, 0)</f>
        <v>38.875099999999996</v>
      </c>
      <c r="C491" s="17">
        <f>36.5567 * CHOOSE(CONTROL!$C$15, $E$9, 100%, $G$9) + CHOOSE(CONTROL!$C$38, 0.0342, 0)</f>
        <v>36.590899999999998</v>
      </c>
      <c r="D491" s="17">
        <f>36.5489 * CHOOSE(CONTROL!$C$15, $E$9, 100%, $G$9) + CHOOSE(CONTROL!$C$38, 0.0342, 0)</f>
        <v>36.583100000000002</v>
      </c>
      <c r="E491" s="17">
        <f>36.5489 * CHOOSE(CONTROL!$C$15, $E$9, 100%, $G$9) + CHOOSE(CONTROL!$C$38, 0.0342, 0)</f>
        <v>36.583100000000002</v>
      </c>
      <c r="F491" s="45">
        <f>38.8411 * CHOOSE(CONTROL!$C$15, $E$9, 100%, $G$9) + CHOOSE(CONTROL!$C$38, 0.034, 0)</f>
        <v>38.875099999999996</v>
      </c>
      <c r="G491" s="17">
        <f>36.5552 * CHOOSE(CONTROL!$C$15, $E$9, 100%, $G$9) + CHOOSE(CONTROL!$C$38, 0.0342, 0)</f>
        <v>36.589399999999998</v>
      </c>
      <c r="H491" s="17">
        <f>36.5552 * CHOOSE(CONTROL!$C$15, $E$9, 100%, $G$9) + CHOOSE(CONTROL!$C$38, 0.0342, 0)</f>
        <v>36.589399999999998</v>
      </c>
      <c r="I491" s="17">
        <f>36.5567 * CHOOSE(CONTROL!$C$15, $E$9, 100%, $G$9) + CHOOSE(CONTROL!$C$38, 0.0342, 0)</f>
        <v>36.590899999999998</v>
      </c>
      <c r="J491" s="44">
        <f>267.1573</f>
        <v>267.15730000000002</v>
      </c>
    </row>
    <row r="492" spans="1:10" ht="15.75" x14ac:dyDescent="0.25">
      <c r="A492" s="14">
        <v>55915</v>
      </c>
      <c r="B492" s="17">
        <f>40.2027 * CHOOSE(CONTROL!$C$15, $E$9, 100%, $G$9) + CHOOSE(CONTROL!$C$38, 0.034, 0)</f>
        <v>40.236699999999999</v>
      </c>
      <c r="C492" s="17">
        <f>37.8826 * CHOOSE(CONTROL!$C$15, $E$9, 100%, $G$9) + CHOOSE(CONTROL!$C$38, 0.0342, 0)</f>
        <v>37.916799999999995</v>
      </c>
      <c r="D492" s="17">
        <f>37.8748 * CHOOSE(CONTROL!$C$15, $E$9, 100%, $G$9) + CHOOSE(CONTROL!$C$38, 0.0342, 0)</f>
        <v>37.908999999999999</v>
      </c>
      <c r="E492" s="17">
        <f>37.8748 * CHOOSE(CONTROL!$C$15, $E$9, 100%, $G$9) + CHOOSE(CONTROL!$C$38, 0.0342, 0)</f>
        <v>37.908999999999999</v>
      </c>
      <c r="F492" s="45">
        <f>40.2027 * CHOOSE(CONTROL!$C$15, $E$9, 100%, $G$9) + CHOOSE(CONTROL!$C$38, 0.034, 0)</f>
        <v>40.236699999999999</v>
      </c>
      <c r="G492" s="17">
        <f>37.881 * CHOOSE(CONTROL!$C$15, $E$9, 100%, $G$9) + CHOOSE(CONTROL!$C$38, 0.0342, 0)</f>
        <v>37.915199999999999</v>
      </c>
      <c r="H492" s="17">
        <f>37.881 * CHOOSE(CONTROL!$C$15, $E$9, 100%, $G$9) + CHOOSE(CONTROL!$C$38, 0.0342, 0)</f>
        <v>37.915199999999999</v>
      </c>
      <c r="I492" s="17">
        <f>37.8826 * CHOOSE(CONTROL!$C$15, $E$9, 100%, $G$9) + CHOOSE(CONTROL!$C$38, 0.0342, 0)</f>
        <v>37.916799999999995</v>
      </c>
      <c r="J492" s="44">
        <f>266.9644</f>
        <v>266.96440000000001</v>
      </c>
    </row>
    <row r="493" spans="1:10" ht="15.75" x14ac:dyDescent="0.25">
      <c r="A493" s="14">
        <v>55943</v>
      </c>
      <c r="B493" s="17">
        <f>40.547 * CHOOSE(CONTROL!$C$15, $E$9, 100%, $G$9) + CHOOSE(CONTROL!$C$38, 0.034, 0)</f>
        <v>40.580999999999996</v>
      </c>
      <c r="C493" s="17">
        <f>38.2269 * CHOOSE(CONTROL!$C$15, $E$9, 100%, $G$9) + CHOOSE(CONTROL!$C$38, 0.0342, 0)</f>
        <v>38.261099999999999</v>
      </c>
      <c r="D493" s="17">
        <f>38.2191 * CHOOSE(CONTROL!$C$15, $E$9, 100%, $G$9) + CHOOSE(CONTROL!$C$38, 0.0342, 0)</f>
        <v>38.253299999999996</v>
      </c>
      <c r="E493" s="17">
        <f>38.2191 * CHOOSE(CONTROL!$C$15, $E$9, 100%, $G$9) + CHOOSE(CONTROL!$C$38, 0.0342, 0)</f>
        <v>38.253299999999996</v>
      </c>
      <c r="F493" s="45">
        <f>40.547 * CHOOSE(CONTROL!$C$15, $E$9, 100%, $G$9) + CHOOSE(CONTROL!$C$38, 0.034, 0)</f>
        <v>40.580999999999996</v>
      </c>
      <c r="G493" s="17">
        <f>38.2253 * CHOOSE(CONTROL!$C$15, $E$9, 100%, $G$9) + CHOOSE(CONTROL!$C$38, 0.0342, 0)</f>
        <v>38.259499999999996</v>
      </c>
      <c r="H493" s="17">
        <f>38.2253 * CHOOSE(CONTROL!$C$15, $E$9, 100%, $G$9) + CHOOSE(CONTROL!$C$38, 0.0342, 0)</f>
        <v>38.259499999999996</v>
      </c>
      <c r="I493" s="17">
        <f>38.2269 * CHOOSE(CONTROL!$C$15, $E$9, 100%, $G$9) + CHOOSE(CONTROL!$C$38, 0.0342, 0)</f>
        <v>38.261099999999999</v>
      </c>
      <c r="J493" s="44">
        <f>266.2224</f>
        <v>266.22239999999999</v>
      </c>
    </row>
    <row r="494" spans="1:10" ht="15.75" x14ac:dyDescent="0.25">
      <c r="A494" s="14">
        <v>55974</v>
      </c>
      <c r="B494" s="17">
        <f>39.75 * CHOOSE(CONTROL!$C$15, $E$9, 100%, $G$9) + CHOOSE(CONTROL!$C$38, 0.034, 0)</f>
        <v>39.783999999999999</v>
      </c>
      <c r="C494" s="17">
        <f>37.4299 * CHOOSE(CONTROL!$C$15, $E$9, 100%, $G$9) + CHOOSE(CONTROL!$C$38, 0.0342, 0)</f>
        <v>37.464100000000002</v>
      </c>
      <c r="D494" s="17">
        <f>37.4221 * CHOOSE(CONTROL!$C$15, $E$9, 100%, $G$9) + CHOOSE(CONTROL!$C$38, 0.0342, 0)</f>
        <v>37.456299999999999</v>
      </c>
      <c r="E494" s="17">
        <f>37.4221 * CHOOSE(CONTROL!$C$15, $E$9, 100%, $G$9) + CHOOSE(CONTROL!$C$38, 0.0342, 0)</f>
        <v>37.456299999999999</v>
      </c>
      <c r="F494" s="45">
        <f>39.75 * CHOOSE(CONTROL!$C$15, $E$9, 100%, $G$9) + CHOOSE(CONTROL!$C$38, 0.034, 0)</f>
        <v>39.783999999999999</v>
      </c>
      <c r="G494" s="17">
        <f>37.4283 * CHOOSE(CONTROL!$C$15, $E$9, 100%, $G$9) + CHOOSE(CONTROL!$C$38, 0.0342, 0)</f>
        <v>37.462499999999999</v>
      </c>
      <c r="H494" s="17">
        <f>37.4283 * CHOOSE(CONTROL!$C$15, $E$9, 100%, $G$9) + CHOOSE(CONTROL!$C$38, 0.0342, 0)</f>
        <v>37.462499999999999</v>
      </c>
      <c r="I494" s="17">
        <f>37.4299 * CHOOSE(CONTROL!$C$15, $E$9, 100%, $G$9) + CHOOSE(CONTROL!$C$38, 0.0342, 0)</f>
        <v>37.464100000000002</v>
      </c>
      <c r="J494" s="44">
        <f>280.2538</f>
        <v>280.25380000000001</v>
      </c>
    </row>
    <row r="495" spans="1:10" ht="15.75" x14ac:dyDescent="0.25">
      <c r="A495" s="14">
        <v>56004</v>
      </c>
      <c r="B495" s="17">
        <f>38.9777 * CHOOSE(CONTROL!$C$15, $E$9, 100%, $G$9) + CHOOSE(CONTROL!$C$38, 0.034, 0)</f>
        <v>39.011699999999998</v>
      </c>
      <c r="C495" s="17">
        <f>36.6576 * CHOOSE(CONTROL!$C$15, $E$9, 100%, $G$9) + CHOOSE(CONTROL!$C$38, 0.0342, 0)</f>
        <v>36.691800000000001</v>
      </c>
      <c r="D495" s="17">
        <f>36.6498 * CHOOSE(CONTROL!$C$15, $E$9, 100%, $G$9) + CHOOSE(CONTROL!$C$38, 0.0342, 0)</f>
        <v>36.683999999999997</v>
      </c>
      <c r="E495" s="17">
        <f>36.6498 * CHOOSE(CONTROL!$C$15, $E$9, 100%, $G$9) + CHOOSE(CONTROL!$C$38, 0.0342, 0)</f>
        <v>36.683999999999997</v>
      </c>
      <c r="F495" s="45">
        <f>38.9777 * CHOOSE(CONTROL!$C$15, $E$9, 100%, $G$9) + CHOOSE(CONTROL!$C$38, 0.034, 0)</f>
        <v>39.011699999999998</v>
      </c>
      <c r="G495" s="17">
        <f>36.656 * CHOOSE(CONTROL!$C$15, $E$9, 100%, $G$9) + CHOOSE(CONTROL!$C$38, 0.0342, 0)</f>
        <v>36.690199999999997</v>
      </c>
      <c r="H495" s="17">
        <f>36.656 * CHOOSE(CONTROL!$C$15, $E$9, 100%, $G$9) + CHOOSE(CONTROL!$C$38, 0.0342, 0)</f>
        <v>36.690199999999997</v>
      </c>
      <c r="I495" s="17">
        <f>36.6576 * CHOOSE(CONTROL!$C$15, $E$9, 100%, $G$9) + CHOOSE(CONTROL!$C$38, 0.0342, 0)</f>
        <v>36.691800000000001</v>
      </c>
      <c r="J495" s="44">
        <f>298.4493</f>
        <v>298.44929999999999</v>
      </c>
    </row>
    <row r="496" spans="1:10" ht="15.75" x14ac:dyDescent="0.25">
      <c r="A496" s="14">
        <v>56035</v>
      </c>
      <c r="B496" s="17">
        <f>38.1727 * CHOOSE(CONTROL!$C$15, $E$9, 100%, $G$9) + CHOOSE(CONTROL!$C$38, 0.0353, 0)</f>
        <v>38.207999999999998</v>
      </c>
      <c r="C496" s="17">
        <f>35.8526 * CHOOSE(CONTROL!$C$15, $E$9, 100%, $G$9) + CHOOSE(CONTROL!$C$38, 0.0354, 0)</f>
        <v>35.888000000000005</v>
      </c>
      <c r="D496" s="17">
        <f>35.8448 * CHOOSE(CONTROL!$C$15, $E$9, 100%, $G$9) + CHOOSE(CONTROL!$C$38, 0.0354, 0)</f>
        <v>35.880200000000002</v>
      </c>
      <c r="E496" s="17">
        <f>35.8448 * CHOOSE(CONTROL!$C$15, $E$9, 100%, $G$9) + CHOOSE(CONTROL!$C$38, 0.0354, 0)</f>
        <v>35.880200000000002</v>
      </c>
      <c r="F496" s="45">
        <f>38.1727 * CHOOSE(CONTROL!$C$15, $E$9, 100%, $G$9) + CHOOSE(CONTROL!$C$38, 0.0353, 0)</f>
        <v>38.207999999999998</v>
      </c>
      <c r="G496" s="17">
        <f>35.851 * CHOOSE(CONTROL!$C$15, $E$9, 100%, $G$9) + CHOOSE(CONTROL!$C$38, 0.0354, 0)</f>
        <v>35.886400000000002</v>
      </c>
      <c r="H496" s="17">
        <f>35.851 * CHOOSE(CONTROL!$C$15, $E$9, 100%, $G$9) + CHOOSE(CONTROL!$C$38, 0.0354, 0)</f>
        <v>35.886400000000002</v>
      </c>
      <c r="I496" s="17">
        <f>35.8526 * CHOOSE(CONTROL!$C$15, $E$9, 100%, $G$9) + CHOOSE(CONTROL!$C$38, 0.0354, 0)</f>
        <v>35.888000000000005</v>
      </c>
      <c r="J496" s="44">
        <f>308.4646</f>
        <v>308.46460000000002</v>
      </c>
    </row>
    <row r="497" spans="1:10" ht="15.75" x14ac:dyDescent="0.25">
      <c r="A497" s="14">
        <v>56065</v>
      </c>
      <c r="B497" s="17">
        <f>37.6084 * CHOOSE(CONTROL!$C$15, $E$9, 100%, $G$9) + CHOOSE(CONTROL!$C$38, 0.0353, 0)</f>
        <v>37.643700000000003</v>
      </c>
      <c r="C497" s="17">
        <f>35.2883 * CHOOSE(CONTROL!$C$15, $E$9, 100%, $G$9) + CHOOSE(CONTROL!$C$38, 0.0354, 0)</f>
        <v>35.323700000000002</v>
      </c>
      <c r="D497" s="17">
        <f>35.2805 * CHOOSE(CONTROL!$C$15, $E$9, 100%, $G$9) + CHOOSE(CONTROL!$C$38, 0.0354, 0)</f>
        <v>35.315900000000006</v>
      </c>
      <c r="E497" s="17">
        <f>35.2805 * CHOOSE(CONTROL!$C$15, $E$9, 100%, $G$9) + CHOOSE(CONTROL!$C$38, 0.0354, 0)</f>
        <v>35.315900000000006</v>
      </c>
      <c r="F497" s="45">
        <f>37.6084 * CHOOSE(CONTROL!$C$15, $E$9, 100%, $G$9) + CHOOSE(CONTROL!$C$38, 0.0353, 0)</f>
        <v>37.643700000000003</v>
      </c>
      <c r="G497" s="17">
        <f>35.2867 * CHOOSE(CONTROL!$C$15, $E$9, 100%, $G$9) + CHOOSE(CONTROL!$C$38, 0.0354, 0)</f>
        <v>35.322100000000006</v>
      </c>
      <c r="H497" s="17">
        <f>35.2867 * CHOOSE(CONTROL!$C$15, $E$9, 100%, $G$9) + CHOOSE(CONTROL!$C$38, 0.0354, 0)</f>
        <v>35.322100000000006</v>
      </c>
      <c r="I497" s="17">
        <f>35.2883 * CHOOSE(CONTROL!$C$15, $E$9, 100%, $G$9) + CHOOSE(CONTROL!$C$38, 0.0354, 0)</f>
        <v>35.323700000000002</v>
      </c>
      <c r="J497" s="44">
        <f>312.9093</f>
        <v>312.90929999999997</v>
      </c>
    </row>
    <row r="498" spans="1:10" ht="15.75" x14ac:dyDescent="0.25">
      <c r="A498" s="14">
        <v>56096</v>
      </c>
      <c r="B498" s="17">
        <f>37.2864 * CHOOSE(CONTROL!$C$15, $E$9, 100%, $G$9) + CHOOSE(CONTROL!$C$38, 0.0353, 0)</f>
        <v>37.3217</v>
      </c>
      <c r="C498" s="17">
        <f>34.9662 * CHOOSE(CONTROL!$C$15, $E$9, 100%, $G$9) + CHOOSE(CONTROL!$C$38, 0.0354, 0)</f>
        <v>35.001600000000003</v>
      </c>
      <c r="D498" s="17">
        <f>34.9584 * CHOOSE(CONTROL!$C$15, $E$9, 100%, $G$9) + CHOOSE(CONTROL!$C$38, 0.0354, 0)</f>
        <v>34.9938</v>
      </c>
      <c r="E498" s="17">
        <f>34.9584 * CHOOSE(CONTROL!$C$15, $E$9, 100%, $G$9) + CHOOSE(CONTROL!$C$38, 0.0354, 0)</f>
        <v>34.9938</v>
      </c>
      <c r="F498" s="45">
        <f>37.2864 * CHOOSE(CONTROL!$C$15, $E$9, 100%, $G$9) + CHOOSE(CONTROL!$C$38, 0.0353, 0)</f>
        <v>37.3217</v>
      </c>
      <c r="G498" s="17">
        <f>34.9647 * CHOOSE(CONTROL!$C$15, $E$9, 100%, $G$9) + CHOOSE(CONTROL!$C$38, 0.0354, 0)</f>
        <v>35.000100000000003</v>
      </c>
      <c r="H498" s="17">
        <f>34.9647 * CHOOSE(CONTROL!$C$15, $E$9, 100%, $G$9) + CHOOSE(CONTROL!$C$38, 0.0354, 0)</f>
        <v>35.000100000000003</v>
      </c>
      <c r="I498" s="17">
        <f>34.9662 * CHOOSE(CONTROL!$C$15, $E$9, 100%, $G$9) + CHOOSE(CONTROL!$C$38, 0.0354, 0)</f>
        <v>35.001600000000003</v>
      </c>
      <c r="J498" s="44">
        <f>311.4459</f>
        <v>311.44589999999999</v>
      </c>
    </row>
    <row r="499" spans="1:10" ht="15.75" x14ac:dyDescent="0.25">
      <c r="A499" s="14">
        <v>56127</v>
      </c>
      <c r="B499" s="17">
        <f>37.4453 * CHOOSE(CONTROL!$C$15, $E$9, 100%, $G$9) + CHOOSE(CONTROL!$C$38, 0.0353, 0)</f>
        <v>37.480600000000003</v>
      </c>
      <c r="C499" s="17">
        <f>35.1252 * CHOOSE(CONTROL!$C$15, $E$9, 100%, $G$9) + CHOOSE(CONTROL!$C$38, 0.0354, 0)</f>
        <v>35.160600000000002</v>
      </c>
      <c r="D499" s="17">
        <f>35.1173 * CHOOSE(CONTROL!$C$15, $E$9, 100%, $G$9) + CHOOSE(CONTROL!$C$38, 0.0354, 0)</f>
        <v>35.152700000000003</v>
      </c>
      <c r="E499" s="17">
        <f>35.1173 * CHOOSE(CONTROL!$C$15, $E$9, 100%, $G$9) + CHOOSE(CONTROL!$C$38, 0.0354, 0)</f>
        <v>35.152700000000003</v>
      </c>
      <c r="F499" s="45">
        <f>37.4453 * CHOOSE(CONTROL!$C$15, $E$9, 100%, $G$9) + CHOOSE(CONTROL!$C$38, 0.0353, 0)</f>
        <v>37.480600000000003</v>
      </c>
      <c r="G499" s="17">
        <f>35.1236 * CHOOSE(CONTROL!$C$15, $E$9, 100%, $G$9) + CHOOSE(CONTROL!$C$38, 0.0354, 0)</f>
        <v>35.159000000000006</v>
      </c>
      <c r="H499" s="17">
        <f>35.1236 * CHOOSE(CONTROL!$C$15, $E$9, 100%, $G$9) + CHOOSE(CONTROL!$C$38, 0.0354, 0)</f>
        <v>35.159000000000006</v>
      </c>
      <c r="I499" s="17">
        <f>35.1252 * CHOOSE(CONTROL!$C$15, $E$9, 100%, $G$9) + CHOOSE(CONTROL!$C$38, 0.0354, 0)</f>
        <v>35.160600000000002</v>
      </c>
      <c r="J499" s="44">
        <f>304.1956</f>
        <v>304.19560000000001</v>
      </c>
    </row>
    <row r="500" spans="1:10" ht="15.75" x14ac:dyDescent="0.25">
      <c r="A500" s="14">
        <v>56157</v>
      </c>
      <c r="B500" s="17">
        <f>37.877 * CHOOSE(CONTROL!$C$15, $E$9, 100%, $G$9) + CHOOSE(CONTROL!$C$38, 0.0353, 0)</f>
        <v>37.912300000000002</v>
      </c>
      <c r="C500" s="17">
        <f>35.5569 * CHOOSE(CONTROL!$C$15, $E$9, 100%, $G$9) + CHOOSE(CONTROL!$C$38, 0.0354, 0)</f>
        <v>35.592300000000002</v>
      </c>
      <c r="D500" s="17">
        <f>35.5491 * CHOOSE(CONTROL!$C$15, $E$9, 100%, $G$9) + CHOOSE(CONTROL!$C$38, 0.0354, 0)</f>
        <v>35.584500000000006</v>
      </c>
      <c r="E500" s="17">
        <f>35.5491 * CHOOSE(CONTROL!$C$15, $E$9, 100%, $G$9) + CHOOSE(CONTROL!$C$38, 0.0354, 0)</f>
        <v>35.584500000000006</v>
      </c>
      <c r="F500" s="45">
        <f>37.877 * CHOOSE(CONTROL!$C$15, $E$9, 100%, $G$9) + CHOOSE(CONTROL!$C$38, 0.0353, 0)</f>
        <v>37.912300000000002</v>
      </c>
      <c r="G500" s="17">
        <f>35.5553 * CHOOSE(CONTROL!$C$15, $E$9, 100%, $G$9) + CHOOSE(CONTROL!$C$38, 0.0354, 0)</f>
        <v>35.590700000000005</v>
      </c>
      <c r="H500" s="17">
        <f>35.5553 * CHOOSE(CONTROL!$C$15, $E$9, 100%, $G$9) + CHOOSE(CONTROL!$C$38, 0.0354, 0)</f>
        <v>35.590700000000005</v>
      </c>
      <c r="I500" s="17">
        <f>35.5569 * CHOOSE(CONTROL!$C$15, $E$9, 100%, $G$9) + CHOOSE(CONTROL!$C$38, 0.0354, 0)</f>
        <v>35.592300000000002</v>
      </c>
      <c r="J500" s="44">
        <f>294.0846</f>
        <v>294.08460000000002</v>
      </c>
    </row>
    <row r="501" spans="1:10" ht="15.75" x14ac:dyDescent="0.25">
      <c r="A501" s="14">
        <v>56188</v>
      </c>
      <c r="B501" s="17">
        <f>38.2386 * CHOOSE(CONTROL!$C$15, $E$9, 100%, $G$9) + CHOOSE(CONTROL!$C$38, 0.034, 0)</f>
        <v>38.272599999999997</v>
      </c>
      <c r="C501" s="17">
        <f>35.9184 * CHOOSE(CONTROL!$C$15, $E$9, 100%, $G$9) + CHOOSE(CONTROL!$C$38, 0.0342, 0)</f>
        <v>35.952599999999997</v>
      </c>
      <c r="D501" s="17">
        <f>35.9106 * CHOOSE(CONTROL!$C$15, $E$9, 100%, $G$9) + CHOOSE(CONTROL!$C$38, 0.0342, 0)</f>
        <v>35.944800000000001</v>
      </c>
      <c r="E501" s="17">
        <f>35.9106 * CHOOSE(CONTROL!$C$15, $E$9, 100%, $G$9) + CHOOSE(CONTROL!$C$38, 0.0342, 0)</f>
        <v>35.944800000000001</v>
      </c>
      <c r="F501" s="45">
        <f>38.2386 * CHOOSE(CONTROL!$C$15, $E$9, 100%, $G$9) + CHOOSE(CONTROL!$C$38, 0.034, 0)</f>
        <v>38.272599999999997</v>
      </c>
      <c r="G501" s="17">
        <f>35.9169 * CHOOSE(CONTROL!$C$15, $E$9, 100%, $G$9) + CHOOSE(CONTROL!$C$38, 0.0342, 0)</f>
        <v>35.951099999999997</v>
      </c>
      <c r="H501" s="17">
        <f>35.9169 * CHOOSE(CONTROL!$C$15, $E$9, 100%, $G$9) + CHOOSE(CONTROL!$C$38, 0.0342, 0)</f>
        <v>35.951099999999997</v>
      </c>
      <c r="I501" s="17">
        <f>35.9184 * CHOOSE(CONTROL!$C$15, $E$9, 100%, $G$9) + CHOOSE(CONTROL!$C$38, 0.0342, 0)</f>
        <v>35.952599999999997</v>
      </c>
      <c r="J501" s="44">
        <f>283.9149</f>
        <v>283.91489999999999</v>
      </c>
    </row>
    <row r="502" spans="1:10" ht="15.75" x14ac:dyDescent="0.25">
      <c r="A502" s="14">
        <v>56218</v>
      </c>
      <c r="B502" s="17">
        <f>38.5403 * CHOOSE(CONTROL!$C$15, $E$9, 100%, $G$9) + CHOOSE(CONTROL!$C$38, 0.034, 0)</f>
        <v>38.574300000000001</v>
      </c>
      <c r="C502" s="17">
        <f>36.2201 * CHOOSE(CONTROL!$C$15, $E$9, 100%, $G$9) + CHOOSE(CONTROL!$C$38, 0.0342, 0)</f>
        <v>36.254300000000001</v>
      </c>
      <c r="D502" s="17">
        <f>36.2123 * CHOOSE(CONTROL!$C$15, $E$9, 100%, $G$9) + CHOOSE(CONTROL!$C$38, 0.0342, 0)</f>
        <v>36.246499999999997</v>
      </c>
      <c r="E502" s="17">
        <f>36.2123 * CHOOSE(CONTROL!$C$15, $E$9, 100%, $G$9) + CHOOSE(CONTROL!$C$38, 0.0342, 0)</f>
        <v>36.246499999999997</v>
      </c>
      <c r="F502" s="45">
        <f>38.5403 * CHOOSE(CONTROL!$C$15, $E$9, 100%, $G$9) + CHOOSE(CONTROL!$C$38, 0.034, 0)</f>
        <v>38.574300000000001</v>
      </c>
      <c r="G502" s="17">
        <f>36.2186 * CHOOSE(CONTROL!$C$15, $E$9, 100%, $G$9) + CHOOSE(CONTROL!$C$38, 0.0342, 0)</f>
        <v>36.252800000000001</v>
      </c>
      <c r="H502" s="17">
        <f>36.2186 * CHOOSE(CONTROL!$C$15, $E$9, 100%, $G$9) + CHOOSE(CONTROL!$C$38, 0.0342, 0)</f>
        <v>36.252800000000001</v>
      </c>
      <c r="I502" s="17">
        <f>36.2201 * CHOOSE(CONTROL!$C$15, $E$9, 100%, $G$9) + CHOOSE(CONTROL!$C$38, 0.0342, 0)</f>
        <v>36.254300000000001</v>
      </c>
      <c r="J502" s="44">
        <f>281.8919</f>
        <v>281.89190000000002</v>
      </c>
    </row>
    <row r="503" spans="1:10" ht="15.75" x14ac:dyDescent="0.25">
      <c r="A503" s="14">
        <v>56249</v>
      </c>
      <c r="B503" s="17">
        <f>39.4699 * CHOOSE(CONTROL!$C$15, $E$9, 100%, $G$9) + CHOOSE(CONTROL!$C$38, 0.034, 0)</f>
        <v>39.503900000000002</v>
      </c>
      <c r="C503" s="17">
        <f>37.1498 * CHOOSE(CONTROL!$C$15, $E$9, 100%, $G$9) + CHOOSE(CONTROL!$C$38, 0.0342, 0)</f>
        <v>37.183999999999997</v>
      </c>
      <c r="D503" s="17">
        <f>37.142 * CHOOSE(CONTROL!$C$15, $E$9, 100%, $G$9) + CHOOSE(CONTROL!$C$38, 0.0342, 0)</f>
        <v>37.176200000000001</v>
      </c>
      <c r="E503" s="17">
        <f>37.142 * CHOOSE(CONTROL!$C$15, $E$9, 100%, $G$9) + CHOOSE(CONTROL!$C$38, 0.0342, 0)</f>
        <v>37.176200000000001</v>
      </c>
      <c r="F503" s="45">
        <f>39.4699 * CHOOSE(CONTROL!$C$15, $E$9, 100%, $G$9) + CHOOSE(CONTROL!$C$38, 0.034, 0)</f>
        <v>39.503900000000002</v>
      </c>
      <c r="G503" s="17">
        <f>37.1482 * CHOOSE(CONTROL!$C$15, $E$9, 100%, $G$9) + CHOOSE(CONTROL!$C$38, 0.0342, 0)</f>
        <v>37.182400000000001</v>
      </c>
      <c r="H503" s="17">
        <f>37.1482 * CHOOSE(CONTROL!$C$15, $E$9, 100%, $G$9) + CHOOSE(CONTROL!$C$38, 0.0342, 0)</f>
        <v>37.182400000000001</v>
      </c>
      <c r="I503" s="17">
        <f>37.1498 * CHOOSE(CONTROL!$C$15, $E$9, 100%, $G$9) + CHOOSE(CONTROL!$C$38, 0.0342, 0)</f>
        <v>37.183999999999997</v>
      </c>
      <c r="J503" s="44">
        <f>273.5268</f>
        <v>273.52679999999998</v>
      </c>
    </row>
    <row r="504" spans="1:10" ht="15.75" x14ac:dyDescent="0.25">
      <c r="A504" s="14">
        <v>56280</v>
      </c>
      <c r="B504" s="17">
        <f>40.8421 * CHOOSE(CONTROL!$C$15, $E$9, 100%, $G$9) + CHOOSE(CONTROL!$C$38, 0.034, 0)</f>
        <v>40.876100000000001</v>
      </c>
      <c r="C504" s="17">
        <f>38.4856 * CHOOSE(CONTROL!$C$15, $E$9, 100%, $G$9) + CHOOSE(CONTROL!$C$38, 0.0342, 0)</f>
        <v>38.519799999999996</v>
      </c>
      <c r="D504" s="17">
        <f>38.4778 * CHOOSE(CONTROL!$C$15, $E$9, 100%, $G$9) + CHOOSE(CONTROL!$C$38, 0.0342, 0)</f>
        <v>38.512</v>
      </c>
      <c r="E504" s="17">
        <f>38.4778 * CHOOSE(CONTROL!$C$15, $E$9, 100%, $G$9) + CHOOSE(CONTROL!$C$38, 0.0342, 0)</f>
        <v>38.512</v>
      </c>
      <c r="F504" s="45">
        <f>40.8421 * CHOOSE(CONTROL!$C$15, $E$9, 100%, $G$9) + CHOOSE(CONTROL!$C$38, 0.034, 0)</f>
        <v>40.876100000000001</v>
      </c>
      <c r="G504" s="17">
        <f>38.4841 * CHOOSE(CONTROL!$C$15, $E$9, 100%, $G$9) + CHOOSE(CONTROL!$C$38, 0.0342, 0)</f>
        <v>38.518299999999996</v>
      </c>
      <c r="H504" s="17">
        <f>38.4841 * CHOOSE(CONTROL!$C$15, $E$9, 100%, $G$9) + CHOOSE(CONTROL!$C$38, 0.0342, 0)</f>
        <v>38.518299999999996</v>
      </c>
      <c r="I504" s="17">
        <f>38.4856 * CHOOSE(CONTROL!$C$15, $E$9, 100%, $G$9) + CHOOSE(CONTROL!$C$38, 0.0342, 0)</f>
        <v>38.519799999999996</v>
      </c>
      <c r="J504" s="44">
        <f>273.3293</f>
        <v>273.32929999999999</v>
      </c>
    </row>
    <row r="505" spans="1:10" ht="15.75" x14ac:dyDescent="0.25">
      <c r="A505" s="14">
        <v>56308</v>
      </c>
      <c r="B505" s="17">
        <f>41.1864 * CHOOSE(CONTROL!$C$15, $E$9, 100%, $G$9) + CHOOSE(CONTROL!$C$38, 0.034, 0)</f>
        <v>41.220399999999998</v>
      </c>
      <c r="C505" s="17">
        <f>38.8299 * CHOOSE(CONTROL!$C$15, $E$9, 100%, $G$9) + CHOOSE(CONTROL!$C$38, 0.0342, 0)</f>
        <v>38.864100000000001</v>
      </c>
      <c r="D505" s="17">
        <f>38.8221 * CHOOSE(CONTROL!$C$15, $E$9, 100%, $G$9) + CHOOSE(CONTROL!$C$38, 0.0342, 0)</f>
        <v>38.856299999999997</v>
      </c>
      <c r="E505" s="17">
        <f>38.8221 * CHOOSE(CONTROL!$C$15, $E$9, 100%, $G$9) + CHOOSE(CONTROL!$C$38, 0.0342, 0)</f>
        <v>38.856299999999997</v>
      </c>
      <c r="F505" s="45">
        <f>41.1864 * CHOOSE(CONTROL!$C$15, $E$9, 100%, $G$9) + CHOOSE(CONTROL!$C$38, 0.034, 0)</f>
        <v>41.220399999999998</v>
      </c>
      <c r="G505" s="17">
        <f>38.8284 * CHOOSE(CONTROL!$C$15, $E$9, 100%, $G$9) + CHOOSE(CONTROL!$C$38, 0.0342, 0)</f>
        <v>38.8626</v>
      </c>
      <c r="H505" s="17">
        <f>38.8284 * CHOOSE(CONTROL!$C$15, $E$9, 100%, $G$9) + CHOOSE(CONTROL!$C$38, 0.0342, 0)</f>
        <v>38.8626</v>
      </c>
      <c r="I505" s="17">
        <f>38.8299 * CHOOSE(CONTROL!$C$15, $E$9, 100%, $G$9) + CHOOSE(CONTROL!$C$38, 0.0342, 0)</f>
        <v>38.864100000000001</v>
      </c>
      <c r="J505" s="44">
        <f>272.5695</f>
        <v>272.56950000000001</v>
      </c>
    </row>
    <row r="506" spans="1:10" ht="15.75" x14ac:dyDescent="0.25">
      <c r="A506" s="14">
        <v>56339</v>
      </c>
      <c r="B506" s="17">
        <f>40.3894 * CHOOSE(CONTROL!$C$15, $E$9, 100%, $G$9) + CHOOSE(CONTROL!$C$38, 0.034, 0)</f>
        <v>40.423400000000001</v>
      </c>
      <c r="C506" s="17">
        <f>38.0329 * CHOOSE(CONTROL!$C$15, $E$9, 100%, $G$9) + CHOOSE(CONTROL!$C$38, 0.0342, 0)</f>
        <v>38.067099999999996</v>
      </c>
      <c r="D506" s="17">
        <f>38.0251 * CHOOSE(CONTROL!$C$15, $E$9, 100%, $G$9) + CHOOSE(CONTROL!$C$38, 0.0342, 0)</f>
        <v>38.0593</v>
      </c>
      <c r="E506" s="17">
        <f>38.0251 * CHOOSE(CONTROL!$C$15, $E$9, 100%, $G$9) + CHOOSE(CONTROL!$C$38, 0.0342, 0)</f>
        <v>38.0593</v>
      </c>
      <c r="F506" s="45">
        <f>40.3894 * CHOOSE(CONTROL!$C$15, $E$9, 100%, $G$9) + CHOOSE(CONTROL!$C$38, 0.034, 0)</f>
        <v>40.423400000000001</v>
      </c>
      <c r="G506" s="17">
        <f>38.0313 * CHOOSE(CONTROL!$C$15, $E$9, 100%, $G$9) + CHOOSE(CONTROL!$C$38, 0.0342, 0)</f>
        <v>38.0655</v>
      </c>
      <c r="H506" s="17">
        <f>38.0313 * CHOOSE(CONTROL!$C$15, $E$9, 100%, $G$9) + CHOOSE(CONTROL!$C$38, 0.0342, 0)</f>
        <v>38.0655</v>
      </c>
      <c r="I506" s="17">
        <f>38.0329 * CHOOSE(CONTROL!$C$15, $E$9, 100%, $G$9) + CHOOSE(CONTROL!$C$38, 0.0342, 0)</f>
        <v>38.067099999999996</v>
      </c>
      <c r="J506" s="44">
        <f>286.9355</f>
        <v>286.93549999999999</v>
      </c>
    </row>
    <row r="507" spans="1:10" ht="15.75" x14ac:dyDescent="0.25">
      <c r="A507" s="14">
        <v>56369</v>
      </c>
      <c r="B507" s="17">
        <f>39.6171 * CHOOSE(CONTROL!$C$15, $E$9, 100%, $G$9) + CHOOSE(CONTROL!$C$38, 0.034, 0)</f>
        <v>39.6511</v>
      </c>
      <c r="C507" s="17">
        <f>37.2606 * CHOOSE(CONTROL!$C$15, $E$9, 100%, $G$9) + CHOOSE(CONTROL!$C$38, 0.0342, 0)</f>
        <v>37.294799999999995</v>
      </c>
      <c r="D507" s="17">
        <f>37.2528 * CHOOSE(CONTROL!$C$15, $E$9, 100%, $G$9) + CHOOSE(CONTROL!$C$38, 0.0342, 0)</f>
        <v>37.286999999999999</v>
      </c>
      <c r="E507" s="17">
        <f>37.2528 * CHOOSE(CONTROL!$C$15, $E$9, 100%, $G$9) + CHOOSE(CONTROL!$C$38, 0.0342, 0)</f>
        <v>37.286999999999999</v>
      </c>
      <c r="F507" s="45">
        <f>39.6171 * CHOOSE(CONTROL!$C$15, $E$9, 100%, $G$9) + CHOOSE(CONTROL!$C$38, 0.034, 0)</f>
        <v>39.6511</v>
      </c>
      <c r="G507" s="17">
        <f>37.259 * CHOOSE(CONTROL!$C$15, $E$9, 100%, $G$9) + CHOOSE(CONTROL!$C$38, 0.0342, 0)</f>
        <v>37.293199999999999</v>
      </c>
      <c r="H507" s="17">
        <f>37.259 * CHOOSE(CONTROL!$C$15, $E$9, 100%, $G$9) + CHOOSE(CONTROL!$C$38, 0.0342, 0)</f>
        <v>37.293199999999999</v>
      </c>
      <c r="I507" s="17">
        <f>37.2606 * CHOOSE(CONTROL!$C$15, $E$9, 100%, $G$9) + CHOOSE(CONTROL!$C$38, 0.0342, 0)</f>
        <v>37.294799999999995</v>
      </c>
      <c r="J507" s="44">
        <f>305.5648</f>
        <v>305.56479999999999</v>
      </c>
    </row>
    <row r="508" spans="1:10" ht="15.75" x14ac:dyDescent="0.25">
      <c r="A508" s="14">
        <v>56400</v>
      </c>
      <c r="B508" s="17">
        <f>38.8121 * CHOOSE(CONTROL!$C$15, $E$9, 100%, $G$9) + CHOOSE(CONTROL!$C$38, 0.0353, 0)</f>
        <v>38.8474</v>
      </c>
      <c r="C508" s="17">
        <f>36.4556 * CHOOSE(CONTROL!$C$15, $E$9, 100%, $G$9) + CHOOSE(CONTROL!$C$38, 0.0354, 0)</f>
        <v>36.491</v>
      </c>
      <c r="D508" s="17">
        <f>36.4478 * CHOOSE(CONTROL!$C$15, $E$9, 100%, $G$9) + CHOOSE(CONTROL!$C$38, 0.0354, 0)</f>
        <v>36.483200000000004</v>
      </c>
      <c r="E508" s="17">
        <f>36.4478 * CHOOSE(CONTROL!$C$15, $E$9, 100%, $G$9) + CHOOSE(CONTROL!$C$38, 0.0354, 0)</f>
        <v>36.483200000000004</v>
      </c>
      <c r="F508" s="45">
        <f>38.8121 * CHOOSE(CONTROL!$C$15, $E$9, 100%, $G$9) + CHOOSE(CONTROL!$C$38, 0.0353, 0)</f>
        <v>38.8474</v>
      </c>
      <c r="G508" s="17">
        <f>36.4541 * CHOOSE(CONTROL!$C$15, $E$9, 100%, $G$9) + CHOOSE(CONTROL!$C$38, 0.0354, 0)</f>
        <v>36.4895</v>
      </c>
      <c r="H508" s="17">
        <f>36.4541 * CHOOSE(CONTROL!$C$15, $E$9, 100%, $G$9) + CHOOSE(CONTROL!$C$38, 0.0354, 0)</f>
        <v>36.4895</v>
      </c>
      <c r="I508" s="17">
        <f>36.4556 * CHOOSE(CONTROL!$C$15, $E$9, 100%, $G$9) + CHOOSE(CONTROL!$C$38, 0.0354, 0)</f>
        <v>36.491</v>
      </c>
      <c r="J508" s="44">
        <f>315.8189</f>
        <v>315.81889999999999</v>
      </c>
    </row>
    <row r="509" spans="1:10" ht="15.75" x14ac:dyDescent="0.25">
      <c r="A509" s="14">
        <v>56430</v>
      </c>
      <c r="B509" s="17">
        <f>38.2478 * CHOOSE(CONTROL!$C$15, $E$9, 100%, $G$9) + CHOOSE(CONTROL!$C$38, 0.0353, 0)</f>
        <v>38.283099999999997</v>
      </c>
      <c r="C509" s="17">
        <f>35.8913 * CHOOSE(CONTROL!$C$15, $E$9, 100%, $G$9) + CHOOSE(CONTROL!$C$38, 0.0354, 0)</f>
        <v>35.926700000000004</v>
      </c>
      <c r="D509" s="17">
        <f>35.8835 * CHOOSE(CONTROL!$C$15, $E$9, 100%, $G$9) + CHOOSE(CONTROL!$C$38, 0.0354, 0)</f>
        <v>35.918900000000001</v>
      </c>
      <c r="E509" s="17">
        <f>35.8835 * CHOOSE(CONTROL!$C$15, $E$9, 100%, $G$9) + CHOOSE(CONTROL!$C$38, 0.0354, 0)</f>
        <v>35.918900000000001</v>
      </c>
      <c r="F509" s="45">
        <f>38.2478 * CHOOSE(CONTROL!$C$15, $E$9, 100%, $G$9) + CHOOSE(CONTROL!$C$38, 0.0353, 0)</f>
        <v>38.283099999999997</v>
      </c>
      <c r="G509" s="17">
        <f>35.8897 * CHOOSE(CONTROL!$C$15, $E$9, 100%, $G$9) + CHOOSE(CONTROL!$C$38, 0.0354, 0)</f>
        <v>35.9251</v>
      </c>
      <c r="H509" s="17">
        <f>35.8897 * CHOOSE(CONTROL!$C$15, $E$9, 100%, $G$9) + CHOOSE(CONTROL!$C$38, 0.0354, 0)</f>
        <v>35.9251</v>
      </c>
      <c r="I509" s="17">
        <f>35.8913 * CHOOSE(CONTROL!$C$15, $E$9, 100%, $G$9) + CHOOSE(CONTROL!$C$38, 0.0354, 0)</f>
        <v>35.926700000000004</v>
      </c>
      <c r="J509" s="44">
        <f>320.3695</f>
        <v>320.36950000000002</v>
      </c>
    </row>
    <row r="510" spans="1:10" ht="15.75" x14ac:dyDescent="0.25">
      <c r="A510" s="14">
        <v>56461</v>
      </c>
      <c r="B510" s="17">
        <f>37.9257 * CHOOSE(CONTROL!$C$15, $E$9, 100%, $G$9) + CHOOSE(CONTROL!$C$38, 0.0353, 0)</f>
        <v>37.960999999999999</v>
      </c>
      <c r="C510" s="17">
        <f>35.5692 * CHOOSE(CONTROL!$C$15, $E$9, 100%, $G$9) + CHOOSE(CONTROL!$C$38, 0.0354, 0)</f>
        <v>35.604600000000005</v>
      </c>
      <c r="D510" s="17">
        <f>35.5614 * CHOOSE(CONTROL!$C$15, $E$9, 100%, $G$9) + CHOOSE(CONTROL!$C$38, 0.0354, 0)</f>
        <v>35.596800000000002</v>
      </c>
      <c r="E510" s="17">
        <f>35.5614 * CHOOSE(CONTROL!$C$15, $E$9, 100%, $G$9) + CHOOSE(CONTROL!$C$38, 0.0354, 0)</f>
        <v>35.596800000000002</v>
      </c>
      <c r="F510" s="45">
        <f>37.9257 * CHOOSE(CONTROL!$C$15, $E$9, 100%, $G$9) + CHOOSE(CONTROL!$C$38, 0.0353, 0)</f>
        <v>37.960999999999999</v>
      </c>
      <c r="G510" s="17">
        <f>35.5677 * CHOOSE(CONTROL!$C$15, $E$9, 100%, $G$9) + CHOOSE(CONTROL!$C$38, 0.0354, 0)</f>
        <v>35.603100000000005</v>
      </c>
      <c r="H510" s="17">
        <f>35.5677 * CHOOSE(CONTROL!$C$15, $E$9, 100%, $G$9) + CHOOSE(CONTROL!$C$38, 0.0354, 0)</f>
        <v>35.603100000000005</v>
      </c>
      <c r="I510" s="17">
        <f>35.5692 * CHOOSE(CONTROL!$C$15, $E$9, 100%, $G$9) + CHOOSE(CONTROL!$C$38, 0.0354, 0)</f>
        <v>35.604600000000005</v>
      </c>
      <c r="J510" s="44">
        <f>318.8712</f>
        <v>318.87119999999999</v>
      </c>
    </row>
    <row r="511" spans="1:10" ht="15.75" x14ac:dyDescent="0.25">
      <c r="A511" s="14">
        <v>56492</v>
      </c>
      <c r="B511" s="17">
        <f>38.0847 * CHOOSE(CONTROL!$C$15, $E$9, 100%, $G$9) + CHOOSE(CONTROL!$C$38, 0.0353, 0)</f>
        <v>38.119999999999997</v>
      </c>
      <c r="C511" s="17">
        <f>35.7282 * CHOOSE(CONTROL!$C$15, $E$9, 100%, $G$9) + CHOOSE(CONTROL!$C$38, 0.0354, 0)</f>
        <v>35.763600000000004</v>
      </c>
      <c r="D511" s="17">
        <f>35.7204 * CHOOSE(CONTROL!$C$15, $E$9, 100%, $G$9) + CHOOSE(CONTROL!$C$38, 0.0354, 0)</f>
        <v>35.755800000000001</v>
      </c>
      <c r="E511" s="17">
        <f>35.7204 * CHOOSE(CONTROL!$C$15, $E$9, 100%, $G$9) + CHOOSE(CONTROL!$C$38, 0.0354, 0)</f>
        <v>35.755800000000001</v>
      </c>
      <c r="F511" s="45">
        <f>38.0847 * CHOOSE(CONTROL!$C$15, $E$9, 100%, $G$9) + CHOOSE(CONTROL!$C$38, 0.0353, 0)</f>
        <v>38.119999999999997</v>
      </c>
      <c r="G511" s="17">
        <f>35.7266 * CHOOSE(CONTROL!$C$15, $E$9, 100%, $G$9) + CHOOSE(CONTROL!$C$38, 0.0354, 0)</f>
        <v>35.762</v>
      </c>
      <c r="H511" s="17">
        <f>35.7266 * CHOOSE(CONTROL!$C$15, $E$9, 100%, $G$9) + CHOOSE(CONTROL!$C$38, 0.0354, 0)</f>
        <v>35.762</v>
      </c>
      <c r="I511" s="17">
        <f>35.7282 * CHOOSE(CONTROL!$C$15, $E$9, 100%, $G$9) + CHOOSE(CONTROL!$C$38, 0.0354, 0)</f>
        <v>35.763600000000004</v>
      </c>
      <c r="J511" s="44">
        <f>311.4481</f>
        <v>311.44810000000001</v>
      </c>
    </row>
    <row r="512" spans="1:10" ht="15.75" x14ac:dyDescent="0.25">
      <c r="A512" s="14">
        <v>56522</v>
      </c>
      <c r="B512" s="17">
        <f>38.5164 * CHOOSE(CONTROL!$C$15, $E$9, 100%, $G$9) + CHOOSE(CONTROL!$C$38, 0.0353, 0)</f>
        <v>38.551699999999997</v>
      </c>
      <c r="C512" s="17">
        <f>36.1599 * CHOOSE(CONTROL!$C$15, $E$9, 100%, $G$9) + CHOOSE(CONTROL!$C$38, 0.0354, 0)</f>
        <v>36.195300000000003</v>
      </c>
      <c r="D512" s="17">
        <f>36.1521 * CHOOSE(CONTROL!$C$15, $E$9, 100%, $G$9) + CHOOSE(CONTROL!$C$38, 0.0354, 0)</f>
        <v>36.1875</v>
      </c>
      <c r="E512" s="17">
        <f>36.1521 * CHOOSE(CONTROL!$C$15, $E$9, 100%, $G$9) + CHOOSE(CONTROL!$C$38, 0.0354, 0)</f>
        <v>36.1875</v>
      </c>
      <c r="F512" s="45">
        <f>38.5164 * CHOOSE(CONTROL!$C$15, $E$9, 100%, $G$9) + CHOOSE(CONTROL!$C$38, 0.0353, 0)</f>
        <v>38.551699999999997</v>
      </c>
      <c r="G512" s="17">
        <f>36.1583 * CHOOSE(CONTROL!$C$15, $E$9, 100%, $G$9) + CHOOSE(CONTROL!$C$38, 0.0354, 0)</f>
        <v>36.1937</v>
      </c>
      <c r="H512" s="17">
        <f>36.1583 * CHOOSE(CONTROL!$C$15, $E$9, 100%, $G$9) + CHOOSE(CONTROL!$C$38, 0.0354, 0)</f>
        <v>36.1937</v>
      </c>
      <c r="I512" s="17">
        <f>36.1599 * CHOOSE(CONTROL!$C$15, $E$9, 100%, $G$9) + CHOOSE(CONTROL!$C$38, 0.0354, 0)</f>
        <v>36.195300000000003</v>
      </c>
      <c r="J512" s="44">
        <f>301.0961</f>
        <v>301.09609999999998</v>
      </c>
    </row>
    <row r="513" spans="1:10" ht="15.75" x14ac:dyDescent="0.25">
      <c r="A513" s="14">
        <v>56553</v>
      </c>
      <c r="B513" s="17">
        <f>38.878 * CHOOSE(CONTROL!$C$15, $E$9, 100%, $G$9) + CHOOSE(CONTROL!$C$38, 0.034, 0)</f>
        <v>38.911999999999999</v>
      </c>
      <c r="C513" s="17">
        <f>36.5215 * CHOOSE(CONTROL!$C$15, $E$9, 100%, $G$9) + CHOOSE(CONTROL!$C$38, 0.0342, 0)</f>
        <v>36.555700000000002</v>
      </c>
      <c r="D513" s="17">
        <f>36.5136 * CHOOSE(CONTROL!$C$15, $E$9, 100%, $G$9) + CHOOSE(CONTROL!$C$38, 0.0342, 0)</f>
        <v>36.547799999999995</v>
      </c>
      <c r="E513" s="17">
        <f>36.5136 * CHOOSE(CONTROL!$C$15, $E$9, 100%, $G$9) + CHOOSE(CONTROL!$C$38, 0.0342, 0)</f>
        <v>36.547799999999995</v>
      </c>
      <c r="F513" s="45">
        <f>38.878 * CHOOSE(CONTROL!$C$15, $E$9, 100%, $G$9) + CHOOSE(CONTROL!$C$38, 0.034, 0)</f>
        <v>38.911999999999999</v>
      </c>
      <c r="G513" s="17">
        <f>36.5199 * CHOOSE(CONTROL!$C$15, $E$9, 100%, $G$9) + CHOOSE(CONTROL!$C$38, 0.0342, 0)</f>
        <v>36.554099999999998</v>
      </c>
      <c r="H513" s="17">
        <f>36.5199 * CHOOSE(CONTROL!$C$15, $E$9, 100%, $G$9) + CHOOSE(CONTROL!$C$38, 0.0342, 0)</f>
        <v>36.554099999999998</v>
      </c>
      <c r="I513" s="17">
        <f>36.5215 * CHOOSE(CONTROL!$C$15, $E$9, 100%, $G$9) + CHOOSE(CONTROL!$C$38, 0.0342, 0)</f>
        <v>36.555700000000002</v>
      </c>
      <c r="J513" s="44">
        <f>290.6838</f>
        <v>290.68380000000002</v>
      </c>
    </row>
    <row r="514" spans="1:10" ht="15.75" x14ac:dyDescent="0.25">
      <c r="A514" s="14">
        <v>56583</v>
      </c>
      <c r="B514" s="17">
        <f>39.1797 * CHOOSE(CONTROL!$C$15, $E$9, 100%, $G$9) + CHOOSE(CONTROL!$C$38, 0.034, 0)</f>
        <v>39.213699999999996</v>
      </c>
      <c r="C514" s="17">
        <f>36.8232 * CHOOSE(CONTROL!$C$15, $E$9, 100%, $G$9) + CHOOSE(CONTROL!$C$38, 0.0342, 0)</f>
        <v>36.857399999999998</v>
      </c>
      <c r="D514" s="17">
        <f>36.8154 * CHOOSE(CONTROL!$C$15, $E$9, 100%, $G$9) + CHOOSE(CONTROL!$C$38, 0.0342, 0)</f>
        <v>36.849599999999995</v>
      </c>
      <c r="E514" s="17">
        <f>36.8154 * CHOOSE(CONTROL!$C$15, $E$9, 100%, $G$9) + CHOOSE(CONTROL!$C$38, 0.0342, 0)</f>
        <v>36.849599999999995</v>
      </c>
      <c r="F514" s="45">
        <f>39.1797 * CHOOSE(CONTROL!$C$15, $E$9, 100%, $G$9) + CHOOSE(CONTROL!$C$38, 0.034, 0)</f>
        <v>39.213699999999996</v>
      </c>
      <c r="G514" s="17">
        <f>36.8216 * CHOOSE(CONTROL!$C$15, $E$9, 100%, $G$9) + CHOOSE(CONTROL!$C$38, 0.0342, 0)</f>
        <v>36.855799999999995</v>
      </c>
      <c r="H514" s="17">
        <f>36.8216 * CHOOSE(CONTROL!$C$15, $E$9, 100%, $G$9) + CHOOSE(CONTROL!$C$38, 0.0342, 0)</f>
        <v>36.855799999999995</v>
      </c>
      <c r="I514" s="17">
        <f>36.8232 * CHOOSE(CONTROL!$C$15, $E$9, 100%, $G$9) + CHOOSE(CONTROL!$C$38, 0.0342, 0)</f>
        <v>36.857399999999998</v>
      </c>
      <c r="J514" s="44">
        <f>288.6126</f>
        <v>288.61259999999999</v>
      </c>
    </row>
    <row r="515" spans="1:10" ht="15.75" x14ac:dyDescent="0.25">
      <c r="A515" s="14">
        <v>56614</v>
      </c>
      <c r="B515" s="17">
        <f>40.1093 * CHOOSE(CONTROL!$C$15, $E$9, 100%, $G$9) + CHOOSE(CONTROL!$C$38, 0.034, 0)</f>
        <v>40.143299999999996</v>
      </c>
      <c r="C515" s="17">
        <f>37.7528 * CHOOSE(CONTROL!$C$15, $E$9, 100%, $G$9) + CHOOSE(CONTROL!$C$38, 0.0342, 0)</f>
        <v>37.786999999999999</v>
      </c>
      <c r="D515" s="17">
        <f>37.745 * CHOOSE(CONTROL!$C$15, $E$9, 100%, $G$9) + CHOOSE(CONTROL!$C$38, 0.0342, 0)</f>
        <v>37.779199999999996</v>
      </c>
      <c r="E515" s="17">
        <f>37.745 * CHOOSE(CONTROL!$C$15, $E$9, 100%, $G$9) + CHOOSE(CONTROL!$C$38, 0.0342, 0)</f>
        <v>37.779199999999996</v>
      </c>
      <c r="F515" s="45">
        <f>40.1093 * CHOOSE(CONTROL!$C$15, $E$9, 100%, $G$9) + CHOOSE(CONTROL!$C$38, 0.034, 0)</f>
        <v>40.143299999999996</v>
      </c>
      <c r="G515" s="17">
        <f>37.7513 * CHOOSE(CONTROL!$C$15, $E$9, 100%, $G$9) + CHOOSE(CONTROL!$C$38, 0.0342, 0)</f>
        <v>37.785499999999999</v>
      </c>
      <c r="H515" s="17">
        <f>37.7513 * CHOOSE(CONTROL!$C$15, $E$9, 100%, $G$9) + CHOOSE(CONTROL!$C$38, 0.0342, 0)</f>
        <v>37.785499999999999</v>
      </c>
      <c r="I515" s="17">
        <f>37.7528 * CHOOSE(CONTROL!$C$15, $E$9, 100%, $G$9) + CHOOSE(CONTROL!$C$38, 0.0342, 0)</f>
        <v>37.786999999999999</v>
      </c>
      <c r="J515" s="44">
        <f>280.048</f>
        <v>280.048</v>
      </c>
    </row>
    <row r="516" spans="1:10" ht="15.75" x14ac:dyDescent="0.25">
      <c r="A516" s="13">
        <v>56645</v>
      </c>
      <c r="B516" s="17">
        <f>41.4922 * CHOOSE(CONTROL!$C$15, $E$9, 100%, $G$9) + CHOOSE(CONTROL!$C$38, 0.034, 0)</f>
        <v>41.526199999999996</v>
      </c>
      <c r="C516" s="17">
        <f>39.0988 * CHOOSE(CONTROL!$C$15, $E$9, 100%, $G$9) + CHOOSE(CONTROL!$C$38, 0.0342, 0)</f>
        <v>39.132999999999996</v>
      </c>
      <c r="D516" s="17">
        <f>39.091 * CHOOSE(CONTROL!$C$15, $E$9, 100%, $G$9) + CHOOSE(CONTROL!$C$38, 0.0342, 0)</f>
        <v>39.1252</v>
      </c>
      <c r="E516" s="17">
        <f>39.091 * CHOOSE(CONTROL!$C$15, $E$9, 100%, $G$9) + CHOOSE(CONTROL!$C$38, 0.0342, 0)</f>
        <v>39.1252</v>
      </c>
      <c r="F516" s="45">
        <f>41.4922 * CHOOSE(CONTROL!$C$15, $E$9, 100%, $G$9) + CHOOSE(CONTROL!$C$38, 0.034, 0)</f>
        <v>41.526199999999996</v>
      </c>
      <c r="G516" s="17">
        <f>39.0972 * CHOOSE(CONTROL!$C$15, $E$9, 100%, $G$9) + CHOOSE(CONTROL!$C$38, 0.0342, 0)</f>
        <v>39.131399999999999</v>
      </c>
      <c r="H516" s="17">
        <f>39.0972 * CHOOSE(CONTROL!$C$15, $E$9, 100%, $G$9) + CHOOSE(CONTROL!$C$38, 0.0342, 0)</f>
        <v>39.131399999999999</v>
      </c>
      <c r="I516" s="17">
        <f>39.0988 * CHOOSE(CONTROL!$C$15, $E$9, 100%, $G$9) + CHOOSE(CONTROL!$C$38, 0.0342, 0)</f>
        <v>39.132999999999996</v>
      </c>
      <c r="J516" s="44">
        <f>279.8459</f>
        <v>279.84589999999997</v>
      </c>
    </row>
    <row r="517" spans="1:10" ht="15.75" x14ac:dyDescent="0.25">
      <c r="A517" s="13">
        <v>56673</v>
      </c>
      <c r="B517" s="17">
        <f>41.8366 * CHOOSE(CONTROL!$C$15, $E$9, 100%, $G$9) + CHOOSE(CONTROL!$C$38, 0.034, 0)</f>
        <v>41.870599999999996</v>
      </c>
      <c r="C517" s="17">
        <f>39.4431 * CHOOSE(CONTROL!$C$15, $E$9, 100%, $G$9) + CHOOSE(CONTROL!$C$38, 0.0342, 0)</f>
        <v>39.4773</v>
      </c>
      <c r="D517" s="17">
        <f>39.4353 * CHOOSE(CONTROL!$C$15, $E$9, 100%, $G$9) + CHOOSE(CONTROL!$C$38, 0.0342, 0)</f>
        <v>39.469499999999996</v>
      </c>
      <c r="E517" s="17">
        <f>39.4353 * CHOOSE(CONTROL!$C$15, $E$9, 100%, $G$9) + CHOOSE(CONTROL!$C$38, 0.0342, 0)</f>
        <v>39.469499999999996</v>
      </c>
      <c r="F517" s="45">
        <f>41.8366 * CHOOSE(CONTROL!$C$15, $E$9, 100%, $G$9) + CHOOSE(CONTROL!$C$38, 0.034, 0)</f>
        <v>41.870599999999996</v>
      </c>
      <c r="G517" s="17">
        <f>39.4415 * CHOOSE(CONTROL!$C$15, $E$9, 100%, $G$9) + CHOOSE(CONTROL!$C$38, 0.0342, 0)</f>
        <v>39.475699999999996</v>
      </c>
      <c r="H517" s="17">
        <f>39.4415 * CHOOSE(CONTROL!$C$15, $E$9, 100%, $G$9) + CHOOSE(CONTROL!$C$38, 0.0342, 0)</f>
        <v>39.475699999999996</v>
      </c>
      <c r="I517" s="17">
        <f>39.4431 * CHOOSE(CONTROL!$C$15, $E$9, 100%, $G$9) + CHOOSE(CONTROL!$C$38, 0.0342, 0)</f>
        <v>39.4773</v>
      </c>
      <c r="J517" s="44">
        <f>279.068</f>
        <v>279.06799999999998</v>
      </c>
    </row>
    <row r="518" spans="1:10" ht="15.75" x14ac:dyDescent="0.25">
      <c r="A518" s="13">
        <v>56704</v>
      </c>
      <c r="B518" s="17">
        <f>41.0395 * CHOOSE(CONTROL!$C$15, $E$9, 100%, $G$9) + CHOOSE(CONTROL!$C$38, 0.034, 0)</f>
        <v>41.073499999999996</v>
      </c>
      <c r="C518" s="17">
        <f>38.6461 * CHOOSE(CONTROL!$C$15, $E$9, 100%, $G$9) + CHOOSE(CONTROL!$C$38, 0.0342, 0)</f>
        <v>38.680299999999995</v>
      </c>
      <c r="D518" s="17">
        <f>38.6383 * CHOOSE(CONTROL!$C$15, $E$9, 100%, $G$9) + CHOOSE(CONTROL!$C$38, 0.0342, 0)</f>
        <v>38.672499999999999</v>
      </c>
      <c r="E518" s="17">
        <f>38.6383 * CHOOSE(CONTROL!$C$15, $E$9, 100%, $G$9) + CHOOSE(CONTROL!$C$38, 0.0342, 0)</f>
        <v>38.672499999999999</v>
      </c>
      <c r="F518" s="45">
        <f>41.0395 * CHOOSE(CONTROL!$C$15, $E$9, 100%, $G$9) + CHOOSE(CONTROL!$C$38, 0.034, 0)</f>
        <v>41.073499999999996</v>
      </c>
      <c r="G518" s="17">
        <f>38.6445 * CHOOSE(CONTROL!$C$15, $E$9, 100%, $G$9) + CHOOSE(CONTROL!$C$38, 0.0342, 0)</f>
        <v>38.678699999999999</v>
      </c>
      <c r="H518" s="17">
        <f>38.6445 * CHOOSE(CONTROL!$C$15, $E$9, 100%, $G$9) + CHOOSE(CONTROL!$C$38, 0.0342, 0)</f>
        <v>38.678699999999999</v>
      </c>
      <c r="I518" s="17">
        <f>38.6461 * CHOOSE(CONTROL!$C$15, $E$9, 100%, $G$9) + CHOOSE(CONTROL!$C$38, 0.0342, 0)</f>
        <v>38.680299999999995</v>
      </c>
      <c r="J518" s="44">
        <f>293.7765</f>
        <v>293.7765</v>
      </c>
    </row>
    <row r="519" spans="1:10" ht="15.75" x14ac:dyDescent="0.25">
      <c r="A519" s="13">
        <v>56734</v>
      </c>
      <c r="B519" s="17">
        <f>40.2672 * CHOOSE(CONTROL!$C$15, $E$9, 100%, $G$9) + CHOOSE(CONTROL!$C$38, 0.034, 0)</f>
        <v>40.301200000000001</v>
      </c>
      <c r="C519" s="17">
        <f>37.8738 * CHOOSE(CONTROL!$C$15, $E$9, 100%, $G$9) + CHOOSE(CONTROL!$C$38, 0.0342, 0)</f>
        <v>37.908000000000001</v>
      </c>
      <c r="D519" s="17">
        <f>37.8659 * CHOOSE(CONTROL!$C$15, $E$9, 100%, $G$9) + CHOOSE(CONTROL!$C$38, 0.0342, 0)</f>
        <v>37.900100000000002</v>
      </c>
      <c r="E519" s="17">
        <f>37.8659 * CHOOSE(CONTROL!$C$15, $E$9, 100%, $G$9) + CHOOSE(CONTROL!$C$38, 0.0342, 0)</f>
        <v>37.900100000000002</v>
      </c>
      <c r="F519" s="45">
        <f>40.2672 * CHOOSE(CONTROL!$C$15, $E$9, 100%, $G$9) + CHOOSE(CONTROL!$C$38, 0.034, 0)</f>
        <v>40.301200000000001</v>
      </c>
      <c r="G519" s="17">
        <f>37.8722 * CHOOSE(CONTROL!$C$15, $E$9, 100%, $G$9) + CHOOSE(CONTROL!$C$38, 0.0342, 0)</f>
        <v>37.906399999999998</v>
      </c>
      <c r="H519" s="17">
        <f>37.8722 * CHOOSE(CONTROL!$C$15, $E$9, 100%, $G$9) + CHOOSE(CONTROL!$C$38, 0.0342, 0)</f>
        <v>37.906399999999998</v>
      </c>
      <c r="I519" s="17">
        <f>37.8738 * CHOOSE(CONTROL!$C$15, $E$9, 100%, $G$9) + CHOOSE(CONTROL!$C$38, 0.0342, 0)</f>
        <v>37.908000000000001</v>
      </c>
      <c r="J519" s="44">
        <f>312.8499</f>
        <v>312.84989999999999</v>
      </c>
    </row>
    <row r="520" spans="1:10" ht="15.75" x14ac:dyDescent="0.25">
      <c r="A520" s="13">
        <v>56765</v>
      </c>
      <c r="B520" s="17">
        <f>39.4623 * CHOOSE(CONTROL!$C$15, $E$9, 100%, $G$9) + CHOOSE(CONTROL!$C$38, 0.0353, 0)</f>
        <v>39.497599999999998</v>
      </c>
      <c r="C520" s="17">
        <f>37.0688 * CHOOSE(CONTROL!$C$15, $E$9, 100%, $G$9) + CHOOSE(CONTROL!$C$38, 0.0354, 0)</f>
        <v>37.104200000000006</v>
      </c>
      <c r="D520" s="17">
        <f>37.061 * CHOOSE(CONTROL!$C$15, $E$9, 100%, $G$9) + CHOOSE(CONTROL!$C$38, 0.0354, 0)</f>
        <v>37.096400000000003</v>
      </c>
      <c r="E520" s="17">
        <f>37.061 * CHOOSE(CONTROL!$C$15, $E$9, 100%, $G$9) + CHOOSE(CONTROL!$C$38, 0.0354, 0)</f>
        <v>37.096400000000003</v>
      </c>
      <c r="F520" s="45">
        <f>39.4623 * CHOOSE(CONTROL!$C$15, $E$9, 100%, $G$9) + CHOOSE(CONTROL!$C$38, 0.0353, 0)</f>
        <v>39.497599999999998</v>
      </c>
      <c r="G520" s="17">
        <f>37.0672 * CHOOSE(CONTROL!$C$15, $E$9, 100%, $G$9) + CHOOSE(CONTROL!$C$38, 0.0354, 0)</f>
        <v>37.102600000000002</v>
      </c>
      <c r="H520" s="17">
        <f>37.0672 * CHOOSE(CONTROL!$C$15, $E$9, 100%, $G$9) + CHOOSE(CONTROL!$C$38, 0.0354, 0)</f>
        <v>37.102600000000002</v>
      </c>
      <c r="I520" s="17">
        <f>37.0688 * CHOOSE(CONTROL!$C$15, $E$9, 100%, $G$9) + CHOOSE(CONTROL!$C$38, 0.0354, 0)</f>
        <v>37.104200000000006</v>
      </c>
      <c r="J520" s="44">
        <f>323.3485</f>
        <v>323.3485</v>
      </c>
    </row>
    <row r="521" spans="1:10" ht="15.75" x14ac:dyDescent="0.25">
      <c r="A521" s="13">
        <v>56795</v>
      </c>
      <c r="B521" s="17">
        <f>38.8979 * CHOOSE(CONTROL!$C$15, $E$9, 100%, $G$9) + CHOOSE(CONTROL!$C$38, 0.0353, 0)</f>
        <v>38.933199999999999</v>
      </c>
      <c r="C521" s="17">
        <f>36.5045 * CHOOSE(CONTROL!$C$15, $E$9, 100%, $G$9) + CHOOSE(CONTROL!$C$38, 0.0354, 0)</f>
        <v>36.539900000000003</v>
      </c>
      <c r="D521" s="17">
        <f>36.4966 * CHOOSE(CONTROL!$C$15, $E$9, 100%, $G$9) + CHOOSE(CONTROL!$C$38, 0.0354, 0)</f>
        <v>36.532000000000004</v>
      </c>
      <c r="E521" s="17">
        <f>36.4966 * CHOOSE(CONTROL!$C$15, $E$9, 100%, $G$9) + CHOOSE(CONTROL!$C$38, 0.0354, 0)</f>
        <v>36.532000000000004</v>
      </c>
      <c r="F521" s="45">
        <f>38.8979 * CHOOSE(CONTROL!$C$15, $E$9, 100%, $G$9) + CHOOSE(CONTROL!$C$38, 0.0353, 0)</f>
        <v>38.933199999999999</v>
      </c>
      <c r="G521" s="17">
        <f>36.5029 * CHOOSE(CONTROL!$C$15, $E$9, 100%, $G$9) + CHOOSE(CONTROL!$C$38, 0.0354, 0)</f>
        <v>36.5383</v>
      </c>
      <c r="H521" s="17">
        <f>36.5029 * CHOOSE(CONTROL!$C$15, $E$9, 100%, $G$9) + CHOOSE(CONTROL!$C$38, 0.0354, 0)</f>
        <v>36.5383</v>
      </c>
      <c r="I521" s="17">
        <f>36.5045 * CHOOSE(CONTROL!$C$15, $E$9, 100%, $G$9) + CHOOSE(CONTROL!$C$38, 0.0354, 0)</f>
        <v>36.539900000000003</v>
      </c>
      <c r="J521" s="44">
        <f>328.0076</f>
        <v>328.00760000000002</v>
      </c>
    </row>
    <row r="522" spans="1:10" ht="15.75" x14ac:dyDescent="0.25">
      <c r="A522" s="13">
        <v>56826</v>
      </c>
      <c r="B522" s="17">
        <f>38.5759 * CHOOSE(CONTROL!$C$15, $E$9, 100%, $G$9) + CHOOSE(CONTROL!$C$38, 0.0353, 0)</f>
        <v>38.611199999999997</v>
      </c>
      <c r="C522" s="17">
        <f>36.1824 * CHOOSE(CONTROL!$C$15, $E$9, 100%, $G$9) + CHOOSE(CONTROL!$C$38, 0.0354, 0)</f>
        <v>36.217800000000004</v>
      </c>
      <c r="D522" s="17">
        <f>36.1746 * CHOOSE(CONTROL!$C$15, $E$9, 100%, $G$9) + CHOOSE(CONTROL!$C$38, 0.0354, 0)</f>
        <v>36.21</v>
      </c>
      <c r="E522" s="17">
        <f>36.1746 * CHOOSE(CONTROL!$C$15, $E$9, 100%, $G$9) + CHOOSE(CONTROL!$C$38, 0.0354, 0)</f>
        <v>36.21</v>
      </c>
      <c r="F522" s="45">
        <f>38.5759 * CHOOSE(CONTROL!$C$15, $E$9, 100%, $G$9) + CHOOSE(CONTROL!$C$38, 0.0353, 0)</f>
        <v>38.611199999999997</v>
      </c>
      <c r="G522" s="17">
        <f>36.1808 * CHOOSE(CONTROL!$C$15, $E$9, 100%, $G$9) + CHOOSE(CONTROL!$C$38, 0.0354, 0)</f>
        <v>36.216200000000001</v>
      </c>
      <c r="H522" s="17">
        <f>36.1808 * CHOOSE(CONTROL!$C$15, $E$9, 100%, $G$9) + CHOOSE(CONTROL!$C$38, 0.0354, 0)</f>
        <v>36.216200000000001</v>
      </c>
      <c r="I522" s="17">
        <f>36.1824 * CHOOSE(CONTROL!$C$15, $E$9, 100%, $G$9) + CHOOSE(CONTROL!$C$38, 0.0354, 0)</f>
        <v>36.217800000000004</v>
      </c>
      <c r="J522" s="44">
        <f>326.4736</f>
        <v>326.47359999999998</v>
      </c>
    </row>
    <row r="523" spans="1:10" ht="15.75" x14ac:dyDescent="0.25">
      <c r="A523" s="13">
        <v>56857</v>
      </c>
      <c r="B523" s="17">
        <f>38.7348 * CHOOSE(CONTROL!$C$15, $E$9, 100%, $G$9) + CHOOSE(CONTROL!$C$38, 0.0353, 0)</f>
        <v>38.770099999999999</v>
      </c>
      <c r="C523" s="17">
        <f>36.3414 * CHOOSE(CONTROL!$C$15, $E$9, 100%, $G$9) + CHOOSE(CONTROL!$C$38, 0.0354, 0)</f>
        <v>36.376800000000003</v>
      </c>
      <c r="D523" s="17">
        <f>36.3335 * CHOOSE(CONTROL!$C$15, $E$9, 100%, $G$9) + CHOOSE(CONTROL!$C$38, 0.0354, 0)</f>
        <v>36.368900000000004</v>
      </c>
      <c r="E523" s="17">
        <f>36.3335 * CHOOSE(CONTROL!$C$15, $E$9, 100%, $G$9) + CHOOSE(CONTROL!$C$38, 0.0354, 0)</f>
        <v>36.368900000000004</v>
      </c>
      <c r="F523" s="45">
        <f>38.7348 * CHOOSE(CONTROL!$C$15, $E$9, 100%, $G$9) + CHOOSE(CONTROL!$C$38, 0.0353, 0)</f>
        <v>38.770099999999999</v>
      </c>
      <c r="G523" s="17">
        <f>36.3398 * CHOOSE(CONTROL!$C$15, $E$9, 100%, $G$9) + CHOOSE(CONTROL!$C$38, 0.0354, 0)</f>
        <v>36.3752</v>
      </c>
      <c r="H523" s="17">
        <f>36.3398 * CHOOSE(CONTROL!$C$15, $E$9, 100%, $G$9) + CHOOSE(CONTROL!$C$38, 0.0354, 0)</f>
        <v>36.3752</v>
      </c>
      <c r="I523" s="17">
        <f>36.3414 * CHOOSE(CONTROL!$C$15, $E$9, 100%, $G$9) + CHOOSE(CONTROL!$C$38, 0.0354, 0)</f>
        <v>36.376800000000003</v>
      </c>
      <c r="J523" s="44">
        <f>318.8734</f>
        <v>318.8734</v>
      </c>
    </row>
    <row r="524" spans="1:10" ht="15.75" x14ac:dyDescent="0.25">
      <c r="A524" s="13">
        <v>56887</v>
      </c>
      <c r="B524" s="17">
        <f>39.1665 * CHOOSE(CONTROL!$C$15, $E$9, 100%, $G$9) + CHOOSE(CONTROL!$C$38, 0.0353, 0)</f>
        <v>39.201799999999999</v>
      </c>
      <c r="C524" s="17">
        <f>36.7731 * CHOOSE(CONTROL!$C$15, $E$9, 100%, $G$9) + CHOOSE(CONTROL!$C$38, 0.0354, 0)</f>
        <v>36.808500000000002</v>
      </c>
      <c r="D524" s="17">
        <f>36.7652 * CHOOSE(CONTROL!$C$15, $E$9, 100%, $G$9) + CHOOSE(CONTROL!$C$38, 0.0354, 0)</f>
        <v>36.800600000000003</v>
      </c>
      <c r="E524" s="17">
        <f>36.7652 * CHOOSE(CONTROL!$C$15, $E$9, 100%, $G$9) + CHOOSE(CONTROL!$C$38, 0.0354, 0)</f>
        <v>36.800600000000003</v>
      </c>
      <c r="F524" s="45">
        <f>39.1665 * CHOOSE(CONTROL!$C$15, $E$9, 100%, $G$9) + CHOOSE(CONTROL!$C$38, 0.0353, 0)</f>
        <v>39.201799999999999</v>
      </c>
      <c r="G524" s="17">
        <f>36.7715 * CHOOSE(CONTROL!$C$15, $E$9, 100%, $G$9) + CHOOSE(CONTROL!$C$38, 0.0354, 0)</f>
        <v>36.806900000000006</v>
      </c>
      <c r="H524" s="17">
        <f>36.7715 * CHOOSE(CONTROL!$C$15, $E$9, 100%, $G$9) + CHOOSE(CONTROL!$C$38, 0.0354, 0)</f>
        <v>36.806900000000006</v>
      </c>
      <c r="I524" s="17">
        <f>36.7731 * CHOOSE(CONTROL!$C$15, $E$9, 100%, $G$9) + CHOOSE(CONTROL!$C$38, 0.0354, 0)</f>
        <v>36.808500000000002</v>
      </c>
      <c r="J524" s="44">
        <f>308.2746</f>
        <v>308.27460000000002</v>
      </c>
    </row>
    <row r="525" spans="1:10" ht="15.75" x14ac:dyDescent="0.25">
      <c r="A525" s="13">
        <v>56918</v>
      </c>
      <c r="B525" s="17">
        <f>39.5281 * CHOOSE(CONTROL!$C$15, $E$9, 100%, $G$9) + CHOOSE(CONTROL!$C$38, 0.034, 0)</f>
        <v>39.562100000000001</v>
      </c>
      <c r="C525" s="17">
        <f>37.1346 * CHOOSE(CONTROL!$C$15, $E$9, 100%, $G$9) + CHOOSE(CONTROL!$C$38, 0.0342, 0)</f>
        <v>37.168799999999997</v>
      </c>
      <c r="D525" s="17">
        <f>37.1268 * CHOOSE(CONTROL!$C$15, $E$9, 100%, $G$9) + CHOOSE(CONTROL!$C$38, 0.0342, 0)</f>
        <v>37.161000000000001</v>
      </c>
      <c r="E525" s="17">
        <f>37.1268 * CHOOSE(CONTROL!$C$15, $E$9, 100%, $G$9) + CHOOSE(CONTROL!$C$38, 0.0342, 0)</f>
        <v>37.161000000000001</v>
      </c>
      <c r="F525" s="45">
        <f>39.5281 * CHOOSE(CONTROL!$C$15, $E$9, 100%, $G$9) + CHOOSE(CONTROL!$C$38, 0.034, 0)</f>
        <v>39.562100000000001</v>
      </c>
      <c r="G525" s="17">
        <f>37.1331 * CHOOSE(CONTROL!$C$15, $E$9, 100%, $G$9) + CHOOSE(CONTROL!$C$38, 0.0342, 0)</f>
        <v>37.167299999999997</v>
      </c>
      <c r="H525" s="17">
        <f>37.1331 * CHOOSE(CONTROL!$C$15, $E$9, 100%, $G$9) + CHOOSE(CONTROL!$C$38, 0.0342, 0)</f>
        <v>37.167299999999997</v>
      </c>
      <c r="I525" s="17">
        <f>37.1346 * CHOOSE(CONTROL!$C$15, $E$9, 100%, $G$9) + CHOOSE(CONTROL!$C$38, 0.0342, 0)</f>
        <v>37.168799999999997</v>
      </c>
      <c r="J525" s="44">
        <f>297.6142</f>
        <v>297.61419999999998</v>
      </c>
    </row>
    <row r="526" spans="1:10" ht="15.75" x14ac:dyDescent="0.25">
      <c r="A526" s="13">
        <v>56948</v>
      </c>
      <c r="B526" s="17">
        <f>39.8298 * CHOOSE(CONTROL!$C$15, $E$9, 100%, $G$9) + CHOOSE(CONTROL!$C$38, 0.034, 0)</f>
        <v>39.863799999999998</v>
      </c>
      <c r="C526" s="17">
        <f>37.4363 * CHOOSE(CONTROL!$C$15, $E$9, 100%, $G$9) + CHOOSE(CONTROL!$C$38, 0.0342, 0)</f>
        <v>37.470500000000001</v>
      </c>
      <c r="D526" s="17">
        <f>37.4285 * CHOOSE(CONTROL!$C$15, $E$9, 100%, $G$9) + CHOOSE(CONTROL!$C$38, 0.0342, 0)</f>
        <v>37.462699999999998</v>
      </c>
      <c r="E526" s="17">
        <f>37.4285 * CHOOSE(CONTROL!$C$15, $E$9, 100%, $G$9) + CHOOSE(CONTROL!$C$38, 0.0342, 0)</f>
        <v>37.462699999999998</v>
      </c>
      <c r="F526" s="45">
        <f>39.8298 * CHOOSE(CONTROL!$C$15, $E$9, 100%, $G$9) + CHOOSE(CONTROL!$C$38, 0.034, 0)</f>
        <v>39.863799999999998</v>
      </c>
      <c r="G526" s="17">
        <f>37.4348 * CHOOSE(CONTROL!$C$15, $E$9, 100%, $G$9) + CHOOSE(CONTROL!$C$38, 0.0342, 0)</f>
        <v>37.469000000000001</v>
      </c>
      <c r="H526" s="17">
        <f>37.4348 * CHOOSE(CONTROL!$C$15, $E$9, 100%, $G$9) + CHOOSE(CONTROL!$C$38, 0.0342, 0)</f>
        <v>37.469000000000001</v>
      </c>
      <c r="I526" s="17">
        <f>37.4363 * CHOOSE(CONTROL!$C$15, $E$9, 100%, $G$9) + CHOOSE(CONTROL!$C$38, 0.0342, 0)</f>
        <v>37.470500000000001</v>
      </c>
      <c r="J526" s="44">
        <f>295.4936</f>
        <v>295.49360000000001</v>
      </c>
    </row>
    <row r="527" spans="1:10" ht="15.75" x14ac:dyDescent="0.25">
      <c r="A527" s="13">
        <v>56979</v>
      </c>
      <c r="B527" s="17">
        <f>40.7594 * CHOOSE(CONTROL!$C$15, $E$9, 100%, $G$9) + CHOOSE(CONTROL!$C$38, 0.034, 0)</f>
        <v>40.793399999999998</v>
      </c>
      <c r="C527" s="17">
        <f>38.366 * CHOOSE(CONTROL!$C$15, $E$9, 100%, $G$9) + CHOOSE(CONTROL!$C$38, 0.0342, 0)</f>
        <v>38.400199999999998</v>
      </c>
      <c r="D527" s="17">
        <f>38.3582 * CHOOSE(CONTROL!$C$15, $E$9, 100%, $G$9) + CHOOSE(CONTROL!$C$38, 0.0342, 0)</f>
        <v>38.392399999999995</v>
      </c>
      <c r="E527" s="17">
        <f>38.3582 * CHOOSE(CONTROL!$C$15, $E$9, 100%, $G$9) + CHOOSE(CONTROL!$C$38, 0.0342, 0)</f>
        <v>38.392399999999995</v>
      </c>
      <c r="F527" s="45">
        <f>40.7594 * CHOOSE(CONTROL!$C$15, $E$9, 100%, $G$9) + CHOOSE(CONTROL!$C$38, 0.034, 0)</f>
        <v>40.793399999999998</v>
      </c>
      <c r="G527" s="17">
        <f>38.3644 * CHOOSE(CONTROL!$C$15, $E$9, 100%, $G$9) + CHOOSE(CONTROL!$C$38, 0.0342, 0)</f>
        <v>38.398600000000002</v>
      </c>
      <c r="H527" s="17">
        <f>38.3644 * CHOOSE(CONTROL!$C$15, $E$9, 100%, $G$9) + CHOOSE(CONTROL!$C$38, 0.0342, 0)</f>
        <v>38.398600000000002</v>
      </c>
      <c r="I527" s="17">
        <f>38.366 * CHOOSE(CONTROL!$C$15, $E$9, 100%, $G$9) + CHOOSE(CONTROL!$C$38, 0.0342, 0)</f>
        <v>38.400199999999998</v>
      </c>
      <c r="J527" s="44">
        <f>286.7248</f>
        <v>286.72480000000002</v>
      </c>
    </row>
    <row r="528" spans="1:10" ht="15.75" x14ac:dyDescent="0.25">
      <c r="A528" s="13">
        <v>57010</v>
      </c>
      <c r="B528" s="17">
        <f>42.1533 * CHOOSE(CONTROL!$C$15, $E$9, 100%, $G$9) + CHOOSE(CONTROL!$C$38, 0.034, 0)</f>
        <v>42.1873</v>
      </c>
      <c r="C528" s="17">
        <f>39.7223 * CHOOSE(CONTROL!$C$15, $E$9, 100%, $G$9) + CHOOSE(CONTROL!$C$38, 0.0342, 0)</f>
        <v>39.756499999999996</v>
      </c>
      <c r="D528" s="17">
        <f>39.7144 * CHOOSE(CONTROL!$C$15, $E$9, 100%, $G$9) + CHOOSE(CONTROL!$C$38, 0.0342, 0)</f>
        <v>39.748599999999996</v>
      </c>
      <c r="E528" s="17">
        <f>39.7144 * CHOOSE(CONTROL!$C$15, $E$9, 100%, $G$9) + CHOOSE(CONTROL!$C$38, 0.0342, 0)</f>
        <v>39.748599999999996</v>
      </c>
      <c r="F528" s="45">
        <f>42.1533 * CHOOSE(CONTROL!$C$15, $E$9, 100%, $G$9) + CHOOSE(CONTROL!$C$38, 0.034, 0)</f>
        <v>42.1873</v>
      </c>
      <c r="G528" s="17">
        <f>39.7207 * CHOOSE(CONTROL!$C$15, $E$9, 100%, $G$9) + CHOOSE(CONTROL!$C$38, 0.0342, 0)</f>
        <v>39.754899999999999</v>
      </c>
      <c r="H528" s="17">
        <f>39.7207 * CHOOSE(CONTROL!$C$15, $E$9, 100%, $G$9) + CHOOSE(CONTROL!$C$38, 0.0342, 0)</f>
        <v>39.754899999999999</v>
      </c>
      <c r="I528" s="17">
        <f>39.7223 * CHOOSE(CONTROL!$C$15, $E$9, 100%, $G$9) + CHOOSE(CONTROL!$C$38, 0.0342, 0)</f>
        <v>39.756499999999996</v>
      </c>
      <c r="J528" s="44">
        <f>286.5178</f>
        <v>286.51780000000002</v>
      </c>
    </row>
    <row r="529" spans="1:10" ht="15.75" x14ac:dyDescent="0.25">
      <c r="A529" s="13">
        <v>57038</v>
      </c>
      <c r="B529" s="17">
        <f>42.4976 * CHOOSE(CONTROL!$C$15, $E$9, 100%, $G$9) + CHOOSE(CONTROL!$C$38, 0.034, 0)</f>
        <v>42.531599999999997</v>
      </c>
      <c r="C529" s="17">
        <f>40.0666 * CHOOSE(CONTROL!$C$15, $E$9, 100%, $G$9) + CHOOSE(CONTROL!$C$38, 0.0342, 0)</f>
        <v>40.1008</v>
      </c>
      <c r="D529" s="17">
        <f>40.0588 * CHOOSE(CONTROL!$C$15, $E$9, 100%, $G$9) + CHOOSE(CONTROL!$C$38, 0.0342, 0)</f>
        <v>40.092999999999996</v>
      </c>
      <c r="E529" s="17">
        <f>40.0588 * CHOOSE(CONTROL!$C$15, $E$9, 100%, $G$9) + CHOOSE(CONTROL!$C$38, 0.0342, 0)</f>
        <v>40.092999999999996</v>
      </c>
      <c r="F529" s="45">
        <f>42.4976 * CHOOSE(CONTROL!$C$15, $E$9, 100%, $G$9) + CHOOSE(CONTROL!$C$38, 0.034, 0)</f>
        <v>42.531599999999997</v>
      </c>
      <c r="G529" s="17">
        <f>40.065 * CHOOSE(CONTROL!$C$15, $E$9, 100%, $G$9) + CHOOSE(CONTROL!$C$38, 0.0342, 0)</f>
        <v>40.099199999999996</v>
      </c>
      <c r="H529" s="17">
        <f>40.065 * CHOOSE(CONTROL!$C$15, $E$9, 100%, $G$9) + CHOOSE(CONTROL!$C$38, 0.0342, 0)</f>
        <v>40.099199999999996</v>
      </c>
      <c r="I529" s="17">
        <f>40.0666 * CHOOSE(CONTROL!$C$15, $E$9, 100%, $G$9) + CHOOSE(CONTROL!$C$38, 0.0342, 0)</f>
        <v>40.1008</v>
      </c>
      <c r="J529" s="44">
        <f>285.7214</f>
        <v>285.72140000000002</v>
      </c>
    </row>
    <row r="530" spans="1:10" ht="15.75" x14ac:dyDescent="0.25">
      <c r="A530" s="13">
        <v>57070</v>
      </c>
      <c r="B530" s="17">
        <f>41.7006 * CHOOSE(CONTROL!$C$15, $E$9, 100%, $G$9) + CHOOSE(CONTROL!$C$38, 0.034, 0)</f>
        <v>41.7346</v>
      </c>
      <c r="C530" s="17">
        <f>39.2695 * CHOOSE(CONTROL!$C$15, $E$9, 100%, $G$9) + CHOOSE(CONTROL!$C$38, 0.0342, 0)</f>
        <v>39.303699999999999</v>
      </c>
      <c r="D530" s="17">
        <f>39.2617 * CHOOSE(CONTROL!$C$15, $E$9, 100%, $G$9) + CHOOSE(CONTROL!$C$38, 0.0342, 0)</f>
        <v>39.295899999999996</v>
      </c>
      <c r="E530" s="17">
        <f>39.2617 * CHOOSE(CONTROL!$C$15, $E$9, 100%, $G$9) + CHOOSE(CONTROL!$C$38, 0.0342, 0)</f>
        <v>39.295899999999996</v>
      </c>
      <c r="F530" s="45">
        <f>41.7006 * CHOOSE(CONTROL!$C$15, $E$9, 100%, $G$9) + CHOOSE(CONTROL!$C$38, 0.034, 0)</f>
        <v>41.7346</v>
      </c>
      <c r="G530" s="17">
        <f>39.268 * CHOOSE(CONTROL!$C$15, $E$9, 100%, $G$9) + CHOOSE(CONTROL!$C$38, 0.0342, 0)</f>
        <v>39.302199999999999</v>
      </c>
      <c r="H530" s="17">
        <f>39.268 * CHOOSE(CONTROL!$C$15, $E$9, 100%, $G$9) + CHOOSE(CONTROL!$C$38, 0.0342, 0)</f>
        <v>39.302199999999999</v>
      </c>
      <c r="I530" s="17">
        <f>39.2695 * CHOOSE(CONTROL!$C$15, $E$9, 100%, $G$9) + CHOOSE(CONTROL!$C$38, 0.0342, 0)</f>
        <v>39.303699999999999</v>
      </c>
      <c r="J530" s="44">
        <f>300.7805</f>
        <v>300.78050000000002</v>
      </c>
    </row>
    <row r="531" spans="1:10" ht="15.75" x14ac:dyDescent="0.25">
      <c r="A531" s="13">
        <v>57100</v>
      </c>
      <c r="B531" s="17">
        <f>40.9283 * CHOOSE(CONTROL!$C$15, $E$9, 100%, $G$9) + CHOOSE(CONTROL!$C$38, 0.034, 0)</f>
        <v>40.962299999999999</v>
      </c>
      <c r="C531" s="17">
        <f>38.4972 * CHOOSE(CONTROL!$C$15, $E$9, 100%, $G$9) + CHOOSE(CONTROL!$C$38, 0.0342, 0)</f>
        <v>38.531399999999998</v>
      </c>
      <c r="D531" s="17">
        <f>38.4894 * CHOOSE(CONTROL!$C$15, $E$9, 100%, $G$9) + CHOOSE(CONTROL!$C$38, 0.0342, 0)</f>
        <v>38.523600000000002</v>
      </c>
      <c r="E531" s="17">
        <f>38.4894 * CHOOSE(CONTROL!$C$15, $E$9, 100%, $G$9) + CHOOSE(CONTROL!$C$38, 0.0342, 0)</f>
        <v>38.523600000000002</v>
      </c>
      <c r="F531" s="45">
        <f>40.9283 * CHOOSE(CONTROL!$C$15, $E$9, 100%, $G$9) + CHOOSE(CONTROL!$C$38, 0.034, 0)</f>
        <v>40.962299999999999</v>
      </c>
      <c r="G531" s="17">
        <f>38.4957 * CHOOSE(CONTROL!$C$15, $E$9, 100%, $G$9) + CHOOSE(CONTROL!$C$38, 0.0342, 0)</f>
        <v>38.529899999999998</v>
      </c>
      <c r="H531" s="17">
        <f>38.4957 * CHOOSE(CONTROL!$C$15, $E$9, 100%, $G$9) + CHOOSE(CONTROL!$C$38, 0.0342, 0)</f>
        <v>38.529899999999998</v>
      </c>
      <c r="I531" s="17">
        <f>38.4972 * CHOOSE(CONTROL!$C$15, $E$9, 100%, $G$9) + CHOOSE(CONTROL!$C$38, 0.0342, 0)</f>
        <v>38.531399999999998</v>
      </c>
      <c r="J531" s="44">
        <f>320.3087</f>
        <v>320.30869999999999</v>
      </c>
    </row>
    <row r="532" spans="1:10" ht="15.75" x14ac:dyDescent="0.25">
      <c r="A532" s="13">
        <v>57131</v>
      </c>
      <c r="B532" s="17">
        <f>40.1233 * CHOOSE(CONTROL!$C$15, $E$9, 100%, $G$9) + CHOOSE(CONTROL!$C$38, 0.0353, 0)</f>
        <v>40.1586</v>
      </c>
      <c r="C532" s="17">
        <f>37.6923 * CHOOSE(CONTROL!$C$15, $E$9, 100%, $G$9) + CHOOSE(CONTROL!$C$38, 0.0354, 0)</f>
        <v>37.727700000000006</v>
      </c>
      <c r="D532" s="17">
        <f>37.6844 * CHOOSE(CONTROL!$C$15, $E$9, 100%, $G$9) + CHOOSE(CONTROL!$C$38, 0.0354, 0)</f>
        <v>37.719799999999999</v>
      </c>
      <c r="E532" s="17">
        <f>37.6844 * CHOOSE(CONTROL!$C$15, $E$9, 100%, $G$9) + CHOOSE(CONTROL!$C$38, 0.0354, 0)</f>
        <v>37.719799999999999</v>
      </c>
      <c r="F532" s="45">
        <f>40.1233 * CHOOSE(CONTROL!$C$15, $E$9, 100%, $G$9) + CHOOSE(CONTROL!$C$38, 0.0353, 0)</f>
        <v>40.1586</v>
      </c>
      <c r="G532" s="17">
        <f>37.6907 * CHOOSE(CONTROL!$C$15, $E$9, 100%, $G$9) + CHOOSE(CONTROL!$C$38, 0.0354, 0)</f>
        <v>37.726100000000002</v>
      </c>
      <c r="H532" s="17">
        <f>37.6907 * CHOOSE(CONTROL!$C$15, $E$9, 100%, $G$9) + CHOOSE(CONTROL!$C$38, 0.0354, 0)</f>
        <v>37.726100000000002</v>
      </c>
      <c r="I532" s="17">
        <f>37.6923 * CHOOSE(CONTROL!$C$15, $E$9, 100%, $G$9) + CHOOSE(CONTROL!$C$38, 0.0354, 0)</f>
        <v>37.727700000000006</v>
      </c>
      <c r="J532" s="44">
        <f>331.0576</f>
        <v>331.05759999999998</v>
      </c>
    </row>
    <row r="533" spans="1:10" ht="15.75" x14ac:dyDescent="0.25">
      <c r="A533" s="13">
        <v>57161</v>
      </c>
      <c r="B533" s="17">
        <f>39.559 * CHOOSE(CONTROL!$C$15, $E$9, 100%, $G$9) + CHOOSE(CONTROL!$C$38, 0.0353, 0)</f>
        <v>39.594299999999997</v>
      </c>
      <c r="C533" s="17">
        <f>37.1279 * CHOOSE(CONTROL!$C$15, $E$9, 100%, $G$9) + CHOOSE(CONTROL!$C$38, 0.0354, 0)</f>
        <v>37.1633</v>
      </c>
      <c r="D533" s="17">
        <f>37.1201 * CHOOSE(CONTROL!$C$15, $E$9, 100%, $G$9) + CHOOSE(CONTROL!$C$38, 0.0354, 0)</f>
        <v>37.155500000000004</v>
      </c>
      <c r="E533" s="17">
        <f>37.1201 * CHOOSE(CONTROL!$C$15, $E$9, 100%, $G$9) + CHOOSE(CONTROL!$C$38, 0.0354, 0)</f>
        <v>37.155500000000004</v>
      </c>
      <c r="F533" s="45">
        <f>39.559 * CHOOSE(CONTROL!$C$15, $E$9, 100%, $G$9) + CHOOSE(CONTROL!$C$38, 0.0353, 0)</f>
        <v>39.594299999999997</v>
      </c>
      <c r="G533" s="17">
        <f>37.1264 * CHOOSE(CONTROL!$C$15, $E$9, 100%, $G$9) + CHOOSE(CONTROL!$C$38, 0.0354, 0)</f>
        <v>37.161799999999999</v>
      </c>
      <c r="H533" s="17">
        <f>37.1264 * CHOOSE(CONTROL!$C$15, $E$9, 100%, $G$9) + CHOOSE(CONTROL!$C$38, 0.0354, 0)</f>
        <v>37.161799999999999</v>
      </c>
      <c r="I533" s="17">
        <f>37.1279 * CHOOSE(CONTROL!$C$15, $E$9, 100%, $G$9) + CHOOSE(CONTROL!$C$38, 0.0354, 0)</f>
        <v>37.1633</v>
      </c>
      <c r="J533" s="44">
        <f>335.8278</f>
        <v>335.82780000000002</v>
      </c>
    </row>
    <row r="534" spans="1:10" ht="15.75" x14ac:dyDescent="0.25">
      <c r="A534" s="13">
        <v>57192</v>
      </c>
      <c r="B534" s="17">
        <f>39.2369 * CHOOSE(CONTROL!$C$15, $E$9, 100%, $G$9) + CHOOSE(CONTROL!$C$38, 0.0353, 0)</f>
        <v>39.272199999999998</v>
      </c>
      <c r="C534" s="17">
        <f>36.8059 * CHOOSE(CONTROL!$C$15, $E$9, 100%, $G$9) + CHOOSE(CONTROL!$C$38, 0.0354, 0)</f>
        <v>36.841300000000004</v>
      </c>
      <c r="D534" s="17">
        <f>36.7981 * CHOOSE(CONTROL!$C$15, $E$9, 100%, $G$9) + CHOOSE(CONTROL!$C$38, 0.0354, 0)</f>
        <v>36.833500000000001</v>
      </c>
      <c r="E534" s="17">
        <f>36.7981 * CHOOSE(CONTROL!$C$15, $E$9, 100%, $G$9) + CHOOSE(CONTROL!$C$38, 0.0354, 0)</f>
        <v>36.833500000000001</v>
      </c>
      <c r="F534" s="45">
        <f>39.2369 * CHOOSE(CONTROL!$C$15, $E$9, 100%, $G$9) + CHOOSE(CONTROL!$C$38, 0.0353, 0)</f>
        <v>39.272199999999998</v>
      </c>
      <c r="G534" s="17">
        <f>36.8043 * CHOOSE(CONTROL!$C$15, $E$9, 100%, $G$9) + CHOOSE(CONTROL!$C$38, 0.0354, 0)</f>
        <v>36.839700000000001</v>
      </c>
      <c r="H534" s="17">
        <f>36.8043 * CHOOSE(CONTROL!$C$15, $E$9, 100%, $G$9) + CHOOSE(CONTROL!$C$38, 0.0354, 0)</f>
        <v>36.839700000000001</v>
      </c>
      <c r="I534" s="17">
        <f>36.8059 * CHOOSE(CONTROL!$C$15, $E$9, 100%, $G$9) + CHOOSE(CONTROL!$C$38, 0.0354, 0)</f>
        <v>36.841300000000004</v>
      </c>
      <c r="J534" s="44">
        <f>334.2572</f>
        <v>334.25720000000001</v>
      </c>
    </row>
    <row r="535" spans="1:10" ht="15.75" x14ac:dyDescent="0.25">
      <c r="A535" s="13">
        <v>57223</v>
      </c>
      <c r="B535" s="17">
        <f>39.3959 * CHOOSE(CONTROL!$C$15, $E$9, 100%, $G$9) + CHOOSE(CONTROL!$C$38, 0.0353, 0)</f>
        <v>39.431199999999997</v>
      </c>
      <c r="C535" s="17">
        <f>36.9648 * CHOOSE(CONTROL!$C$15, $E$9, 100%, $G$9) + CHOOSE(CONTROL!$C$38, 0.0354, 0)</f>
        <v>37.0002</v>
      </c>
      <c r="D535" s="17">
        <f>36.957 * CHOOSE(CONTROL!$C$15, $E$9, 100%, $G$9) + CHOOSE(CONTROL!$C$38, 0.0354, 0)</f>
        <v>36.992400000000004</v>
      </c>
      <c r="E535" s="17">
        <f>36.957 * CHOOSE(CONTROL!$C$15, $E$9, 100%, $G$9) + CHOOSE(CONTROL!$C$38, 0.0354, 0)</f>
        <v>36.992400000000004</v>
      </c>
      <c r="F535" s="45">
        <f>39.3959 * CHOOSE(CONTROL!$C$15, $E$9, 100%, $G$9) + CHOOSE(CONTROL!$C$38, 0.0353, 0)</f>
        <v>39.431199999999997</v>
      </c>
      <c r="G535" s="17">
        <f>36.9633 * CHOOSE(CONTROL!$C$15, $E$9, 100%, $G$9) + CHOOSE(CONTROL!$C$38, 0.0354, 0)</f>
        <v>36.998699999999999</v>
      </c>
      <c r="H535" s="17">
        <f>36.9633 * CHOOSE(CONTROL!$C$15, $E$9, 100%, $G$9) + CHOOSE(CONTROL!$C$38, 0.0354, 0)</f>
        <v>36.998699999999999</v>
      </c>
      <c r="I535" s="17">
        <f>36.9648 * CHOOSE(CONTROL!$C$15, $E$9, 100%, $G$9) + CHOOSE(CONTROL!$C$38, 0.0354, 0)</f>
        <v>37.0002</v>
      </c>
      <c r="J535" s="44">
        <f>326.4759</f>
        <v>326.47590000000002</v>
      </c>
    </row>
    <row r="536" spans="1:10" ht="15.75" x14ac:dyDescent="0.25">
      <c r="A536" s="13">
        <v>57253</v>
      </c>
      <c r="B536" s="17">
        <f>39.8276 * CHOOSE(CONTROL!$C$15, $E$9, 100%, $G$9) + CHOOSE(CONTROL!$C$38, 0.0353, 0)</f>
        <v>39.862899999999996</v>
      </c>
      <c r="C536" s="17">
        <f>37.3965 * CHOOSE(CONTROL!$C$15, $E$9, 100%, $G$9) + CHOOSE(CONTROL!$C$38, 0.0354, 0)</f>
        <v>37.431900000000006</v>
      </c>
      <c r="D536" s="17">
        <f>37.3887 * CHOOSE(CONTROL!$C$15, $E$9, 100%, $G$9) + CHOOSE(CONTROL!$C$38, 0.0354, 0)</f>
        <v>37.424100000000003</v>
      </c>
      <c r="E536" s="17">
        <f>37.3887 * CHOOSE(CONTROL!$C$15, $E$9, 100%, $G$9) + CHOOSE(CONTROL!$C$38, 0.0354, 0)</f>
        <v>37.424100000000003</v>
      </c>
      <c r="F536" s="45">
        <f>39.8276 * CHOOSE(CONTROL!$C$15, $E$9, 100%, $G$9) + CHOOSE(CONTROL!$C$38, 0.0353, 0)</f>
        <v>39.862899999999996</v>
      </c>
      <c r="G536" s="17">
        <f>37.395 * CHOOSE(CONTROL!$C$15, $E$9, 100%, $G$9) + CHOOSE(CONTROL!$C$38, 0.0354, 0)</f>
        <v>37.430400000000006</v>
      </c>
      <c r="H536" s="17">
        <f>37.395 * CHOOSE(CONTROL!$C$15, $E$9, 100%, $G$9) + CHOOSE(CONTROL!$C$38, 0.0354, 0)</f>
        <v>37.430400000000006</v>
      </c>
      <c r="I536" s="17">
        <f>37.3965 * CHOOSE(CONTROL!$C$15, $E$9, 100%, $G$9) + CHOOSE(CONTROL!$C$38, 0.0354, 0)</f>
        <v>37.431900000000006</v>
      </c>
      <c r="J536" s="44">
        <f>315.6244</f>
        <v>315.62439999999998</v>
      </c>
    </row>
    <row r="537" spans="1:10" ht="15.75" x14ac:dyDescent="0.25">
      <c r="A537" s="13">
        <v>57284</v>
      </c>
      <c r="B537" s="17">
        <f>40.1891 * CHOOSE(CONTROL!$C$15, $E$9, 100%, $G$9) + CHOOSE(CONTROL!$C$38, 0.034, 0)</f>
        <v>40.223100000000002</v>
      </c>
      <c r="C537" s="17">
        <f>37.7581 * CHOOSE(CONTROL!$C$15, $E$9, 100%, $G$9) + CHOOSE(CONTROL!$C$38, 0.0342, 0)</f>
        <v>37.792299999999997</v>
      </c>
      <c r="D537" s="17">
        <f>37.7503 * CHOOSE(CONTROL!$C$15, $E$9, 100%, $G$9) + CHOOSE(CONTROL!$C$38, 0.0342, 0)</f>
        <v>37.784500000000001</v>
      </c>
      <c r="E537" s="17">
        <f>37.7503 * CHOOSE(CONTROL!$C$15, $E$9, 100%, $G$9) + CHOOSE(CONTROL!$C$38, 0.0342, 0)</f>
        <v>37.784500000000001</v>
      </c>
      <c r="F537" s="45">
        <f>40.1891 * CHOOSE(CONTROL!$C$15, $E$9, 100%, $G$9) + CHOOSE(CONTROL!$C$38, 0.034, 0)</f>
        <v>40.223100000000002</v>
      </c>
      <c r="G537" s="17">
        <f>37.7565 * CHOOSE(CONTROL!$C$15, $E$9, 100%, $G$9) + CHOOSE(CONTROL!$C$38, 0.0342, 0)</f>
        <v>37.790700000000001</v>
      </c>
      <c r="H537" s="17">
        <f>37.7565 * CHOOSE(CONTROL!$C$15, $E$9, 100%, $G$9) + CHOOSE(CONTROL!$C$38, 0.0342, 0)</f>
        <v>37.790700000000001</v>
      </c>
      <c r="I537" s="17">
        <f>37.7581 * CHOOSE(CONTROL!$C$15, $E$9, 100%, $G$9) + CHOOSE(CONTROL!$C$38, 0.0342, 0)</f>
        <v>37.792299999999997</v>
      </c>
      <c r="J537" s="44">
        <f>304.7098</f>
        <v>304.70979999999997</v>
      </c>
    </row>
    <row r="538" spans="1:10" ht="15.75" x14ac:dyDescent="0.25">
      <c r="A538" s="13">
        <v>57314</v>
      </c>
      <c r="B538" s="17">
        <f>40.4908 * CHOOSE(CONTROL!$C$15, $E$9, 100%, $G$9) + CHOOSE(CONTROL!$C$38, 0.034, 0)</f>
        <v>40.524799999999999</v>
      </c>
      <c r="C538" s="17">
        <f>38.0598 * CHOOSE(CONTROL!$C$15, $E$9, 100%, $G$9) + CHOOSE(CONTROL!$C$38, 0.0342, 0)</f>
        <v>38.094000000000001</v>
      </c>
      <c r="D538" s="17">
        <f>38.052 * CHOOSE(CONTROL!$C$15, $E$9, 100%, $G$9) + CHOOSE(CONTROL!$C$38, 0.0342, 0)</f>
        <v>38.086199999999998</v>
      </c>
      <c r="E538" s="17">
        <f>38.052 * CHOOSE(CONTROL!$C$15, $E$9, 100%, $G$9) + CHOOSE(CONTROL!$C$38, 0.0342, 0)</f>
        <v>38.086199999999998</v>
      </c>
      <c r="F538" s="45">
        <f>40.4908 * CHOOSE(CONTROL!$C$15, $E$9, 100%, $G$9) + CHOOSE(CONTROL!$C$38, 0.034, 0)</f>
        <v>40.524799999999999</v>
      </c>
      <c r="G538" s="17">
        <f>38.0582 * CHOOSE(CONTROL!$C$15, $E$9, 100%, $G$9) + CHOOSE(CONTROL!$C$38, 0.0342, 0)</f>
        <v>38.092399999999998</v>
      </c>
      <c r="H538" s="17">
        <f>38.0582 * CHOOSE(CONTROL!$C$15, $E$9, 100%, $G$9) + CHOOSE(CONTROL!$C$38, 0.0342, 0)</f>
        <v>38.092399999999998</v>
      </c>
      <c r="I538" s="17">
        <f>38.0598 * CHOOSE(CONTROL!$C$15, $E$9, 100%, $G$9) + CHOOSE(CONTROL!$C$38, 0.0342, 0)</f>
        <v>38.094000000000001</v>
      </c>
      <c r="J538" s="44">
        <f>302.5386</f>
        <v>302.53859999999997</v>
      </c>
    </row>
    <row r="539" spans="1:10" ht="15.75" x14ac:dyDescent="0.25">
      <c r="A539" s="13">
        <v>57345</v>
      </c>
      <c r="B539" s="17">
        <f>41.4205 * CHOOSE(CONTROL!$C$15, $E$9, 100%, $G$9) + CHOOSE(CONTROL!$C$38, 0.034, 0)</f>
        <v>41.454499999999996</v>
      </c>
      <c r="C539" s="17">
        <f>38.9895 * CHOOSE(CONTROL!$C$15, $E$9, 100%, $G$9) + CHOOSE(CONTROL!$C$38, 0.0342, 0)</f>
        <v>39.023699999999998</v>
      </c>
      <c r="D539" s="17">
        <f>38.9816 * CHOOSE(CONTROL!$C$15, $E$9, 100%, $G$9) + CHOOSE(CONTROL!$C$38, 0.0342, 0)</f>
        <v>39.015799999999999</v>
      </c>
      <c r="E539" s="17">
        <f>38.9816 * CHOOSE(CONTROL!$C$15, $E$9, 100%, $G$9) + CHOOSE(CONTROL!$C$38, 0.0342, 0)</f>
        <v>39.015799999999999</v>
      </c>
      <c r="F539" s="45">
        <f>41.4205 * CHOOSE(CONTROL!$C$15, $E$9, 100%, $G$9) + CHOOSE(CONTROL!$C$38, 0.034, 0)</f>
        <v>41.454499999999996</v>
      </c>
      <c r="G539" s="17">
        <f>38.9879 * CHOOSE(CONTROL!$C$15, $E$9, 100%, $G$9) + CHOOSE(CONTROL!$C$38, 0.0342, 0)</f>
        <v>39.022100000000002</v>
      </c>
      <c r="H539" s="17">
        <f>38.9879 * CHOOSE(CONTROL!$C$15, $E$9, 100%, $G$9) + CHOOSE(CONTROL!$C$38, 0.0342, 0)</f>
        <v>39.022100000000002</v>
      </c>
      <c r="I539" s="17">
        <f>38.9895 * CHOOSE(CONTROL!$C$15, $E$9, 100%, $G$9) + CHOOSE(CONTROL!$C$38, 0.0342, 0)</f>
        <v>39.023699999999998</v>
      </c>
      <c r="J539" s="44">
        <f>293.5608</f>
        <v>293.56079999999997</v>
      </c>
    </row>
    <row r="540" spans="1:10" ht="15.75" x14ac:dyDescent="0.25">
      <c r="A540" s="13">
        <v>57376</v>
      </c>
      <c r="B540" s="17">
        <f>42.8254 * CHOOSE(CONTROL!$C$15, $E$9, 100%, $G$9) + CHOOSE(CONTROL!$C$38, 0.034, 0)</f>
        <v>42.859400000000001</v>
      </c>
      <c r="C540" s="17">
        <f>40.3562 * CHOOSE(CONTROL!$C$15, $E$9, 100%, $G$9) + CHOOSE(CONTROL!$C$38, 0.0342, 0)</f>
        <v>40.3904</v>
      </c>
      <c r="D540" s="17">
        <f>40.3484 * CHOOSE(CONTROL!$C$15, $E$9, 100%, $G$9) + CHOOSE(CONTROL!$C$38, 0.0342, 0)</f>
        <v>40.382599999999996</v>
      </c>
      <c r="E540" s="17">
        <f>40.3484 * CHOOSE(CONTROL!$C$15, $E$9, 100%, $G$9) + CHOOSE(CONTROL!$C$38, 0.0342, 0)</f>
        <v>40.382599999999996</v>
      </c>
      <c r="F540" s="45">
        <f>42.8254 * CHOOSE(CONTROL!$C$15, $E$9, 100%, $G$9) + CHOOSE(CONTROL!$C$38, 0.034, 0)</f>
        <v>42.859400000000001</v>
      </c>
      <c r="G540" s="17">
        <f>40.3546 * CHOOSE(CONTROL!$C$15, $E$9, 100%, $G$9) + CHOOSE(CONTROL!$C$38, 0.0342, 0)</f>
        <v>40.388799999999996</v>
      </c>
      <c r="H540" s="17">
        <f>40.3546 * CHOOSE(CONTROL!$C$15, $E$9, 100%, $G$9) + CHOOSE(CONTROL!$C$38, 0.0342, 0)</f>
        <v>40.388799999999996</v>
      </c>
      <c r="I540" s="17">
        <f>40.3562 * CHOOSE(CONTROL!$C$15, $E$9, 100%, $G$9) + CHOOSE(CONTROL!$C$38, 0.0342, 0)</f>
        <v>40.3904</v>
      </c>
      <c r="J540" s="44">
        <f>293.3488</f>
        <v>293.34879999999998</v>
      </c>
    </row>
    <row r="541" spans="1:10" ht="15.75" x14ac:dyDescent="0.25">
      <c r="A541" s="13">
        <v>57404</v>
      </c>
      <c r="B541" s="17">
        <f>43.1698 * CHOOSE(CONTROL!$C$15, $E$9, 100%, $G$9) + CHOOSE(CONTROL!$C$38, 0.034, 0)</f>
        <v>43.203800000000001</v>
      </c>
      <c r="C541" s="17">
        <f>40.7005 * CHOOSE(CONTROL!$C$15, $E$9, 100%, $G$9) + CHOOSE(CONTROL!$C$38, 0.0342, 0)</f>
        <v>40.734699999999997</v>
      </c>
      <c r="D541" s="17">
        <f>40.6927 * CHOOSE(CONTROL!$C$15, $E$9, 100%, $G$9) + CHOOSE(CONTROL!$C$38, 0.0342, 0)</f>
        <v>40.726900000000001</v>
      </c>
      <c r="E541" s="17">
        <f>40.6927 * CHOOSE(CONTROL!$C$15, $E$9, 100%, $G$9) + CHOOSE(CONTROL!$C$38, 0.0342, 0)</f>
        <v>40.726900000000001</v>
      </c>
      <c r="F541" s="45">
        <f>43.1698 * CHOOSE(CONTROL!$C$15, $E$9, 100%, $G$9) + CHOOSE(CONTROL!$C$38, 0.034, 0)</f>
        <v>43.203800000000001</v>
      </c>
      <c r="G541" s="17">
        <f>40.6989 * CHOOSE(CONTROL!$C$15, $E$9, 100%, $G$9) + CHOOSE(CONTROL!$C$38, 0.0342, 0)</f>
        <v>40.7331</v>
      </c>
      <c r="H541" s="17">
        <f>40.6989 * CHOOSE(CONTROL!$C$15, $E$9, 100%, $G$9) + CHOOSE(CONTROL!$C$38, 0.0342, 0)</f>
        <v>40.7331</v>
      </c>
      <c r="I541" s="17">
        <f>40.7005 * CHOOSE(CONTROL!$C$15, $E$9, 100%, $G$9) + CHOOSE(CONTROL!$C$38, 0.0342, 0)</f>
        <v>40.734699999999997</v>
      </c>
      <c r="J541" s="44">
        <f>292.5334</f>
        <v>292.53339999999997</v>
      </c>
    </row>
    <row r="542" spans="1:10" ht="15.75" x14ac:dyDescent="0.25">
      <c r="A542" s="13">
        <v>57435</v>
      </c>
      <c r="B542" s="17">
        <f>42.3727 * CHOOSE(CONTROL!$C$15, $E$9, 100%, $G$9) + CHOOSE(CONTROL!$C$38, 0.034, 0)</f>
        <v>42.406700000000001</v>
      </c>
      <c r="C542" s="17">
        <f>39.9035 * CHOOSE(CONTROL!$C$15, $E$9, 100%, $G$9) + CHOOSE(CONTROL!$C$38, 0.0342, 0)</f>
        <v>39.9377</v>
      </c>
      <c r="D542" s="17">
        <f>39.8957 * CHOOSE(CONTROL!$C$15, $E$9, 100%, $G$9) + CHOOSE(CONTROL!$C$38, 0.0342, 0)</f>
        <v>39.929899999999996</v>
      </c>
      <c r="E542" s="17">
        <f>39.8957 * CHOOSE(CONTROL!$C$15, $E$9, 100%, $G$9) + CHOOSE(CONTROL!$C$38, 0.0342, 0)</f>
        <v>39.929899999999996</v>
      </c>
      <c r="F542" s="45">
        <f>42.3727 * CHOOSE(CONTROL!$C$15, $E$9, 100%, $G$9) + CHOOSE(CONTROL!$C$38, 0.034, 0)</f>
        <v>42.406700000000001</v>
      </c>
      <c r="G542" s="17">
        <f>39.9019 * CHOOSE(CONTROL!$C$15, $E$9, 100%, $G$9) + CHOOSE(CONTROL!$C$38, 0.0342, 0)</f>
        <v>39.936099999999996</v>
      </c>
      <c r="H542" s="17">
        <f>39.9019 * CHOOSE(CONTROL!$C$15, $E$9, 100%, $G$9) + CHOOSE(CONTROL!$C$38, 0.0342, 0)</f>
        <v>39.936099999999996</v>
      </c>
      <c r="I542" s="17">
        <f>39.9035 * CHOOSE(CONTROL!$C$15, $E$9, 100%, $G$9) + CHOOSE(CONTROL!$C$38, 0.0342, 0)</f>
        <v>39.9377</v>
      </c>
      <c r="J542" s="44">
        <f>307.9516</f>
        <v>307.95159999999998</v>
      </c>
    </row>
    <row r="543" spans="1:10" ht="15.75" x14ac:dyDescent="0.25">
      <c r="A543" s="13">
        <v>57465</v>
      </c>
      <c r="B543" s="17">
        <f>41.6004 * CHOOSE(CONTROL!$C$15, $E$9, 100%, $G$9) + CHOOSE(CONTROL!$C$38, 0.034, 0)</f>
        <v>41.634399999999999</v>
      </c>
      <c r="C543" s="17">
        <f>39.1312 * CHOOSE(CONTROL!$C$15, $E$9, 100%, $G$9) + CHOOSE(CONTROL!$C$38, 0.0342, 0)</f>
        <v>39.165399999999998</v>
      </c>
      <c r="D543" s="17">
        <f>39.1233 * CHOOSE(CONTROL!$C$15, $E$9, 100%, $G$9) + CHOOSE(CONTROL!$C$38, 0.0342, 0)</f>
        <v>39.157499999999999</v>
      </c>
      <c r="E543" s="17">
        <f>39.1233 * CHOOSE(CONTROL!$C$15, $E$9, 100%, $G$9) + CHOOSE(CONTROL!$C$38, 0.0342, 0)</f>
        <v>39.157499999999999</v>
      </c>
      <c r="F543" s="45">
        <f>41.6004 * CHOOSE(CONTROL!$C$15, $E$9, 100%, $G$9) + CHOOSE(CONTROL!$C$38, 0.034, 0)</f>
        <v>41.634399999999999</v>
      </c>
      <c r="G543" s="17">
        <f>39.1296 * CHOOSE(CONTROL!$C$15, $E$9, 100%, $G$9) + CHOOSE(CONTROL!$C$38, 0.0342, 0)</f>
        <v>39.163800000000002</v>
      </c>
      <c r="H543" s="17">
        <f>39.1296 * CHOOSE(CONTROL!$C$15, $E$9, 100%, $G$9) + CHOOSE(CONTROL!$C$38, 0.0342, 0)</f>
        <v>39.163800000000002</v>
      </c>
      <c r="I543" s="17">
        <f>39.1312 * CHOOSE(CONTROL!$C$15, $E$9, 100%, $G$9) + CHOOSE(CONTROL!$C$38, 0.0342, 0)</f>
        <v>39.165399999999998</v>
      </c>
      <c r="J543" s="44">
        <f>327.9453</f>
        <v>327.94529999999997</v>
      </c>
    </row>
    <row r="544" spans="1:10" ht="15.75" x14ac:dyDescent="0.25">
      <c r="A544" s="13">
        <v>57496</v>
      </c>
      <c r="B544" s="17">
        <f>40.7955 * CHOOSE(CONTROL!$C$15, $E$9, 100%, $G$9) + CHOOSE(CONTROL!$C$38, 0.0353, 0)</f>
        <v>40.830799999999996</v>
      </c>
      <c r="C544" s="17">
        <f>38.3262 * CHOOSE(CONTROL!$C$15, $E$9, 100%, $G$9) + CHOOSE(CONTROL!$C$38, 0.0354, 0)</f>
        <v>38.361600000000003</v>
      </c>
      <c r="D544" s="17">
        <f>38.3184 * CHOOSE(CONTROL!$C$15, $E$9, 100%, $G$9) + CHOOSE(CONTROL!$C$38, 0.0354, 0)</f>
        <v>38.3538</v>
      </c>
      <c r="E544" s="17">
        <f>38.3184 * CHOOSE(CONTROL!$C$15, $E$9, 100%, $G$9) + CHOOSE(CONTROL!$C$38, 0.0354, 0)</f>
        <v>38.3538</v>
      </c>
      <c r="F544" s="45">
        <f>40.7955 * CHOOSE(CONTROL!$C$15, $E$9, 100%, $G$9) + CHOOSE(CONTROL!$C$38, 0.0353, 0)</f>
        <v>40.830799999999996</v>
      </c>
      <c r="G544" s="17">
        <f>38.3246 * CHOOSE(CONTROL!$C$15, $E$9, 100%, $G$9) + CHOOSE(CONTROL!$C$38, 0.0354, 0)</f>
        <v>38.36</v>
      </c>
      <c r="H544" s="17">
        <f>38.3246 * CHOOSE(CONTROL!$C$15, $E$9, 100%, $G$9) + CHOOSE(CONTROL!$C$38, 0.0354, 0)</f>
        <v>38.36</v>
      </c>
      <c r="I544" s="17">
        <f>38.3262 * CHOOSE(CONTROL!$C$15, $E$9, 100%, $G$9) + CHOOSE(CONTROL!$C$38, 0.0354, 0)</f>
        <v>38.361600000000003</v>
      </c>
      <c r="J544" s="44">
        <f>338.9505</f>
        <v>338.95049999999998</v>
      </c>
    </row>
    <row r="545" spans="1:10" ht="15.75" x14ac:dyDescent="0.25">
      <c r="A545" s="13">
        <v>57526</v>
      </c>
      <c r="B545" s="17">
        <f>40.2311 * CHOOSE(CONTROL!$C$15, $E$9, 100%, $G$9) + CHOOSE(CONTROL!$C$38, 0.0353, 0)</f>
        <v>40.266399999999997</v>
      </c>
      <c r="C545" s="17">
        <f>37.7619 * CHOOSE(CONTROL!$C$15, $E$9, 100%, $G$9) + CHOOSE(CONTROL!$C$38, 0.0354, 0)</f>
        <v>37.7973</v>
      </c>
      <c r="D545" s="17">
        <f>37.754 * CHOOSE(CONTROL!$C$15, $E$9, 100%, $G$9) + CHOOSE(CONTROL!$C$38, 0.0354, 0)</f>
        <v>37.789400000000001</v>
      </c>
      <c r="E545" s="17">
        <f>37.754 * CHOOSE(CONTROL!$C$15, $E$9, 100%, $G$9) + CHOOSE(CONTROL!$C$38, 0.0354, 0)</f>
        <v>37.789400000000001</v>
      </c>
      <c r="F545" s="45">
        <f>40.2311 * CHOOSE(CONTROL!$C$15, $E$9, 100%, $G$9) + CHOOSE(CONTROL!$C$38, 0.0353, 0)</f>
        <v>40.266399999999997</v>
      </c>
      <c r="G545" s="17">
        <f>37.7603 * CHOOSE(CONTROL!$C$15, $E$9, 100%, $G$9) + CHOOSE(CONTROL!$C$38, 0.0354, 0)</f>
        <v>37.795700000000004</v>
      </c>
      <c r="H545" s="17">
        <f>37.7603 * CHOOSE(CONTROL!$C$15, $E$9, 100%, $G$9) + CHOOSE(CONTROL!$C$38, 0.0354, 0)</f>
        <v>37.795700000000004</v>
      </c>
      <c r="I545" s="17">
        <f>37.7619 * CHOOSE(CONTROL!$C$15, $E$9, 100%, $G$9) + CHOOSE(CONTROL!$C$38, 0.0354, 0)</f>
        <v>37.7973</v>
      </c>
      <c r="J545" s="44">
        <f>343.8344</f>
        <v>343.83440000000002</v>
      </c>
    </row>
    <row r="546" spans="1:10" ht="15.75" x14ac:dyDescent="0.25">
      <c r="A546" s="13">
        <v>57557</v>
      </c>
      <c r="B546" s="17">
        <f>39.9091 * CHOOSE(CONTROL!$C$15, $E$9, 100%, $G$9) + CHOOSE(CONTROL!$C$38, 0.0353, 0)</f>
        <v>39.944400000000002</v>
      </c>
      <c r="C546" s="17">
        <f>37.4398 * CHOOSE(CONTROL!$C$15, $E$9, 100%, $G$9) + CHOOSE(CONTROL!$C$38, 0.0354, 0)</f>
        <v>37.475200000000001</v>
      </c>
      <c r="D546" s="17">
        <f>37.432 * CHOOSE(CONTROL!$C$15, $E$9, 100%, $G$9) + CHOOSE(CONTROL!$C$38, 0.0354, 0)</f>
        <v>37.467400000000005</v>
      </c>
      <c r="E546" s="17">
        <f>37.432 * CHOOSE(CONTROL!$C$15, $E$9, 100%, $G$9) + CHOOSE(CONTROL!$C$38, 0.0354, 0)</f>
        <v>37.467400000000005</v>
      </c>
      <c r="F546" s="45">
        <f>39.9091 * CHOOSE(CONTROL!$C$15, $E$9, 100%, $G$9) + CHOOSE(CONTROL!$C$38, 0.0353, 0)</f>
        <v>39.944400000000002</v>
      </c>
      <c r="G546" s="17">
        <f>37.4382 * CHOOSE(CONTROL!$C$15, $E$9, 100%, $G$9) + CHOOSE(CONTROL!$C$38, 0.0354, 0)</f>
        <v>37.473600000000005</v>
      </c>
      <c r="H546" s="17">
        <f>37.4382 * CHOOSE(CONTROL!$C$15, $E$9, 100%, $G$9) + CHOOSE(CONTROL!$C$38, 0.0354, 0)</f>
        <v>37.473600000000005</v>
      </c>
      <c r="I546" s="17">
        <f>37.4398 * CHOOSE(CONTROL!$C$15, $E$9, 100%, $G$9) + CHOOSE(CONTROL!$C$38, 0.0354, 0)</f>
        <v>37.475200000000001</v>
      </c>
      <c r="J546" s="44">
        <f>342.2264</f>
        <v>342.22640000000001</v>
      </c>
    </row>
    <row r="547" spans="1:10" ht="15.75" x14ac:dyDescent="0.25">
      <c r="A547" s="13">
        <v>57588</v>
      </c>
      <c r="B547" s="17">
        <f>40.068 * CHOOSE(CONTROL!$C$15, $E$9, 100%, $G$9) + CHOOSE(CONTROL!$C$38, 0.0353, 0)</f>
        <v>40.103299999999997</v>
      </c>
      <c r="C547" s="17">
        <f>37.5988 * CHOOSE(CONTROL!$C$15, $E$9, 100%, $G$9) + CHOOSE(CONTROL!$C$38, 0.0354, 0)</f>
        <v>37.6342</v>
      </c>
      <c r="D547" s="17">
        <f>37.5909 * CHOOSE(CONTROL!$C$15, $E$9, 100%, $G$9) + CHOOSE(CONTROL!$C$38, 0.0354, 0)</f>
        <v>37.626300000000001</v>
      </c>
      <c r="E547" s="17">
        <f>37.5909 * CHOOSE(CONTROL!$C$15, $E$9, 100%, $G$9) + CHOOSE(CONTROL!$C$38, 0.0354, 0)</f>
        <v>37.626300000000001</v>
      </c>
      <c r="F547" s="45">
        <f>40.068 * CHOOSE(CONTROL!$C$15, $E$9, 100%, $G$9) + CHOOSE(CONTROL!$C$38, 0.0353, 0)</f>
        <v>40.103299999999997</v>
      </c>
      <c r="G547" s="17">
        <f>37.5972 * CHOOSE(CONTROL!$C$15, $E$9, 100%, $G$9) + CHOOSE(CONTROL!$C$38, 0.0354, 0)</f>
        <v>37.632600000000004</v>
      </c>
      <c r="H547" s="17">
        <f>37.5972 * CHOOSE(CONTROL!$C$15, $E$9, 100%, $G$9) + CHOOSE(CONTROL!$C$38, 0.0354, 0)</f>
        <v>37.632600000000004</v>
      </c>
      <c r="I547" s="17">
        <f>37.5988 * CHOOSE(CONTROL!$C$15, $E$9, 100%, $G$9) + CHOOSE(CONTROL!$C$38, 0.0354, 0)</f>
        <v>37.6342</v>
      </c>
      <c r="J547" s="44">
        <f>334.2595</f>
        <v>334.2595</v>
      </c>
    </row>
    <row r="548" spans="1:10" ht="15.75" x14ac:dyDescent="0.25">
      <c r="A548" s="13">
        <v>57618</v>
      </c>
      <c r="B548" s="17">
        <f>40.4997 * CHOOSE(CONTROL!$C$15, $E$9, 100%, $G$9) + CHOOSE(CONTROL!$C$38, 0.0353, 0)</f>
        <v>40.534999999999997</v>
      </c>
      <c r="C548" s="17">
        <f>38.0305 * CHOOSE(CONTROL!$C$15, $E$9, 100%, $G$9) + CHOOSE(CONTROL!$C$38, 0.0354, 0)</f>
        <v>38.065900000000006</v>
      </c>
      <c r="D548" s="17">
        <f>38.0226 * CHOOSE(CONTROL!$C$15, $E$9, 100%, $G$9) + CHOOSE(CONTROL!$C$38, 0.0354, 0)</f>
        <v>38.058</v>
      </c>
      <c r="E548" s="17">
        <f>38.0226 * CHOOSE(CONTROL!$C$15, $E$9, 100%, $G$9) + CHOOSE(CONTROL!$C$38, 0.0354, 0)</f>
        <v>38.058</v>
      </c>
      <c r="F548" s="45">
        <f>40.4997 * CHOOSE(CONTROL!$C$15, $E$9, 100%, $G$9) + CHOOSE(CONTROL!$C$38, 0.0353, 0)</f>
        <v>40.534999999999997</v>
      </c>
      <c r="G548" s="17">
        <f>38.0289 * CHOOSE(CONTROL!$C$15, $E$9, 100%, $G$9) + CHOOSE(CONTROL!$C$38, 0.0354, 0)</f>
        <v>38.064300000000003</v>
      </c>
      <c r="H548" s="17">
        <f>38.0289 * CHOOSE(CONTROL!$C$15, $E$9, 100%, $G$9) + CHOOSE(CONTROL!$C$38, 0.0354, 0)</f>
        <v>38.064300000000003</v>
      </c>
      <c r="I548" s="17">
        <f>38.0305 * CHOOSE(CONTROL!$C$15, $E$9, 100%, $G$9) + CHOOSE(CONTROL!$C$38, 0.0354, 0)</f>
        <v>38.065900000000006</v>
      </c>
      <c r="J548" s="44">
        <f>323.1493</f>
        <v>323.14929999999998</v>
      </c>
    </row>
    <row r="549" spans="1:10" ht="15.75" x14ac:dyDescent="0.25">
      <c r="A549" s="13">
        <v>57649</v>
      </c>
      <c r="B549" s="17">
        <f>40.8613 * CHOOSE(CONTROL!$C$15, $E$9, 100%, $G$9) + CHOOSE(CONTROL!$C$38, 0.034, 0)</f>
        <v>40.895299999999999</v>
      </c>
      <c r="C549" s="17">
        <f>38.392 * CHOOSE(CONTROL!$C$15, $E$9, 100%, $G$9) + CHOOSE(CONTROL!$C$38, 0.0342, 0)</f>
        <v>38.426200000000001</v>
      </c>
      <c r="D549" s="17">
        <f>38.3842 * CHOOSE(CONTROL!$C$15, $E$9, 100%, $G$9) + CHOOSE(CONTROL!$C$38, 0.0342, 0)</f>
        <v>38.418399999999998</v>
      </c>
      <c r="E549" s="17">
        <f>38.3842 * CHOOSE(CONTROL!$C$15, $E$9, 100%, $G$9) + CHOOSE(CONTROL!$C$38, 0.0342, 0)</f>
        <v>38.418399999999998</v>
      </c>
      <c r="F549" s="45">
        <f>40.8613 * CHOOSE(CONTROL!$C$15, $E$9, 100%, $G$9) + CHOOSE(CONTROL!$C$38, 0.034, 0)</f>
        <v>40.895299999999999</v>
      </c>
      <c r="G549" s="17">
        <f>38.3905 * CHOOSE(CONTROL!$C$15, $E$9, 100%, $G$9) + CHOOSE(CONTROL!$C$38, 0.0342, 0)</f>
        <v>38.424700000000001</v>
      </c>
      <c r="H549" s="17">
        <f>38.3905 * CHOOSE(CONTROL!$C$15, $E$9, 100%, $G$9) + CHOOSE(CONTROL!$C$38, 0.0342, 0)</f>
        <v>38.424700000000001</v>
      </c>
      <c r="I549" s="17">
        <f>38.392 * CHOOSE(CONTROL!$C$15, $E$9, 100%, $G$9) + CHOOSE(CONTROL!$C$38, 0.0342, 0)</f>
        <v>38.426200000000001</v>
      </c>
      <c r="J549" s="44">
        <f>311.9745</f>
        <v>311.97449999999998</v>
      </c>
    </row>
    <row r="550" spans="1:10" ht="15.75" x14ac:dyDescent="0.25">
      <c r="A550" s="13">
        <v>57679</v>
      </c>
      <c r="B550" s="17">
        <f>41.163 * CHOOSE(CONTROL!$C$15, $E$9, 100%, $G$9) + CHOOSE(CONTROL!$C$38, 0.034, 0)</f>
        <v>41.196999999999996</v>
      </c>
      <c r="C550" s="17">
        <f>38.6937 * CHOOSE(CONTROL!$C$15, $E$9, 100%, $G$9) + CHOOSE(CONTROL!$C$38, 0.0342, 0)</f>
        <v>38.727899999999998</v>
      </c>
      <c r="D550" s="17">
        <f>38.6859 * CHOOSE(CONTROL!$C$15, $E$9, 100%, $G$9) + CHOOSE(CONTROL!$C$38, 0.0342, 0)</f>
        <v>38.720099999999995</v>
      </c>
      <c r="E550" s="17">
        <f>38.6859 * CHOOSE(CONTROL!$C$15, $E$9, 100%, $G$9) + CHOOSE(CONTROL!$C$38, 0.0342, 0)</f>
        <v>38.720099999999995</v>
      </c>
      <c r="F550" s="45">
        <f>41.163 * CHOOSE(CONTROL!$C$15, $E$9, 100%, $G$9) + CHOOSE(CONTROL!$C$38, 0.034, 0)</f>
        <v>41.196999999999996</v>
      </c>
      <c r="G550" s="17">
        <f>38.6922 * CHOOSE(CONTROL!$C$15, $E$9, 100%, $G$9) + CHOOSE(CONTROL!$C$38, 0.0342, 0)</f>
        <v>38.726399999999998</v>
      </c>
      <c r="H550" s="17">
        <f>38.6922 * CHOOSE(CONTROL!$C$15, $E$9, 100%, $G$9) + CHOOSE(CONTROL!$C$38, 0.0342, 0)</f>
        <v>38.726399999999998</v>
      </c>
      <c r="I550" s="17">
        <f>38.6937 * CHOOSE(CONTROL!$C$15, $E$9, 100%, $G$9) + CHOOSE(CONTROL!$C$38, 0.0342, 0)</f>
        <v>38.727899999999998</v>
      </c>
      <c r="J550" s="44">
        <f>309.7516</f>
        <v>309.7516</v>
      </c>
    </row>
    <row r="551" spans="1:10" ht="15.75" x14ac:dyDescent="0.25">
      <c r="A551" s="13">
        <v>57710</v>
      </c>
      <c r="B551" s="17">
        <f>42.0926 * CHOOSE(CONTROL!$C$15, $E$9, 100%, $G$9) + CHOOSE(CONTROL!$C$38, 0.034, 0)</f>
        <v>42.126599999999996</v>
      </c>
      <c r="C551" s="17">
        <f>39.6234 * CHOOSE(CONTROL!$C$15, $E$9, 100%, $G$9) + CHOOSE(CONTROL!$C$38, 0.0342, 0)</f>
        <v>39.657599999999995</v>
      </c>
      <c r="D551" s="17">
        <f>39.6156 * CHOOSE(CONTROL!$C$15, $E$9, 100%, $G$9) + CHOOSE(CONTROL!$C$38, 0.0342, 0)</f>
        <v>39.649799999999999</v>
      </c>
      <c r="E551" s="17">
        <f>39.6156 * CHOOSE(CONTROL!$C$15, $E$9, 100%, $G$9) + CHOOSE(CONTROL!$C$38, 0.0342, 0)</f>
        <v>39.649799999999999</v>
      </c>
      <c r="F551" s="45">
        <f>42.0926 * CHOOSE(CONTROL!$C$15, $E$9, 100%, $G$9) + CHOOSE(CONTROL!$C$38, 0.034, 0)</f>
        <v>42.126599999999996</v>
      </c>
      <c r="G551" s="17">
        <f>39.6218 * CHOOSE(CONTROL!$C$15, $E$9, 100%, $G$9) + CHOOSE(CONTROL!$C$38, 0.0342, 0)</f>
        <v>39.655999999999999</v>
      </c>
      <c r="H551" s="17">
        <f>39.6218 * CHOOSE(CONTROL!$C$15, $E$9, 100%, $G$9) + CHOOSE(CONTROL!$C$38, 0.0342, 0)</f>
        <v>39.655999999999999</v>
      </c>
      <c r="I551" s="17">
        <f>39.6234 * CHOOSE(CONTROL!$C$15, $E$9, 100%, $G$9) + CHOOSE(CONTROL!$C$38, 0.0342, 0)</f>
        <v>39.657599999999995</v>
      </c>
      <c r="J551" s="44">
        <f>300.5597</f>
        <v>300.55970000000002</v>
      </c>
    </row>
    <row r="552" spans="1:10" ht="15.75" x14ac:dyDescent="0.25">
      <c r="A552" s="13">
        <v>57741</v>
      </c>
      <c r="B552" s="17">
        <f>43.5089 * CHOOSE(CONTROL!$C$15, $E$9, 100%, $G$9) + CHOOSE(CONTROL!$C$38, 0.034, 0)</f>
        <v>43.542899999999996</v>
      </c>
      <c r="C552" s="17">
        <f>41.0008 * CHOOSE(CONTROL!$C$15, $E$9, 100%, $G$9) + CHOOSE(CONTROL!$C$38, 0.0342, 0)</f>
        <v>41.034999999999997</v>
      </c>
      <c r="D552" s="17">
        <f>40.993 * CHOOSE(CONTROL!$C$15, $E$9, 100%, $G$9) + CHOOSE(CONTROL!$C$38, 0.0342, 0)</f>
        <v>41.027200000000001</v>
      </c>
      <c r="E552" s="17">
        <f>40.993 * CHOOSE(CONTROL!$C$15, $E$9, 100%, $G$9) + CHOOSE(CONTROL!$C$38, 0.0342, 0)</f>
        <v>41.027200000000001</v>
      </c>
      <c r="F552" s="45">
        <f>43.5089 * CHOOSE(CONTROL!$C$15, $E$9, 100%, $G$9) + CHOOSE(CONTROL!$C$38, 0.034, 0)</f>
        <v>43.542899999999996</v>
      </c>
      <c r="G552" s="17">
        <f>40.9992 * CHOOSE(CONTROL!$C$15, $E$9, 100%, $G$9) + CHOOSE(CONTROL!$C$38, 0.0342, 0)</f>
        <v>41.0334</v>
      </c>
      <c r="H552" s="17">
        <f>40.9992 * CHOOSE(CONTROL!$C$15, $E$9, 100%, $G$9) + CHOOSE(CONTROL!$C$38, 0.0342, 0)</f>
        <v>41.0334</v>
      </c>
      <c r="I552" s="17">
        <f>41.0008 * CHOOSE(CONTROL!$C$15, $E$9, 100%, $G$9) + CHOOSE(CONTROL!$C$38, 0.0342, 0)</f>
        <v>41.034999999999997</v>
      </c>
      <c r="J552" s="44">
        <f>300.3427</f>
        <v>300.34269999999998</v>
      </c>
    </row>
    <row r="553" spans="1:10" ht="15.75" x14ac:dyDescent="0.25">
      <c r="A553" s="13">
        <v>57769</v>
      </c>
      <c r="B553" s="17">
        <f>43.8532 * CHOOSE(CONTROL!$C$15, $E$9, 100%, $G$9) + CHOOSE(CONTROL!$C$38, 0.034, 0)</f>
        <v>43.8872</v>
      </c>
      <c r="C553" s="17">
        <f>41.3451 * CHOOSE(CONTROL!$C$15, $E$9, 100%, $G$9) + CHOOSE(CONTROL!$C$38, 0.0342, 0)</f>
        <v>41.379300000000001</v>
      </c>
      <c r="D553" s="17">
        <f>41.3373 * CHOOSE(CONTROL!$C$15, $E$9, 100%, $G$9) + CHOOSE(CONTROL!$C$38, 0.0342, 0)</f>
        <v>41.371499999999997</v>
      </c>
      <c r="E553" s="17">
        <f>41.3373 * CHOOSE(CONTROL!$C$15, $E$9, 100%, $G$9) + CHOOSE(CONTROL!$C$38, 0.0342, 0)</f>
        <v>41.371499999999997</v>
      </c>
      <c r="F553" s="45">
        <f>43.8532 * CHOOSE(CONTROL!$C$15, $E$9, 100%, $G$9) + CHOOSE(CONTROL!$C$38, 0.034, 0)</f>
        <v>43.8872</v>
      </c>
      <c r="G553" s="17">
        <f>41.3435 * CHOOSE(CONTROL!$C$15, $E$9, 100%, $G$9) + CHOOSE(CONTROL!$C$38, 0.0342, 0)</f>
        <v>41.377699999999997</v>
      </c>
      <c r="H553" s="17">
        <f>41.3435 * CHOOSE(CONTROL!$C$15, $E$9, 100%, $G$9) + CHOOSE(CONTROL!$C$38, 0.0342, 0)</f>
        <v>41.377699999999997</v>
      </c>
      <c r="I553" s="17">
        <f>41.3451 * CHOOSE(CONTROL!$C$15, $E$9, 100%, $G$9) + CHOOSE(CONTROL!$C$38, 0.0342, 0)</f>
        <v>41.379300000000001</v>
      </c>
      <c r="J553" s="44">
        <f>299.5078</f>
        <v>299.50779999999997</v>
      </c>
    </row>
    <row r="554" spans="1:10" ht="15.75" x14ac:dyDescent="0.25">
      <c r="A554" s="13">
        <v>57800</v>
      </c>
      <c r="B554" s="17">
        <f>43.0562 * CHOOSE(CONTROL!$C$15, $E$9, 100%, $G$9) + CHOOSE(CONTROL!$C$38, 0.034, 0)</f>
        <v>43.090199999999996</v>
      </c>
      <c r="C554" s="17">
        <f>40.5481 * CHOOSE(CONTROL!$C$15, $E$9, 100%, $G$9) + CHOOSE(CONTROL!$C$38, 0.0342, 0)</f>
        <v>40.582299999999996</v>
      </c>
      <c r="D554" s="17">
        <f>40.5402 * CHOOSE(CONTROL!$C$15, $E$9, 100%, $G$9) + CHOOSE(CONTROL!$C$38, 0.0342, 0)</f>
        <v>40.574399999999997</v>
      </c>
      <c r="E554" s="17">
        <f>40.5402 * CHOOSE(CONTROL!$C$15, $E$9, 100%, $G$9) + CHOOSE(CONTROL!$C$38, 0.0342, 0)</f>
        <v>40.574399999999997</v>
      </c>
      <c r="F554" s="45">
        <f>43.0562 * CHOOSE(CONTROL!$C$15, $E$9, 100%, $G$9) + CHOOSE(CONTROL!$C$38, 0.034, 0)</f>
        <v>43.090199999999996</v>
      </c>
      <c r="G554" s="17">
        <f>40.5465 * CHOOSE(CONTROL!$C$15, $E$9, 100%, $G$9) + CHOOSE(CONTROL!$C$38, 0.0342, 0)</f>
        <v>40.5807</v>
      </c>
      <c r="H554" s="17">
        <f>40.5465 * CHOOSE(CONTROL!$C$15, $E$9, 100%, $G$9) + CHOOSE(CONTROL!$C$38, 0.0342, 0)</f>
        <v>40.5807</v>
      </c>
      <c r="I554" s="17">
        <f>40.5481 * CHOOSE(CONTROL!$C$15, $E$9, 100%, $G$9) + CHOOSE(CONTROL!$C$38, 0.0342, 0)</f>
        <v>40.582299999999996</v>
      </c>
      <c r="J554" s="44">
        <f>315.2936</f>
        <v>315.29360000000003</v>
      </c>
    </row>
    <row r="555" spans="1:10" ht="15.75" x14ac:dyDescent="0.25">
      <c r="A555" s="13">
        <v>57830</v>
      </c>
      <c r="B555" s="17">
        <f>42.2839 * CHOOSE(CONTROL!$C$15, $E$9, 100%, $G$9) + CHOOSE(CONTROL!$C$38, 0.034, 0)</f>
        <v>42.317900000000002</v>
      </c>
      <c r="C555" s="17">
        <f>39.7757 * CHOOSE(CONTROL!$C$15, $E$9, 100%, $G$9) + CHOOSE(CONTROL!$C$38, 0.0342, 0)</f>
        <v>39.809899999999999</v>
      </c>
      <c r="D555" s="17">
        <f>39.7679 * CHOOSE(CONTROL!$C$15, $E$9, 100%, $G$9) + CHOOSE(CONTROL!$C$38, 0.0342, 0)</f>
        <v>39.802099999999996</v>
      </c>
      <c r="E555" s="17">
        <f>39.7679 * CHOOSE(CONTROL!$C$15, $E$9, 100%, $G$9) + CHOOSE(CONTROL!$C$38, 0.0342, 0)</f>
        <v>39.802099999999996</v>
      </c>
      <c r="F555" s="45">
        <f>42.2839 * CHOOSE(CONTROL!$C$15, $E$9, 100%, $G$9) + CHOOSE(CONTROL!$C$38, 0.034, 0)</f>
        <v>42.317900000000002</v>
      </c>
      <c r="G555" s="17">
        <f>39.7742 * CHOOSE(CONTROL!$C$15, $E$9, 100%, $G$9) + CHOOSE(CONTROL!$C$38, 0.0342, 0)</f>
        <v>39.808399999999999</v>
      </c>
      <c r="H555" s="17">
        <f>39.7742 * CHOOSE(CONTROL!$C$15, $E$9, 100%, $G$9) + CHOOSE(CONTROL!$C$38, 0.0342, 0)</f>
        <v>39.808399999999999</v>
      </c>
      <c r="I555" s="17">
        <f>39.7757 * CHOOSE(CONTROL!$C$15, $E$9, 100%, $G$9) + CHOOSE(CONTROL!$C$38, 0.0342, 0)</f>
        <v>39.809899999999999</v>
      </c>
      <c r="J555" s="44">
        <f>335.764</f>
        <v>335.76400000000001</v>
      </c>
    </row>
    <row r="556" spans="1:10" ht="15.75" x14ac:dyDescent="0.25">
      <c r="A556" s="13">
        <v>57861</v>
      </c>
      <c r="B556" s="17">
        <f>41.4789 * CHOOSE(CONTROL!$C$15, $E$9, 100%, $G$9) + CHOOSE(CONTROL!$C$38, 0.0353, 0)</f>
        <v>41.514200000000002</v>
      </c>
      <c r="C556" s="17">
        <f>38.9708 * CHOOSE(CONTROL!$C$15, $E$9, 100%, $G$9) + CHOOSE(CONTROL!$C$38, 0.0354, 0)</f>
        <v>39.0062</v>
      </c>
      <c r="D556" s="17">
        <f>38.963 * CHOOSE(CONTROL!$C$15, $E$9, 100%, $G$9) + CHOOSE(CONTROL!$C$38, 0.0354, 0)</f>
        <v>38.998400000000004</v>
      </c>
      <c r="E556" s="17">
        <f>38.963 * CHOOSE(CONTROL!$C$15, $E$9, 100%, $G$9) + CHOOSE(CONTROL!$C$38, 0.0354, 0)</f>
        <v>38.998400000000004</v>
      </c>
      <c r="F556" s="45">
        <f>41.4789 * CHOOSE(CONTROL!$C$15, $E$9, 100%, $G$9) + CHOOSE(CONTROL!$C$38, 0.0353, 0)</f>
        <v>41.514200000000002</v>
      </c>
      <c r="G556" s="17">
        <f>38.9692 * CHOOSE(CONTROL!$C$15, $E$9, 100%, $G$9) + CHOOSE(CONTROL!$C$38, 0.0354, 0)</f>
        <v>39.004600000000003</v>
      </c>
      <c r="H556" s="17">
        <f>38.9692 * CHOOSE(CONTROL!$C$15, $E$9, 100%, $G$9) + CHOOSE(CONTROL!$C$38, 0.0354, 0)</f>
        <v>39.004600000000003</v>
      </c>
      <c r="I556" s="17">
        <f>38.9708 * CHOOSE(CONTROL!$C$15, $E$9, 100%, $G$9) + CHOOSE(CONTROL!$C$38, 0.0354, 0)</f>
        <v>39.0062</v>
      </c>
      <c r="J556" s="44">
        <f>347.0316</f>
        <v>347.03160000000003</v>
      </c>
    </row>
    <row r="557" spans="1:10" ht="15.75" x14ac:dyDescent="0.25">
      <c r="A557" s="13">
        <v>57891</v>
      </c>
      <c r="B557" s="17">
        <f>40.9146 * CHOOSE(CONTROL!$C$15, $E$9, 100%, $G$9) + CHOOSE(CONTROL!$C$38, 0.0353, 0)</f>
        <v>40.9499</v>
      </c>
      <c r="C557" s="17">
        <f>38.4064 * CHOOSE(CONTROL!$C$15, $E$9, 100%, $G$9) + CHOOSE(CONTROL!$C$38, 0.0354, 0)</f>
        <v>38.441800000000001</v>
      </c>
      <c r="D557" s="17">
        <f>38.3986 * CHOOSE(CONTROL!$C$15, $E$9, 100%, $G$9) + CHOOSE(CONTROL!$C$38, 0.0354, 0)</f>
        <v>38.434000000000005</v>
      </c>
      <c r="E557" s="17">
        <f>38.3986 * CHOOSE(CONTROL!$C$15, $E$9, 100%, $G$9) + CHOOSE(CONTROL!$C$38, 0.0354, 0)</f>
        <v>38.434000000000005</v>
      </c>
      <c r="F557" s="45">
        <f>40.9146 * CHOOSE(CONTROL!$C$15, $E$9, 100%, $G$9) + CHOOSE(CONTROL!$C$38, 0.0353, 0)</f>
        <v>40.9499</v>
      </c>
      <c r="G557" s="17">
        <f>38.4049 * CHOOSE(CONTROL!$C$15, $E$9, 100%, $G$9) + CHOOSE(CONTROL!$C$38, 0.0354, 0)</f>
        <v>38.440300000000001</v>
      </c>
      <c r="H557" s="17">
        <f>38.4049 * CHOOSE(CONTROL!$C$15, $E$9, 100%, $G$9) + CHOOSE(CONTROL!$C$38, 0.0354, 0)</f>
        <v>38.440300000000001</v>
      </c>
      <c r="I557" s="17">
        <f>38.4064 * CHOOSE(CONTROL!$C$15, $E$9, 100%, $G$9) + CHOOSE(CONTROL!$C$38, 0.0354, 0)</f>
        <v>38.441800000000001</v>
      </c>
      <c r="J557" s="44">
        <f>352.032</f>
        <v>352.03199999999998</v>
      </c>
    </row>
    <row r="558" spans="1:10" ht="15.75" x14ac:dyDescent="0.25">
      <c r="A558" s="13">
        <v>57922</v>
      </c>
      <c r="B558" s="17">
        <f>40.5925 * CHOOSE(CONTROL!$C$15, $E$9, 100%, $G$9) + CHOOSE(CONTROL!$C$38, 0.0353, 0)</f>
        <v>40.627800000000001</v>
      </c>
      <c r="C558" s="17">
        <f>38.0844 * CHOOSE(CONTROL!$C$15, $E$9, 100%, $G$9) + CHOOSE(CONTROL!$C$38, 0.0354, 0)</f>
        <v>38.119800000000005</v>
      </c>
      <c r="D558" s="17">
        <f>38.0766 * CHOOSE(CONTROL!$C$15, $E$9, 100%, $G$9) + CHOOSE(CONTROL!$C$38, 0.0354, 0)</f>
        <v>38.112000000000002</v>
      </c>
      <c r="E558" s="17">
        <f>38.0766 * CHOOSE(CONTROL!$C$15, $E$9, 100%, $G$9) + CHOOSE(CONTROL!$C$38, 0.0354, 0)</f>
        <v>38.112000000000002</v>
      </c>
      <c r="F558" s="45">
        <f>40.5925 * CHOOSE(CONTROL!$C$15, $E$9, 100%, $G$9) + CHOOSE(CONTROL!$C$38, 0.0353, 0)</f>
        <v>40.627800000000001</v>
      </c>
      <c r="G558" s="17">
        <f>38.0828 * CHOOSE(CONTROL!$C$15, $E$9, 100%, $G$9) + CHOOSE(CONTROL!$C$38, 0.0354, 0)</f>
        <v>38.118200000000002</v>
      </c>
      <c r="H558" s="17">
        <f>38.0828 * CHOOSE(CONTROL!$C$15, $E$9, 100%, $G$9) + CHOOSE(CONTROL!$C$38, 0.0354, 0)</f>
        <v>38.118200000000002</v>
      </c>
      <c r="I558" s="17">
        <f>38.0844 * CHOOSE(CONTROL!$C$15, $E$9, 100%, $G$9) + CHOOSE(CONTROL!$C$38, 0.0354, 0)</f>
        <v>38.119800000000005</v>
      </c>
      <c r="J558" s="44">
        <f>350.3856</f>
        <v>350.38560000000001</v>
      </c>
    </row>
    <row r="559" spans="1:10" ht="15.75" x14ac:dyDescent="0.25">
      <c r="A559" s="13">
        <v>57953</v>
      </c>
      <c r="B559" s="17">
        <f>40.7514 * CHOOSE(CONTROL!$C$15, $E$9, 100%, $G$9) + CHOOSE(CONTROL!$C$38, 0.0353, 0)</f>
        <v>40.786699999999996</v>
      </c>
      <c r="C559" s="17">
        <f>38.2433 * CHOOSE(CONTROL!$C$15, $E$9, 100%, $G$9) + CHOOSE(CONTROL!$C$38, 0.0354, 0)</f>
        <v>38.278700000000001</v>
      </c>
      <c r="D559" s="17">
        <f>38.2355 * CHOOSE(CONTROL!$C$15, $E$9, 100%, $G$9) + CHOOSE(CONTROL!$C$38, 0.0354, 0)</f>
        <v>38.270900000000005</v>
      </c>
      <c r="E559" s="17">
        <f>38.2355 * CHOOSE(CONTROL!$C$15, $E$9, 100%, $G$9) + CHOOSE(CONTROL!$C$38, 0.0354, 0)</f>
        <v>38.270900000000005</v>
      </c>
      <c r="F559" s="45">
        <f>40.7514 * CHOOSE(CONTROL!$C$15, $E$9, 100%, $G$9) + CHOOSE(CONTROL!$C$38, 0.0353, 0)</f>
        <v>40.786699999999996</v>
      </c>
      <c r="G559" s="17">
        <f>38.2418 * CHOOSE(CONTROL!$C$15, $E$9, 100%, $G$9) + CHOOSE(CONTROL!$C$38, 0.0354, 0)</f>
        <v>38.277200000000001</v>
      </c>
      <c r="H559" s="17">
        <f>38.2418 * CHOOSE(CONTROL!$C$15, $E$9, 100%, $G$9) + CHOOSE(CONTROL!$C$38, 0.0354, 0)</f>
        <v>38.277200000000001</v>
      </c>
      <c r="I559" s="17">
        <f>38.2433 * CHOOSE(CONTROL!$C$15, $E$9, 100%, $G$9) + CHOOSE(CONTROL!$C$38, 0.0354, 0)</f>
        <v>38.278700000000001</v>
      </c>
      <c r="J559" s="44">
        <f>342.2288</f>
        <v>342.22879999999998</v>
      </c>
    </row>
    <row r="560" spans="1:10" ht="15.75" x14ac:dyDescent="0.25">
      <c r="A560" s="13">
        <v>57983</v>
      </c>
      <c r="B560" s="17">
        <f>41.1832 * CHOOSE(CONTROL!$C$15, $E$9, 100%, $G$9) + CHOOSE(CONTROL!$C$38, 0.0353, 0)</f>
        <v>41.218499999999999</v>
      </c>
      <c r="C560" s="17">
        <f>38.675 * CHOOSE(CONTROL!$C$15, $E$9, 100%, $G$9) + CHOOSE(CONTROL!$C$38, 0.0354, 0)</f>
        <v>38.7104</v>
      </c>
      <c r="D560" s="17">
        <f>38.6672 * CHOOSE(CONTROL!$C$15, $E$9, 100%, $G$9) + CHOOSE(CONTROL!$C$38, 0.0354, 0)</f>
        <v>38.702600000000004</v>
      </c>
      <c r="E560" s="17">
        <f>38.6672 * CHOOSE(CONTROL!$C$15, $E$9, 100%, $G$9) + CHOOSE(CONTROL!$C$38, 0.0354, 0)</f>
        <v>38.702600000000004</v>
      </c>
      <c r="F560" s="45">
        <f>41.1832 * CHOOSE(CONTROL!$C$15, $E$9, 100%, $G$9) + CHOOSE(CONTROL!$C$38, 0.0353, 0)</f>
        <v>41.218499999999999</v>
      </c>
      <c r="G560" s="17">
        <f>38.6735 * CHOOSE(CONTROL!$C$15, $E$9, 100%, $G$9) + CHOOSE(CONTROL!$C$38, 0.0354, 0)</f>
        <v>38.7089</v>
      </c>
      <c r="H560" s="17">
        <f>38.6735 * CHOOSE(CONTROL!$C$15, $E$9, 100%, $G$9) + CHOOSE(CONTROL!$C$38, 0.0354, 0)</f>
        <v>38.7089</v>
      </c>
      <c r="I560" s="17">
        <f>38.675 * CHOOSE(CONTROL!$C$15, $E$9, 100%, $G$9) + CHOOSE(CONTROL!$C$38, 0.0354, 0)</f>
        <v>38.7104</v>
      </c>
      <c r="J560" s="44">
        <f>330.8537</f>
        <v>330.8537</v>
      </c>
    </row>
    <row r="561" spans="1:10" ht="15.75" x14ac:dyDescent="0.25">
      <c r="A561" s="13">
        <v>58014</v>
      </c>
      <c r="B561" s="17">
        <f>41.5447 * CHOOSE(CONTROL!$C$15, $E$9, 100%, $G$9) + CHOOSE(CONTROL!$C$38, 0.034, 0)</f>
        <v>41.578699999999998</v>
      </c>
      <c r="C561" s="17">
        <f>39.0366 * CHOOSE(CONTROL!$C$15, $E$9, 100%, $G$9) + CHOOSE(CONTROL!$C$38, 0.0342, 0)</f>
        <v>39.070799999999998</v>
      </c>
      <c r="D561" s="17">
        <f>39.0288 * CHOOSE(CONTROL!$C$15, $E$9, 100%, $G$9) + CHOOSE(CONTROL!$C$38, 0.0342, 0)</f>
        <v>39.062999999999995</v>
      </c>
      <c r="E561" s="17">
        <f>39.0288 * CHOOSE(CONTROL!$C$15, $E$9, 100%, $G$9) + CHOOSE(CONTROL!$C$38, 0.0342, 0)</f>
        <v>39.062999999999995</v>
      </c>
      <c r="F561" s="45">
        <f>41.5447 * CHOOSE(CONTROL!$C$15, $E$9, 100%, $G$9) + CHOOSE(CONTROL!$C$38, 0.034, 0)</f>
        <v>41.578699999999998</v>
      </c>
      <c r="G561" s="17">
        <f>39.035 * CHOOSE(CONTROL!$C$15, $E$9, 100%, $G$9) + CHOOSE(CONTROL!$C$38, 0.0342, 0)</f>
        <v>39.069199999999995</v>
      </c>
      <c r="H561" s="17">
        <f>39.035 * CHOOSE(CONTROL!$C$15, $E$9, 100%, $G$9) + CHOOSE(CONTROL!$C$38, 0.0342, 0)</f>
        <v>39.069199999999995</v>
      </c>
      <c r="I561" s="17">
        <f>39.0366 * CHOOSE(CONTROL!$C$15, $E$9, 100%, $G$9) + CHOOSE(CONTROL!$C$38, 0.0342, 0)</f>
        <v>39.070799999999998</v>
      </c>
      <c r="J561" s="44">
        <f>319.4124</f>
        <v>319.41239999999999</v>
      </c>
    </row>
    <row r="562" spans="1:10" ht="15.75" x14ac:dyDescent="0.25">
      <c r="A562" s="13">
        <v>58044</v>
      </c>
      <c r="B562" s="17">
        <f>41.8464 * CHOOSE(CONTROL!$C$15, $E$9, 100%, $G$9) + CHOOSE(CONTROL!$C$38, 0.034, 0)</f>
        <v>41.880400000000002</v>
      </c>
      <c r="C562" s="17">
        <f>39.3383 * CHOOSE(CONTROL!$C$15, $E$9, 100%, $G$9) + CHOOSE(CONTROL!$C$38, 0.0342, 0)</f>
        <v>39.372499999999995</v>
      </c>
      <c r="D562" s="17">
        <f>39.3305 * CHOOSE(CONTROL!$C$15, $E$9, 100%, $G$9) + CHOOSE(CONTROL!$C$38, 0.0342, 0)</f>
        <v>39.364699999999999</v>
      </c>
      <c r="E562" s="17">
        <f>39.3305 * CHOOSE(CONTROL!$C$15, $E$9, 100%, $G$9) + CHOOSE(CONTROL!$C$38, 0.0342, 0)</f>
        <v>39.364699999999999</v>
      </c>
      <c r="F562" s="45">
        <f>41.8464 * CHOOSE(CONTROL!$C$15, $E$9, 100%, $G$9) + CHOOSE(CONTROL!$C$38, 0.034, 0)</f>
        <v>41.880400000000002</v>
      </c>
      <c r="G562" s="17">
        <f>39.3368 * CHOOSE(CONTROL!$C$15, $E$9, 100%, $G$9) + CHOOSE(CONTROL!$C$38, 0.0342, 0)</f>
        <v>39.370999999999995</v>
      </c>
      <c r="H562" s="17">
        <f>39.3368 * CHOOSE(CONTROL!$C$15, $E$9, 100%, $G$9) + CHOOSE(CONTROL!$C$38, 0.0342, 0)</f>
        <v>39.370999999999995</v>
      </c>
      <c r="I562" s="17">
        <f>39.3383 * CHOOSE(CONTROL!$C$15, $E$9, 100%, $G$9) + CHOOSE(CONTROL!$C$38, 0.0342, 0)</f>
        <v>39.372499999999995</v>
      </c>
      <c r="J562" s="44">
        <f>317.1365</f>
        <v>317.13650000000001</v>
      </c>
    </row>
    <row r="563" spans="1:10" ht="15.75" x14ac:dyDescent="0.25">
      <c r="A563" s="13">
        <v>58075</v>
      </c>
      <c r="B563" s="17">
        <f>42.7761 * CHOOSE(CONTROL!$C$15, $E$9, 100%, $G$9) + CHOOSE(CONTROL!$C$38, 0.034, 0)</f>
        <v>42.810099999999998</v>
      </c>
      <c r="C563" s="17">
        <f>40.268 * CHOOSE(CONTROL!$C$15, $E$9, 100%, $G$9) + CHOOSE(CONTROL!$C$38, 0.0342, 0)</f>
        <v>40.302199999999999</v>
      </c>
      <c r="D563" s="17">
        <f>40.2602 * CHOOSE(CONTROL!$C$15, $E$9, 100%, $G$9) + CHOOSE(CONTROL!$C$38, 0.0342, 0)</f>
        <v>40.294399999999996</v>
      </c>
      <c r="E563" s="17">
        <f>40.2602 * CHOOSE(CONTROL!$C$15, $E$9, 100%, $G$9) + CHOOSE(CONTROL!$C$38, 0.0342, 0)</f>
        <v>40.294399999999996</v>
      </c>
      <c r="F563" s="45">
        <f>42.7761 * CHOOSE(CONTROL!$C$15, $E$9, 100%, $G$9) + CHOOSE(CONTROL!$C$38, 0.034, 0)</f>
        <v>42.810099999999998</v>
      </c>
      <c r="G563" s="17">
        <f>40.2664 * CHOOSE(CONTROL!$C$15, $E$9, 100%, $G$9) + CHOOSE(CONTROL!$C$38, 0.0342, 0)</f>
        <v>40.300599999999996</v>
      </c>
      <c r="H563" s="17">
        <f>40.2664 * CHOOSE(CONTROL!$C$15, $E$9, 100%, $G$9) + CHOOSE(CONTROL!$C$38, 0.0342, 0)</f>
        <v>40.300599999999996</v>
      </c>
      <c r="I563" s="17">
        <f>40.268 * CHOOSE(CONTROL!$C$15, $E$9, 100%, $G$9) + CHOOSE(CONTROL!$C$38, 0.0342, 0)</f>
        <v>40.302199999999999</v>
      </c>
      <c r="J563" s="44">
        <f>307.7255</f>
        <v>307.72550000000001</v>
      </c>
    </row>
    <row r="564" spans="1:10" ht="15.75" x14ac:dyDescent="0.25">
      <c r="A564" s="13">
        <v>58106</v>
      </c>
      <c r="B564" s="17">
        <f>44.2038 * CHOOSE(CONTROL!$C$15, $E$9, 100%, $G$9) + CHOOSE(CONTROL!$C$38, 0.034, 0)</f>
        <v>44.2378</v>
      </c>
      <c r="C564" s="17">
        <f>41.6562 * CHOOSE(CONTROL!$C$15, $E$9, 100%, $G$9) + CHOOSE(CONTROL!$C$38, 0.0342, 0)</f>
        <v>41.690399999999997</v>
      </c>
      <c r="D564" s="17">
        <f>41.6484 * CHOOSE(CONTROL!$C$15, $E$9, 100%, $G$9) + CHOOSE(CONTROL!$C$38, 0.0342, 0)</f>
        <v>41.682600000000001</v>
      </c>
      <c r="E564" s="17">
        <f>41.6484 * CHOOSE(CONTROL!$C$15, $E$9, 100%, $G$9) + CHOOSE(CONTROL!$C$38, 0.0342, 0)</f>
        <v>41.682600000000001</v>
      </c>
      <c r="F564" s="45">
        <f>44.2038 * CHOOSE(CONTROL!$C$15, $E$9, 100%, $G$9) + CHOOSE(CONTROL!$C$38, 0.034, 0)</f>
        <v>44.2378</v>
      </c>
      <c r="G564" s="17">
        <f>41.6546 * CHOOSE(CONTROL!$C$15, $E$9, 100%, $G$9) + CHOOSE(CONTROL!$C$38, 0.0342, 0)</f>
        <v>41.688800000000001</v>
      </c>
      <c r="H564" s="17">
        <f>41.6546 * CHOOSE(CONTROL!$C$15, $E$9, 100%, $G$9) + CHOOSE(CONTROL!$C$38, 0.0342, 0)</f>
        <v>41.688800000000001</v>
      </c>
      <c r="I564" s="17">
        <f>41.6562 * CHOOSE(CONTROL!$C$15, $E$9, 100%, $G$9) + CHOOSE(CONTROL!$C$38, 0.0342, 0)</f>
        <v>41.690399999999997</v>
      </c>
      <c r="J564" s="44">
        <f>307.5033</f>
        <v>307.50330000000002</v>
      </c>
    </row>
    <row r="565" spans="1:10" ht="15.75" x14ac:dyDescent="0.25">
      <c r="A565" s="13">
        <v>58134</v>
      </c>
      <c r="B565" s="17">
        <f>44.5481 * CHOOSE(CONTROL!$C$15, $E$9, 100%, $G$9) + CHOOSE(CONTROL!$C$38, 0.034, 0)</f>
        <v>44.582099999999997</v>
      </c>
      <c r="C565" s="17">
        <f>42.0005 * CHOOSE(CONTROL!$C$15, $E$9, 100%, $G$9) + CHOOSE(CONTROL!$C$38, 0.0342, 0)</f>
        <v>42.034700000000001</v>
      </c>
      <c r="D565" s="17">
        <f>41.9927 * CHOOSE(CONTROL!$C$15, $E$9, 100%, $G$9) + CHOOSE(CONTROL!$C$38, 0.0342, 0)</f>
        <v>42.026899999999998</v>
      </c>
      <c r="E565" s="17">
        <f>41.9927 * CHOOSE(CONTROL!$C$15, $E$9, 100%, $G$9) + CHOOSE(CONTROL!$C$38, 0.0342, 0)</f>
        <v>42.026899999999998</v>
      </c>
      <c r="F565" s="45">
        <f>44.5481 * CHOOSE(CONTROL!$C$15, $E$9, 100%, $G$9) + CHOOSE(CONTROL!$C$38, 0.034, 0)</f>
        <v>44.582099999999997</v>
      </c>
      <c r="G565" s="17">
        <f>41.9989 * CHOOSE(CONTROL!$C$15, $E$9, 100%, $G$9) + CHOOSE(CONTROL!$C$38, 0.0342, 0)</f>
        <v>42.033099999999997</v>
      </c>
      <c r="H565" s="17">
        <f>41.9989 * CHOOSE(CONTROL!$C$15, $E$9, 100%, $G$9) + CHOOSE(CONTROL!$C$38, 0.0342, 0)</f>
        <v>42.033099999999997</v>
      </c>
      <c r="I565" s="17">
        <f>42.0005 * CHOOSE(CONTROL!$C$15, $E$9, 100%, $G$9) + CHOOSE(CONTROL!$C$38, 0.0342, 0)</f>
        <v>42.034700000000001</v>
      </c>
      <c r="J565" s="44">
        <f>306.6486</f>
        <v>306.64859999999999</v>
      </c>
    </row>
    <row r="566" spans="1:10" ht="15.75" x14ac:dyDescent="0.25">
      <c r="A566" s="13">
        <v>58165</v>
      </c>
      <c r="B566" s="17">
        <f>43.7511 * CHOOSE(CONTROL!$C$15, $E$9, 100%, $G$9) + CHOOSE(CONTROL!$C$38, 0.034, 0)</f>
        <v>43.7851</v>
      </c>
      <c r="C566" s="17">
        <f>41.2035 * CHOOSE(CONTROL!$C$15, $E$9, 100%, $G$9) + CHOOSE(CONTROL!$C$38, 0.0342, 0)</f>
        <v>41.237699999999997</v>
      </c>
      <c r="D566" s="17">
        <f>41.1957 * CHOOSE(CONTROL!$C$15, $E$9, 100%, $G$9) + CHOOSE(CONTROL!$C$38, 0.0342, 0)</f>
        <v>41.229900000000001</v>
      </c>
      <c r="E566" s="17">
        <f>41.1957 * CHOOSE(CONTROL!$C$15, $E$9, 100%, $G$9) + CHOOSE(CONTROL!$C$38, 0.0342, 0)</f>
        <v>41.229900000000001</v>
      </c>
      <c r="F566" s="45">
        <f>43.7511 * CHOOSE(CONTROL!$C$15, $E$9, 100%, $G$9) + CHOOSE(CONTROL!$C$38, 0.034, 0)</f>
        <v>43.7851</v>
      </c>
      <c r="G566" s="17">
        <f>41.2019 * CHOOSE(CONTROL!$C$15, $E$9, 100%, $G$9) + CHOOSE(CONTROL!$C$38, 0.0342, 0)</f>
        <v>41.2361</v>
      </c>
      <c r="H566" s="17">
        <f>41.2019 * CHOOSE(CONTROL!$C$15, $E$9, 100%, $G$9) + CHOOSE(CONTROL!$C$38, 0.0342, 0)</f>
        <v>41.2361</v>
      </c>
      <c r="I566" s="17">
        <f>41.2035 * CHOOSE(CONTROL!$C$15, $E$9, 100%, $G$9) + CHOOSE(CONTROL!$C$38, 0.0342, 0)</f>
        <v>41.237699999999997</v>
      </c>
      <c r="J566" s="44">
        <f>322.8107</f>
        <v>322.8107</v>
      </c>
    </row>
    <row r="567" spans="1:10" ht="15.75" x14ac:dyDescent="0.25">
      <c r="A567" s="13">
        <v>58195</v>
      </c>
      <c r="B567" s="17">
        <f>42.9788 * CHOOSE(CONTROL!$C$15, $E$9, 100%, $G$9) + CHOOSE(CONTROL!$C$38, 0.034, 0)</f>
        <v>43.012799999999999</v>
      </c>
      <c r="C567" s="17">
        <f>40.4312 * CHOOSE(CONTROL!$C$15, $E$9, 100%, $G$9) + CHOOSE(CONTROL!$C$38, 0.0342, 0)</f>
        <v>40.465399999999995</v>
      </c>
      <c r="D567" s="17">
        <f>40.4233 * CHOOSE(CONTROL!$C$15, $E$9, 100%, $G$9) + CHOOSE(CONTROL!$C$38, 0.0342, 0)</f>
        <v>40.457499999999996</v>
      </c>
      <c r="E567" s="17">
        <f>40.4233 * CHOOSE(CONTROL!$C$15, $E$9, 100%, $G$9) + CHOOSE(CONTROL!$C$38, 0.0342, 0)</f>
        <v>40.457499999999996</v>
      </c>
      <c r="F567" s="45">
        <f>42.9788 * CHOOSE(CONTROL!$C$15, $E$9, 100%, $G$9) + CHOOSE(CONTROL!$C$38, 0.034, 0)</f>
        <v>43.012799999999999</v>
      </c>
      <c r="G567" s="17">
        <f>40.4296 * CHOOSE(CONTROL!$C$15, $E$9, 100%, $G$9) + CHOOSE(CONTROL!$C$38, 0.0342, 0)</f>
        <v>40.463799999999999</v>
      </c>
      <c r="H567" s="17">
        <f>40.4296 * CHOOSE(CONTROL!$C$15, $E$9, 100%, $G$9) + CHOOSE(CONTROL!$C$38, 0.0342, 0)</f>
        <v>40.463799999999999</v>
      </c>
      <c r="I567" s="17">
        <f>40.4312 * CHOOSE(CONTROL!$C$15, $E$9, 100%, $G$9) + CHOOSE(CONTROL!$C$38, 0.0342, 0)</f>
        <v>40.465399999999995</v>
      </c>
      <c r="J567" s="44">
        <f>343.7692</f>
        <v>343.76920000000001</v>
      </c>
    </row>
    <row r="568" spans="1:10" ht="15.75" x14ac:dyDescent="0.25">
      <c r="A568" s="13">
        <v>58226</v>
      </c>
      <c r="B568" s="17">
        <f>42.1738 * CHOOSE(CONTROL!$C$15, $E$9, 100%, $G$9) + CHOOSE(CONTROL!$C$38, 0.0353, 0)</f>
        <v>42.209099999999999</v>
      </c>
      <c r="C568" s="17">
        <f>39.6262 * CHOOSE(CONTROL!$C$15, $E$9, 100%, $G$9) + CHOOSE(CONTROL!$C$38, 0.0354, 0)</f>
        <v>39.6616</v>
      </c>
      <c r="D568" s="17">
        <f>39.6184 * CHOOSE(CONTROL!$C$15, $E$9, 100%, $G$9) + CHOOSE(CONTROL!$C$38, 0.0354, 0)</f>
        <v>39.653800000000004</v>
      </c>
      <c r="E568" s="17">
        <f>39.6184 * CHOOSE(CONTROL!$C$15, $E$9, 100%, $G$9) + CHOOSE(CONTROL!$C$38, 0.0354, 0)</f>
        <v>39.653800000000004</v>
      </c>
      <c r="F568" s="45">
        <f>42.1738 * CHOOSE(CONTROL!$C$15, $E$9, 100%, $G$9) + CHOOSE(CONTROL!$C$38, 0.0353, 0)</f>
        <v>42.209099999999999</v>
      </c>
      <c r="G568" s="17">
        <f>39.6246 * CHOOSE(CONTROL!$C$15, $E$9, 100%, $G$9) + CHOOSE(CONTROL!$C$38, 0.0354, 0)</f>
        <v>39.660000000000004</v>
      </c>
      <c r="H568" s="17">
        <f>39.6246 * CHOOSE(CONTROL!$C$15, $E$9, 100%, $G$9) + CHOOSE(CONTROL!$C$38, 0.0354, 0)</f>
        <v>39.660000000000004</v>
      </c>
      <c r="I568" s="17">
        <f>39.6262 * CHOOSE(CONTROL!$C$15, $E$9, 100%, $G$9) + CHOOSE(CONTROL!$C$38, 0.0354, 0)</f>
        <v>39.6616</v>
      </c>
      <c r="J568" s="44">
        <f>355.3054</f>
        <v>355.30540000000002</v>
      </c>
    </row>
    <row r="569" spans="1:10" ht="15.75" x14ac:dyDescent="0.25">
      <c r="A569" s="13">
        <v>58256</v>
      </c>
      <c r="B569" s="17">
        <f>41.6095 * CHOOSE(CONTROL!$C$15, $E$9, 100%, $G$9) + CHOOSE(CONTROL!$C$38, 0.0353, 0)</f>
        <v>41.644799999999996</v>
      </c>
      <c r="C569" s="17">
        <f>39.0619 * CHOOSE(CONTROL!$C$15, $E$9, 100%, $G$9) + CHOOSE(CONTROL!$C$38, 0.0354, 0)</f>
        <v>39.097300000000004</v>
      </c>
      <c r="D569" s="17">
        <f>39.0541 * CHOOSE(CONTROL!$C$15, $E$9, 100%, $G$9) + CHOOSE(CONTROL!$C$38, 0.0354, 0)</f>
        <v>39.089500000000001</v>
      </c>
      <c r="E569" s="17">
        <f>39.0541 * CHOOSE(CONTROL!$C$15, $E$9, 100%, $G$9) + CHOOSE(CONTROL!$C$38, 0.0354, 0)</f>
        <v>39.089500000000001</v>
      </c>
      <c r="F569" s="45">
        <f>41.6095 * CHOOSE(CONTROL!$C$15, $E$9, 100%, $G$9) + CHOOSE(CONTROL!$C$38, 0.0353, 0)</f>
        <v>41.644799999999996</v>
      </c>
      <c r="G569" s="17">
        <f>39.0603 * CHOOSE(CONTROL!$C$15, $E$9, 100%, $G$9) + CHOOSE(CONTROL!$C$38, 0.0354, 0)</f>
        <v>39.095700000000001</v>
      </c>
      <c r="H569" s="17">
        <f>39.0603 * CHOOSE(CONTROL!$C$15, $E$9, 100%, $G$9) + CHOOSE(CONTROL!$C$38, 0.0354, 0)</f>
        <v>39.095700000000001</v>
      </c>
      <c r="I569" s="17">
        <f>39.0619 * CHOOSE(CONTROL!$C$15, $E$9, 100%, $G$9) + CHOOSE(CONTROL!$C$38, 0.0354, 0)</f>
        <v>39.097300000000004</v>
      </c>
      <c r="J569" s="44">
        <f>360.4249</f>
        <v>360.42489999999998</v>
      </c>
    </row>
    <row r="570" spans="1:10" ht="15.75" x14ac:dyDescent="0.25">
      <c r="A570" s="13">
        <v>58287</v>
      </c>
      <c r="B570" s="17">
        <f>41.2874 * CHOOSE(CONTROL!$C$15, $E$9, 100%, $G$9) + CHOOSE(CONTROL!$C$38, 0.0353, 0)</f>
        <v>41.322699999999998</v>
      </c>
      <c r="C570" s="17">
        <f>38.7398 * CHOOSE(CONTROL!$C$15, $E$9, 100%, $G$9) + CHOOSE(CONTROL!$C$38, 0.0354, 0)</f>
        <v>38.775200000000005</v>
      </c>
      <c r="D570" s="17">
        <f>38.732 * CHOOSE(CONTROL!$C$15, $E$9, 100%, $G$9) + CHOOSE(CONTROL!$C$38, 0.0354, 0)</f>
        <v>38.767400000000002</v>
      </c>
      <c r="E570" s="17">
        <f>38.732 * CHOOSE(CONTROL!$C$15, $E$9, 100%, $G$9) + CHOOSE(CONTROL!$C$38, 0.0354, 0)</f>
        <v>38.767400000000002</v>
      </c>
      <c r="F570" s="45">
        <f>41.2874 * CHOOSE(CONTROL!$C$15, $E$9, 100%, $G$9) + CHOOSE(CONTROL!$C$38, 0.0353, 0)</f>
        <v>41.322699999999998</v>
      </c>
      <c r="G570" s="17">
        <f>38.7382 * CHOOSE(CONTROL!$C$15, $E$9, 100%, $G$9) + CHOOSE(CONTROL!$C$38, 0.0354, 0)</f>
        <v>38.773600000000002</v>
      </c>
      <c r="H570" s="17">
        <f>38.7382 * CHOOSE(CONTROL!$C$15, $E$9, 100%, $G$9) + CHOOSE(CONTROL!$C$38, 0.0354, 0)</f>
        <v>38.773600000000002</v>
      </c>
      <c r="I570" s="17">
        <f>38.7398 * CHOOSE(CONTROL!$C$15, $E$9, 100%, $G$9) + CHOOSE(CONTROL!$C$38, 0.0354, 0)</f>
        <v>38.775200000000005</v>
      </c>
      <c r="J570" s="44">
        <f>358.7393</f>
        <v>358.73930000000001</v>
      </c>
    </row>
    <row r="571" spans="1:10" ht="15.75" x14ac:dyDescent="0.25">
      <c r="A571" s="13">
        <v>58318</v>
      </c>
      <c r="B571" s="17">
        <f>41.4464 * CHOOSE(CONTROL!$C$15, $E$9, 100%, $G$9) + CHOOSE(CONTROL!$C$38, 0.0353, 0)</f>
        <v>41.481699999999996</v>
      </c>
      <c r="C571" s="17">
        <f>38.8988 * CHOOSE(CONTROL!$C$15, $E$9, 100%, $G$9) + CHOOSE(CONTROL!$C$38, 0.0354, 0)</f>
        <v>38.934200000000004</v>
      </c>
      <c r="D571" s="17">
        <f>38.8909 * CHOOSE(CONTROL!$C$15, $E$9, 100%, $G$9) + CHOOSE(CONTROL!$C$38, 0.0354, 0)</f>
        <v>38.926300000000005</v>
      </c>
      <c r="E571" s="17">
        <f>38.8909 * CHOOSE(CONTROL!$C$15, $E$9, 100%, $G$9) + CHOOSE(CONTROL!$C$38, 0.0354, 0)</f>
        <v>38.926300000000005</v>
      </c>
      <c r="F571" s="45">
        <f>41.4464 * CHOOSE(CONTROL!$C$15, $E$9, 100%, $G$9) + CHOOSE(CONTROL!$C$38, 0.0353, 0)</f>
        <v>41.481699999999996</v>
      </c>
      <c r="G571" s="17">
        <f>38.8972 * CHOOSE(CONTROL!$C$15, $E$9, 100%, $G$9) + CHOOSE(CONTROL!$C$38, 0.0354, 0)</f>
        <v>38.932600000000001</v>
      </c>
      <c r="H571" s="17">
        <f>38.8972 * CHOOSE(CONTROL!$C$15, $E$9, 100%, $G$9) + CHOOSE(CONTROL!$C$38, 0.0354, 0)</f>
        <v>38.932600000000001</v>
      </c>
      <c r="I571" s="17">
        <f>38.8988 * CHOOSE(CONTROL!$C$15, $E$9, 100%, $G$9) + CHOOSE(CONTROL!$C$38, 0.0354, 0)</f>
        <v>38.934200000000004</v>
      </c>
      <c r="J571" s="44">
        <f>350.388</f>
        <v>350.38799999999998</v>
      </c>
    </row>
    <row r="572" spans="1:10" ht="15.75" x14ac:dyDescent="0.25">
      <c r="A572" s="13">
        <v>58348</v>
      </c>
      <c r="B572" s="17">
        <f>41.8781 * CHOOSE(CONTROL!$C$15, $E$9, 100%, $G$9) + CHOOSE(CONTROL!$C$38, 0.0353, 0)</f>
        <v>41.913400000000003</v>
      </c>
      <c r="C572" s="17">
        <f>39.3305 * CHOOSE(CONTROL!$C$15, $E$9, 100%, $G$9) + CHOOSE(CONTROL!$C$38, 0.0354, 0)</f>
        <v>39.365900000000003</v>
      </c>
      <c r="D572" s="17">
        <f>39.3227 * CHOOSE(CONTROL!$C$15, $E$9, 100%, $G$9) + CHOOSE(CONTROL!$C$38, 0.0354, 0)</f>
        <v>39.3581</v>
      </c>
      <c r="E572" s="17">
        <f>39.3227 * CHOOSE(CONTROL!$C$15, $E$9, 100%, $G$9) + CHOOSE(CONTROL!$C$38, 0.0354, 0)</f>
        <v>39.3581</v>
      </c>
      <c r="F572" s="45">
        <f>41.8781 * CHOOSE(CONTROL!$C$15, $E$9, 100%, $G$9) + CHOOSE(CONTROL!$C$38, 0.0353, 0)</f>
        <v>41.913400000000003</v>
      </c>
      <c r="G572" s="17">
        <f>39.3289 * CHOOSE(CONTROL!$C$15, $E$9, 100%, $G$9) + CHOOSE(CONTROL!$C$38, 0.0354, 0)</f>
        <v>39.3643</v>
      </c>
      <c r="H572" s="17">
        <f>39.3289 * CHOOSE(CONTROL!$C$15, $E$9, 100%, $G$9) + CHOOSE(CONTROL!$C$38, 0.0354, 0)</f>
        <v>39.3643</v>
      </c>
      <c r="I572" s="17">
        <f>39.3305 * CHOOSE(CONTROL!$C$15, $E$9, 100%, $G$9) + CHOOSE(CONTROL!$C$38, 0.0354, 0)</f>
        <v>39.365900000000003</v>
      </c>
      <c r="J572" s="44">
        <f>338.7417</f>
        <v>338.74169999999998</v>
      </c>
    </row>
    <row r="573" spans="1:10" ht="15.75" x14ac:dyDescent="0.25">
      <c r="A573" s="13">
        <v>58379</v>
      </c>
      <c r="B573" s="17">
        <f>42.2396 * CHOOSE(CONTROL!$C$15, $E$9, 100%, $G$9) + CHOOSE(CONTROL!$C$38, 0.034, 0)</f>
        <v>42.273600000000002</v>
      </c>
      <c r="C573" s="17">
        <f>39.692 * CHOOSE(CONTROL!$C$15, $E$9, 100%, $G$9) + CHOOSE(CONTROL!$C$38, 0.0342, 0)</f>
        <v>39.726199999999999</v>
      </c>
      <c r="D573" s="17">
        <f>39.6842 * CHOOSE(CONTROL!$C$15, $E$9, 100%, $G$9) + CHOOSE(CONTROL!$C$38, 0.0342, 0)</f>
        <v>39.718399999999995</v>
      </c>
      <c r="E573" s="17">
        <f>39.6842 * CHOOSE(CONTROL!$C$15, $E$9, 100%, $G$9) + CHOOSE(CONTROL!$C$38, 0.0342, 0)</f>
        <v>39.718399999999995</v>
      </c>
      <c r="F573" s="45">
        <f>42.2396 * CHOOSE(CONTROL!$C$15, $E$9, 100%, $G$9) + CHOOSE(CONTROL!$C$38, 0.034, 0)</f>
        <v>42.273600000000002</v>
      </c>
      <c r="G573" s="17">
        <f>39.6905 * CHOOSE(CONTROL!$C$15, $E$9, 100%, $G$9) + CHOOSE(CONTROL!$C$38, 0.0342, 0)</f>
        <v>39.724699999999999</v>
      </c>
      <c r="H573" s="17">
        <f>39.6905 * CHOOSE(CONTROL!$C$15, $E$9, 100%, $G$9) + CHOOSE(CONTROL!$C$38, 0.0342, 0)</f>
        <v>39.724699999999999</v>
      </c>
      <c r="I573" s="17">
        <f>39.692 * CHOOSE(CONTROL!$C$15, $E$9, 100%, $G$9) + CHOOSE(CONTROL!$C$38, 0.0342, 0)</f>
        <v>39.726199999999999</v>
      </c>
      <c r="J573" s="44">
        <f>327.0277</f>
        <v>327.02769999999998</v>
      </c>
    </row>
    <row r="574" spans="1:10" ht="15.75" x14ac:dyDescent="0.25">
      <c r="A574" s="13">
        <v>58409</v>
      </c>
      <c r="B574" s="17">
        <f>42.5414 * CHOOSE(CONTROL!$C$15, $E$9, 100%, $G$9) + CHOOSE(CONTROL!$C$38, 0.034, 0)</f>
        <v>42.575400000000002</v>
      </c>
      <c r="C574" s="17">
        <f>39.9937 * CHOOSE(CONTROL!$C$15, $E$9, 100%, $G$9) + CHOOSE(CONTROL!$C$38, 0.0342, 0)</f>
        <v>40.027899999999995</v>
      </c>
      <c r="D574" s="17">
        <f>39.9859 * CHOOSE(CONTROL!$C$15, $E$9, 100%, $G$9) + CHOOSE(CONTROL!$C$38, 0.0342, 0)</f>
        <v>40.020099999999999</v>
      </c>
      <c r="E574" s="17">
        <f>39.9859 * CHOOSE(CONTROL!$C$15, $E$9, 100%, $G$9) + CHOOSE(CONTROL!$C$38, 0.0342, 0)</f>
        <v>40.020099999999999</v>
      </c>
      <c r="F574" s="45">
        <f>42.5414 * CHOOSE(CONTROL!$C$15, $E$9, 100%, $G$9) + CHOOSE(CONTROL!$C$38, 0.034, 0)</f>
        <v>42.575400000000002</v>
      </c>
      <c r="G574" s="17">
        <f>39.9922 * CHOOSE(CONTROL!$C$15, $E$9, 100%, $G$9) + CHOOSE(CONTROL!$C$38, 0.0342, 0)</f>
        <v>40.026399999999995</v>
      </c>
      <c r="H574" s="17">
        <f>39.9922 * CHOOSE(CONTROL!$C$15, $E$9, 100%, $G$9) + CHOOSE(CONTROL!$C$38, 0.0342, 0)</f>
        <v>40.026399999999995</v>
      </c>
      <c r="I574" s="17">
        <f>39.9937 * CHOOSE(CONTROL!$C$15, $E$9, 100%, $G$9) + CHOOSE(CONTROL!$C$38, 0.0342, 0)</f>
        <v>40.027899999999995</v>
      </c>
      <c r="J574" s="44">
        <f>324.6975</f>
        <v>324.69749999999999</v>
      </c>
    </row>
    <row r="575" spans="1:10" ht="15.75" x14ac:dyDescent="0.25">
      <c r="A575" s="13">
        <v>58440</v>
      </c>
      <c r="B575" s="17">
        <f>43.471 * CHOOSE(CONTROL!$C$15, $E$9, 100%, $G$9) + CHOOSE(CONTROL!$C$38, 0.034, 0)</f>
        <v>43.504999999999995</v>
      </c>
      <c r="C575" s="17">
        <f>40.9234 * CHOOSE(CONTROL!$C$15, $E$9, 100%, $G$9) + CHOOSE(CONTROL!$C$38, 0.0342, 0)</f>
        <v>40.957599999999999</v>
      </c>
      <c r="D575" s="17">
        <f>40.9156 * CHOOSE(CONTROL!$C$15, $E$9, 100%, $G$9) + CHOOSE(CONTROL!$C$38, 0.0342, 0)</f>
        <v>40.949799999999996</v>
      </c>
      <c r="E575" s="17">
        <f>40.9156 * CHOOSE(CONTROL!$C$15, $E$9, 100%, $G$9) + CHOOSE(CONTROL!$C$38, 0.0342, 0)</f>
        <v>40.949799999999996</v>
      </c>
      <c r="F575" s="45">
        <f>43.471 * CHOOSE(CONTROL!$C$15, $E$9, 100%, $G$9) + CHOOSE(CONTROL!$C$38, 0.034, 0)</f>
        <v>43.504999999999995</v>
      </c>
      <c r="G575" s="17">
        <f>40.9218 * CHOOSE(CONTROL!$C$15, $E$9, 100%, $G$9) + CHOOSE(CONTROL!$C$38, 0.0342, 0)</f>
        <v>40.955999999999996</v>
      </c>
      <c r="H575" s="17">
        <f>40.9218 * CHOOSE(CONTROL!$C$15, $E$9, 100%, $G$9) + CHOOSE(CONTROL!$C$38, 0.0342, 0)</f>
        <v>40.955999999999996</v>
      </c>
      <c r="I575" s="17">
        <f>40.9234 * CHOOSE(CONTROL!$C$15, $E$9, 100%, $G$9) + CHOOSE(CONTROL!$C$38, 0.0342, 0)</f>
        <v>40.957599999999999</v>
      </c>
      <c r="J575" s="44">
        <f>315.0621</f>
        <v>315.06209999999999</v>
      </c>
    </row>
    <row r="576" spans="1:10" ht="15.75" x14ac:dyDescent="0.25">
      <c r="A576" s="13">
        <v>58471</v>
      </c>
      <c r="B576" s="17">
        <f>44.9104 * CHOOSE(CONTROL!$C$15, $E$9, 100%, $G$9) + CHOOSE(CONTROL!$C$38, 0.034, 0)</f>
        <v>44.944400000000002</v>
      </c>
      <c r="C576" s="17">
        <f>42.3226 * CHOOSE(CONTROL!$C$15, $E$9, 100%, $G$9) + CHOOSE(CONTROL!$C$38, 0.0342, 0)</f>
        <v>42.3568</v>
      </c>
      <c r="D576" s="17">
        <f>42.3148 * CHOOSE(CONTROL!$C$15, $E$9, 100%, $G$9) + CHOOSE(CONTROL!$C$38, 0.0342, 0)</f>
        <v>42.348999999999997</v>
      </c>
      <c r="E576" s="17">
        <f>42.3148 * CHOOSE(CONTROL!$C$15, $E$9, 100%, $G$9) + CHOOSE(CONTROL!$C$38, 0.0342, 0)</f>
        <v>42.348999999999997</v>
      </c>
      <c r="F576" s="45">
        <f>44.9104 * CHOOSE(CONTROL!$C$15, $E$9, 100%, $G$9) + CHOOSE(CONTROL!$C$38, 0.034, 0)</f>
        <v>44.944400000000002</v>
      </c>
      <c r="G576" s="17">
        <f>42.3211 * CHOOSE(CONTROL!$C$15, $E$9, 100%, $G$9) + CHOOSE(CONTROL!$C$38, 0.0342, 0)</f>
        <v>42.3553</v>
      </c>
      <c r="H576" s="17">
        <f>42.3211 * CHOOSE(CONTROL!$C$15, $E$9, 100%, $G$9) + CHOOSE(CONTROL!$C$38, 0.0342, 0)</f>
        <v>42.3553</v>
      </c>
      <c r="I576" s="17">
        <f>42.3226 * CHOOSE(CONTROL!$C$15, $E$9, 100%, $G$9) + CHOOSE(CONTROL!$C$38, 0.0342, 0)</f>
        <v>42.3568</v>
      </c>
      <c r="J576" s="44">
        <f>314.8346</f>
        <v>314.83460000000002</v>
      </c>
    </row>
    <row r="577" spans="1:10" ht="15.75" x14ac:dyDescent="0.25">
      <c r="A577" s="13">
        <v>58499</v>
      </c>
      <c r="B577" s="17">
        <f>45.2547 * CHOOSE(CONTROL!$C$15, $E$9, 100%, $G$9) + CHOOSE(CONTROL!$C$38, 0.034, 0)</f>
        <v>45.288699999999999</v>
      </c>
      <c r="C577" s="17">
        <f>42.6669 * CHOOSE(CONTROL!$C$15, $E$9, 100%, $G$9) + CHOOSE(CONTROL!$C$38, 0.0342, 0)</f>
        <v>42.701099999999997</v>
      </c>
      <c r="D577" s="17">
        <f>42.6591 * CHOOSE(CONTROL!$C$15, $E$9, 100%, $G$9) + CHOOSE(CONTROL!$C$38, 0.0342, 0)</f>
        <v>42.693300000000001</v>
      </c>
      <c r="E577" s="17">
        <f>42.6591 * CHOOSE(CONTROL!$C$15, $E$9, 100%, $G$9) + CHOOSE(CONTROL!$C$38, 0.0342, 0)</f>
        <v>42.693300000000001</v>
      </c>
      <c r="F577" s="45">
        <f>45.2547 * CHOOSE(CONTROL!$C$15, $E$9, 100%, $G$9) + CHOOSE(CONTROL!$C$38, 0.034, 0)</f>
        <v>45.288699999999999</v>
      </c>
      <c r="G577" s="17">
        <f>42.6654 * CHOOSE(CONTROL!$C$15, $E$9, 100%, $G$9) + CHOOSE(CONTROL!$C$38, 0.0342, 0)</f>
        <v>42.699599999999997</v>
      </c>
      <c r="H577" s="17">
        <f>42.6654 * CHOOSE(CONTROL!$C$15, $E$9, 100%, $G$9) + CHOOSE(CONTROL!$C$38, 0.0342, 0)</f>
        <v>42.699599999999997</v>
      </c>
      <c r="I577" s="17">
        <f>42.6669 * CHOOSE(CONTROL!$C$15, $E$9, 100%, $G$9) + CHOOSE(CONTROL!$C$38, 0.0342, 0)</f>
        <v>42.701099999999997</v>
      </c>
      <c r="J577" s="44">
        <f>313.9595</f>
        <v>313.95949999999999</v>
      </c>
    </row>
    <row r="578" spans="1:10" ht="15.75" x14ac:dyDescent="0.25">
      <c r="A578" s="13">
        <v>58531</v>
      </c>
      <c r="B578" s="17">
        <f>44.4577 * CHOOSE(CONTROL!$C$15, $E$9, 100%, $G$9) + CHOOSE(CONTROL!$C$38, 0.034, 0)</f>
        <v>44.491700000000002</v>
      </c>
      <c r="C578" s="17">
        <f>41.8699 * CHOOSE(CONTROL!$C$15, $E$9, 100%, $G$9) + CHOOSE(CONTROL!$C$38, 0.0342, 0)</f>
        <v>41.9041</v>
      </c>
      <c r="D578" s="17">
        <f>41.8621 * CHOOSE(CONTROL!$C$15, $E$9, 100%, $G$9) + CHOOSE(CONTROL!$C$38, 0.0342, 0)</f>
        <v>41.896299999999997</v>
      </c>
      <c r="E578" s="17">
        <f>41.8621 * CHOOSE(CONTROL!$C$15, $E$9, 100%, $G$9) + CHOOSE(CONTROL!$C$38, 0.0342, 0)</f>
        <v>41.896299999999997</v>
      </c>
      <c r="F578" s="45">
        <f>44.4577 * CHOOSE(CONTROL!$C$15, $E$9, 100%, $G$9) + CHOOSE(CONTROL!$C$38, 0.034, 0)</f>
        <v>44.491700000000002</v>
      </c>
      <c r="G578" s="17">
        <f>41.8683 * CHOOSE(CONTROL!$C$15, $E$9, 100%, $G$9) + CHOOSE(CONTROL!$C$38, 0.0342, 0)</f>
        <v>41.902499999999996</v>
      </c>
      <c r="H578" s="17">
        <f>41.8683 * CHOOSE(CONTROL!$C$15, $E$9, 100%, $G$9) + CHOOSE(CONTROL!$C$38, 0.0342, 0)</f>
        <v>41.902499999999996</v>
      </c>
      <c r="I578" s="17">
        <f>41.8699 * CHOOSE(CONTROL!$C$15, $E$9, 100%, $G$9) + CHOOSE(CONTROL!$C$38, 0.0342, 0)</f>
        <v>41.9041</v>
      </c>
      <c r="J578" s="44">
        <f>330.507</f>
        <v>330.50700000000001</v>
      </c>
    </row>
    <row r="579" spans="1:10" ht="15.75" x14ac:dyDescent="0.25">
      <c r="A579" s="13">
        <v>58561</v>
      </c>
      <c r="B579" s="17">
        <f>43.6854 * CHOOSE(CONTROL!$C$15, $E$9, 100%, $G$9) + CHOOSE(CONTROL!$C$38, 0.034, 0)</f>
        <v>43.7194</v>
      </c>
      <c r="C579" s="17">
        <f>41.0976 * CHOOSE(CONTROL!$C$15, $E$9, 100%, $G$9) + CHOOSE(CONTROL!$C$38, 0.0342, 0)</f>
        <v>41.131799999999998</v>
      </c>
      <c r="D579" s="17">
        <f>41.0898 * CHOOSE(CONTROL!$C$15, $E$9, 100%, $G$9) + CHOOSE(CONTROL!$C$38, 0.0342, 0)</f>
        <v>41.123999999999995</v>
      </c>
      <c r="E579" s="17">
        <f>41.0898 * CHOOSE(CONTROL!$C$15, $E$9, 100%, $G$9) + CHOOSE(CONTROL!$C$38, 0.0342, 0)</f>
        <v>41.123999999999995</v>
      </c>
      <c r="F579" s="45">
        <f>43.6854 * CHOOSE(CONTROL!$C$15, $E$9, 100%, $G$9) + CHOOSE(CONTROL!$C$38, 0.034, 0)</f>
        <v>43.7194</v>
      </c>
      <c r="G579" s="17">
        <f>41.096 * CHOOSE(CONTROL!$C$15, $E$9, 100%, $G$9) + CHOOSE(CONTROL!$C$38, 0.0342, 0)</f>
        <v>41.130199999999995</v>
      </c>
      <c r="H579" s="17">
        <f>41.096 * CHOOSE(CONTROL!$C$15, $E$9, 100%, $G$9) + CHOOSE(CONTROL!$C$38, 0.0342, 0)</f>
        <v>41.130199999999995</v>
      </c>
      <c r="I579" s="17">
        <f>41.0976 * CHOOSE(CONTROL!$C$15, $E$9, 100%, $G$9) + CHOOSE(CONTROL!$C$38, 0.0342, 0)</f>
        <v>41.131799999999998</v>
      </c>
      <c r="J579" s="44">
        <f>351.9651</f>
        <v>351.96510000000001</v>
      </c>
    </row>
    <row r="580" spans="1:10" ht="15.75" x14ac:dyDescent="0.25">
      <c r="A580" s="13">
        <v>58592</v>
      </c>
      <c r="B580" s="17">
        <f>42.8804 * CHOOSE(CONTROL!$C$15, $E$9, 100%, $G$9) + CHOOSE(CONTROL!$C$38, 0.0353, 0)</f>
        <v>42.915700000000001</v>
      </c>
      <c r="C580" s="17">
        <f>40.2926 * CHOOSE(CONTROL!$C$15, $E$9, 100%, $G$9) + CHOOSE(CONTROL!$C$38, 0.0354, 0)</f>
        <v>40.328000000000003</v>
      </c>
      <c r="D580" s="17">
        <f>40.2848 * CHOOSE(CONTROL!$C$15, $E$9, 100%, $G$9) + CHOOSE(CONTROL!$C$38, 0.0354, 0)</f>
        <v>40.3202</v>
      </c>
      <c r="E580" s="17">
        <f>40.2848 * CHOOSE(CONTROL!$C$15, $E$9, 100%, $G$9) + CHOOSE(CONTROL!$C$38, 0.0354, 0)</f>
        <v>40.3202</v>
      </c>
      <c r="F580" s="45">
        <f>42.8804 * CHOOSE(CONTROL!$C$15, $E$9, 100%, $G$9) + CHOOSE(CONTROL!$C$38, 0.0353, 0)</f>
        <v>42.915700000000001</v>
      </c>
      <c r="G580" s="17">
        <f>40.2911 * CHOOSE(CONTROL!$C$15, $E$9, 100%, $G$9) + CHOOSE(CONTROL!$C$38, 0.0354, 0)</f>
        <v>40.326500000000003</v>
      </c>
      <c r="H580" s="17">
        <f>40.2911 * CHOOSE(CONTROL!$C$15, $E$9, 100%, $G$9) + CHOOSE(CONTROL!$C$38, 0.0354, 0)</f>
        <v>40.326500000000003</v>
      </c>
      <c r="I580" s="17">
        <f>40.2926 * CHOOSE(CONTROL!$C$15, $E$9, 100%, $G$9) + CHOOSE(CONTROL!$C$38, 0.0354, 0)</f>
        <v>40.328000000000003</v>
      </c>
      <c r="J580" s="44">
        <f>363.7764</f>
        <v>363.77640000000002</v>
      </c>
    </row>
    <row r="581" spans="1:10" ht="15.75" x14ac:dyDescent="0.25">
      <c r="A581" s="13">
        <v>58622</v>
      </c>
      <c r="B581" s="17">
        <f>42.3161 * CHOOSE(CONTROL!$C$15, $E$9, 100%, $G$9) + CHOOSE(CONTROL!$C$38, 0.0353, 0)</f>
        <v>42.351399999999998</v>
      </c>
      <c r="C581" s="17">
        <f>39.7283 * CHOOSE(CONTROL!$C$15, $E$9, 100%, $G$9) + CHOOSE(CONTROL!$C$38, 0.0354, 0)</f>
        <v>39.7637</v>
      </c>
      <c r="D581" s="17">
        <f>39.7205 * CHOOSE(CONTROL!$C$15, $E$9, 100%, $G$9) + CHOOSE(CONTROL!$C$38, 0.0354, 0)</f>
        <v>39.755900000000004</v>
      </c>
      <c r="E581" s="17">
        <f>39.7205 * CHOOSE(CONTROL!$C$15, $E$9, 100%, $G$9) + CHOOSE(CONTROL!$C$38, 0.0354, 0)</f>
        <v>39.755900000000004</v>
      </c>
      <c r="F581" s="45">
        <f>42.3161 * CHOOSE(CONTROL!$C$15, $E$9, 100%, $G$9) + CHOOSE(CONTROL!$C$38, 0.0353, 0)</f>
        <v>42.351399999999998</v>
      </c>
      <c r="G581" s="17">
        <f>39.7267 * CHOOSE(CONTROL!$C$15, $E$9, 100%, $G$9) + CHOOSE(CONTROL!$C$38, 0.0354, 0)</f>
        <v>39.762100000000004</v>
      </c>
      <c r="H581" s="17">
        <f>39.7267 * CHOOSE(CONTROL!$C$15, $E$9, 100%, $G$9) + CHOOSE(CONTROL!$C$38, 0.0354, 0)</f>
        <v>39.762100000000004</v>
      </c>
      <c r="I581" s="17">
        <f>39.7283 * CHOOSE(CONTROL!$C$15, $E$9, 100%, $G$9) + CHOOSE(CONTROL!$C$38, 0.0354, 0)</f>
        <v>39.7637</v>
      </c>
      <c r="J581" s="44">
        <f>369.018</f>
        <v>369.01799999999997</v>
      </c>
    </row>
    <row r="582" spans="1:10" ht="15.75" x14ac:dyDescent="0.25">
      <c r="A582" s="13">
        <v>58653</v>
      </c>
      <c r="B582" s="17">
        <f>41.994 * CHOOSE(CONTROL!$C$15, $E$9, 100%, $G$9) + CHOOSE(CONTROL!$C$38, 0.0353, 0)</f>
        <v>42.029299999999999</v>
      </c>
      <c r="C582" s="17">
        <f>39.4062 * CHOOSE(CONTROL!$C$15, $E$9, 100%, $G$9) + CHOOSE(CONTROL!$C$38, 0.0354, 0)</f>
        <v>39.441600000000001</v>
      </c>
      <c r="D582" s="17">
        <f>39.3984 * CHOOSE(CONTROL!$C$15, $E$9, 100%, $G$9) + CHOOSE(CONTROL!$C$38, 0.0354, 0)</f>
        <v>39.433800000000005</v>
      </c>
      <c r="E582" s="17">
        <f>39.3984 * CHOOSE(CONTROL!$C$15, $E$9, 100%, $G$9) + CHOOSE(CONTROL!$C$38, 0.0354, 0)</f>
        <v>39.433800000000005</v>
      </c>
      <c r="F582" s="45">
        <f>41.994 * CHOOSE(CONTROL!$C$15, $E$9, 100%, $G$9) + CHOOSE(CONTROL!$C$38, 0.0353, 0)</f>
        <v>42.029299999999999</v>
      </c>
      <c r="G582" s="17">
        <f>39.4047 * CHOOSE(CONTROL!$C$15, $E$9, 100%, $G$9) + CHOOSE(CONTROL!$C$38, 0.0354, 0)</f>
        <v>39.440100000000001</v>
      </c>
      <c r="H582" s="17">
        <f>39.4047 * CHOOSE(CONTROL!$C$15, $E$9, 100%, $G$9) + CHOOSE(CONTROL!$C$38, 0.0354, 0)</f>
        <v>39.440100000000001</v>
      </c>
      <c r="I582" s="17">
        <f>39.4062 * CHOOSE(CONTROL!$C$15, $E$9, 100%, $G$9) + CHOOSE(CONTROL!$C$38, 0.0354, 0)</f>
        <v>39.441600000000001</v>
      </c>
      <c r="J582" s="44">
        <f>367.2922</f>
        <v>367.29219999999998</v>
      </c>
    </row>
    <row r="583" spans="1:10" ht="15.75" x14ac:dyDescent="0.25">
      <c r="A583" s="13">
        <v>58684</v>
      </c>
      <c r="B583" s="17">
        <f>42.153 * CHOOSE(CONTROL!$C$15, $E$9, 100%, $G$9) + CHOOSE(CONTROL!$C$38, 0.0353, 0)</f>
        <v>42.188299999999998</v>
      </c>
      <c r="C583" s="17">
        <f>39.5652 * CHOOSE(CONTROL!$C$15, $E$9, 100%, $G$9) + CHOOSE(CONTROL!$C$38, 0.0354, 0)</f>
        <v>39.6006</v>
      </c>
      <c r="D583" s="17">
        <f>39.5574 * CHOOSE(CONTROL!$C$15, $E$9, 100%, $G$9) + CHOOSE(CONTROL!$C$38, 0.0354, 0)</f>
        <v>39.592800000000004</v>
      </c>
      <c r="E583" s="17">
        <f>39.5574 * CHOOSE(CONTROL!$C$15, $E$9, 100%, $G$9) + CHOOSE(CONTROL!$C$38, 0.0354, 0)</f>
        <v>39.592800000000004</v>
      </c>
      <c r="F583" s="45">
        <f>42.153 * CHOOSE(CONTROL!$C$15, $E$9, 100%, $G$9) + CHOOSE(CONTROL!$C$38, 0.0353, 0)</f>
        <v>42.188299999999998</v>
      </c>
      <c r="G583" s="17">
        <f>39.5636 * CHOOSE(CONTROL!$C$15, $E$9, 100%, $G$9) + CHOOSE(CONTROL!$C$38, 0.0354, 0)</f>
        <v>39.599000000000004</v>
      </c>
      <c r="H583" s="17">
        <f>39.5636 * CHOOSE(CONTROL!$C$15, $E$9, 100%, $G$9) + CHOOSE(CONTROL!$C$38, 0.0354, 0)</f>
        <v>39.599000000000004</v>
      </c>
      <c r="I583" s="17">
        <f>39.5652 * CHOOSE(CONTROL!$C$15, $E$9, 100%, $G$9) + CHOOSE(CONTROL!$C$38, 0.0354, 0)</f>
        <v>39.6006</v>
      </c>
      <c r="J583" s="44">
        <f>358.7418</f>
        <v>358.74180000000001</v>
      </c>
    </row>
    <row r="584" spans="1:10" ht="15.75" x14ac:dyDescent="0.25">
      <c r="A584" s="13">
        <v>58714</v>
      </c>
      <c r="B584" s="17">
        <f>42.5847 * CHOOSE(CONTROL!$C$15, $E$9, 100%, $G$9) + CHOOSE(CONTROL!$C$38, 0.0353, 0)</f>
        <v>42.62</v>
      </c>
      <c r="C584" s="17">
        <f>39.9969 * CHOOSE(CONTROL!$C$15, $E$9, 100%, $G$9) + CHOOSE(CONTROL!$C$38, 0.0354, 0)</f>
        <v>40.032299999999999</v>
      </c>
      <c r="D584" s="17">
        <f>39.9891 * CHOOSE(CONTROL!$C$15, $E$9, 100%, $G$9) + CHOOSE(CONTROL!$C$38, 0.0354, 0)</f>
        <v>40.024500000000003</v>
      </c>
      <c r="E584" s="17">
        <f>39.9891 * CHOOSE(CONTROL!$C$15, $E$9, 100%, $G$9) + CHOOSE(CONTROL!$C$38, 0.0354, 0)</f>
        <v>40.024500000000003</v>
      </c>
      <c r="F584" s="45">
        <f>42.5847 * CHOOSE(CONTROL!$C$15, $E$9, 100%, $G$9) + CHOOSE(CONTROL!$C$38, 0.0353, 0)</f>
        <v>42.62</v>
      </c>
      <c r="G584" s="17">
        <f>39.9953 * CHOOSE(CONTROL!$C$15, $E$9, 100%, $G$9) + CHOOSE(CONTROL!$C$38, 0.0354, 0)</f>
        <v>40.030700000000003</v>
      </c>
      <c r="H584" s="17">
        <f>39.9953 * CHOOSE(CONTROL!$C$15, $E$9, 100%, $G$9) + CHOOSE(CONTROL!$C$38, 0.0354, 0)</f>
        <v>40.030700000000003</v>
      </c>
      <c r="I584" s="17">
        <f>39.9969 * CHOOSE(CONTROL!$C$15, $E$9, 100%, $G$9) + CHOOSE(CONTROL!$C$38, 0.0354, 0)</f>
        <v>40.032299999999999</v>
      </c>
      <c r="J584" s="44">
        <f>346.8178</f>
        <v>346.81779999999998</v>
      </c>
    </row>
    <row r="585" spans="1:10" ht="15.75" x14ac:dyDescent="0.25">
      <c r="A585" s="13">
        <v>58745</v>
      </c>
      <c r="B585" s="17">
        <f>42.9463 * CHOOSE(CONTROL!$C$15, $E$9, 100%, $G$9) + CHOOSE(CONTROL!$C$38, 0.034, 0)</f>
        <v>42.9803</v>
      </c>
      <c r="C585" s="17">
        <f>40.3585 * CHOOSE(CONTROL!$C$15, $E$9, 100%, $G$9) + CHOOSE(CONTROL!$C$38, 0.0342, 0)</f>
        <v>40.392699999999998</v>
      </c>
      <c r="D585" s="17">
        <f>40.3506 * CHOOSE(CONTROL!$C$15, $E$9, 100%, $G$9) + CHOOSE(CONTROL!$C$38, 0.0342, 0)</f>
        <v>40.384799999999998</v>
      </c>
      <c r="E585" s="17">
        <f>40.3506 * CHOOSE(CONTROL!$C$15, $E$9, 100%, $G$9) + CHOOSE(CONTROL!$C$38, 0.0342, 0)</f>
        <v>40.384799999999998</v>
      </c>
      <c r="F585" s="45">
        <f>42.9463 * CHOOSE(CONTROL!$C$15, $E$9, 100%, $G$9) + CHOOSE(CONTROL!$C$38, 0.034, 0)</f>
        <v>42.9803</v>
      </c>
      <c r="G585" s="17">
        <f>40.3569 * CHOOSE(CONTROL!$C$15, $E$9, 100%, $G$9) + CHOOSE(CONTROL!$C$38, 0.0342, 0)</f>
        <v>40.391100000000002</v>
      </c>
      <c r="H585" s="17">
        <f>40.3569 * CHOOSE(CONTROL!$C$15, $E$9, 100%, $G$9) + CHOOSE(CONTROL!$C$38, 0.0342, 0)</f>
        <v>40.391100000000002</v>
      </c>
      <c r="I585" s="17">
        <f>40.3585 * CHOOSE(CONTROL!$C$15, $E$9, 100%, $G$9) + CHOOSE(CONTROL!$C$38, 0.0342, 0)</f>
        <v>40.392699999999998</v>
      </c>
      <c r="J585" s="44">
        <f>334.8245</f>
        <v>334.8245</v>
      </c>
    </row>
    <row r="586" spans="1:10" ht="15.75" x14ac:dyDescent="0.25">
      <c r="A586" s="13">
        <v>58775</v>
      </c>
      <c r="B586" s="17">
        <f>43.248 * CHOOSE(CONTROL!$C$15, $E$9, 100%, $G$9) + CHOOSE(CONTROL!$C$38, 0.034, 0)</f>
        <v>43.281999999999996</v>
      </c>
      <c r="C586" s="17">
        <f>40.6602 * CHOOSE(CONTROL!$C$15, $E$9, 100%, $G$9) + CHOOSE(CONTROL!$C$38, 0.0342, 0)</f>
        <v>40.694400000000002</v>
      </c>
      <c r="D586" s="17">
        <f>40.6523 * CHOOSE(CONTROL!$C$15, $E$9, 100%, $G$9) + CHOOSE(CONTROL!$C$38, 0.0342, 0)</f>
        <v>40.686499999999995</v>
      </c>
      <c r="E586" s="17">
        <f>40.6523 * CHOOSE(CONTROL!$C$15, $E$9, 100%, $G$9) + CHOOSE(CONTROL!$C$38, 0.0342, 0)</f>
        <v>40.686499999999995</v>
      </c>
      <c r="F586" s="45">
        <f>43.248 * CHOOSE(CONTROL!$C$15, $E$9, 100%, $G$9) + CHOOSE(CONTROL!$C$38, 0.034, 0)</f>
        <v>43.281999999999996</v>
      </c>
      <c r="G586" s="17">
        <f>40.6586 * CHOOSE(CONTROL!$C$15, $E$9, 100%, $G$9) + CHOOSE(CONTROL!$C$38, 0.0342, 0)</f>
        <v>40.692799999999998</v>
      </c>
      <c r="H586" s="17">
        <f>40.6586 * CHOOSE(CONTROL!$C$15, $E$9, 100%, $G$9) + CHOOSE(CONTROL!$C$38, 0.0342, 0)</f>
        <v>40.692799999999998</v>
      </c>
      <c r="I586" s="17">
        <f>40.6602 * CHOOSE(CONTROL!$C$15, $E$9, 100%, $G$9) + CHOOSE(CONTROL!$C$38, 0.0342, 0)</f>
        <v>40.694400000000002</v>
      </c>
      <c r="J586" s="44">
        <f>332.4388</f>
        <v>332.43880000000001</v>
      </c>
    </row>
    <row r="587" spans="1:10" ht="15.75" x14ac:dyDescent="0.25">
      <c r="A587" s="13">
        <v>58806</v>
      </c>
      <c r="B587" s="17">
        <f>44.1776 * CHOOSE(CONTROL!$C$15, $E$9, 100%, $G$9) + CHOOSE(CONTROL!$C$38, 0.034, 0)</f>
        <v>44.211599999999997</v>
      </c>
      <c r="C587" s="17">
        <f>41.5898 * CHOOSE(CONTROL!$C$15, $E$9, 100%, $G$9) + CHOOSE(CONTROL!$C$38, 0.0342, 0)</f>
        <v>41.623999999999995</v>
      </c>
      <c r="D587" s="17">
        <f>41.582 * CHOOSE(CONTROL!$C$15, $E$9, 100%, $G$9) + CHOOSE(CONTROL!$C$38, 0.0342, 0)</f>
        <v>41.616199999999999</v>
      </c>
      <c r="E587" s="17">
        <f>41.582 * CHOOSE(CONTROL!$C$15, $E$9, 100%, $G$9) + CHOOSE(CONTROL!$C$38, 0.0342, 0)</f>
        <v>41.616199999999999</v>
      </c>
      <c r="F587" s="45">
        <f>44.1776 * CHOOSE(CONTROL!$C$15, $E$9, 100%, $G$9) + CHOOSE(CONTROL!$C$38, 0.034, 0)</f>
        <v>44.211599999999997</v>
      </c>
      <c r="G587" s="17">
        <f>41.5883 * CHOOSE(CONTROL!$C$15, $E$9, 100%, $G$9) + CHOOSE(CONTROL!$C$38, 0.0342, 0)</f>
        <v>41.622499999999995</v>
      </c>
      <c r="H587" s="17">
        <f>41.5883 * CHOOSE(CONTROL!$C$15, $E$9, 100%, $G$9) + CHOOSE(CONTROL!$C$38, 0.0342, 0)</f>
        <v>41.622499999999995</v>
      </c>
      <c r="I587" s="17">
        <f>41.5898 * CHOOSE(CONTROL!$C$15, $E$9, 100%, $G$9) + CHOOSE(CONTROL!$C$38, 0.0342, 0)</f>
        <v>41.623999999999995</v>
      </c>
      <c r="J587" s="44">
        <f>322.5737</f>
        <v>322.57369999999997</v>
      </c>
    </row>
    <row r="588" spans="1:10" ht="15.75" x14ac:dyDescent="0.25">
      <c r="A588" s="13">
        <v>58837</v>
      </c>
      <c r="B588" s="17">
        <f>45.6289 * CHOOSE(CONTROL!$C$15, $E$9, 100%, $G$9) + CHOOSE(CONTROL!$C$38, 0.034, 0)</f>
        <v>45.6629</v>
      </c>
      <c r="C588" s="17">
        <f>43.0002 * CHOOSE(CONTROL!$C$15, $E$9, 100%, $G$9) + CHOOSE(CONTROL!$C$38, 0.0342, 0)</f>
        <v>43.034399999999998</v>
      </c>
      <c r="D588" s="17">
        <f>42.9924 * CHOOSE(CONTROL!$C$15, $E$9, 100%, $G$9) + CHOOSE(CONTROL!$C$38, 0.0342, 0)</f>
        <v>43.026600000000002</v>
      </c>
      <c r="E588" s="17">
        <f>42.9924 * CHOOSE(CONTROL!$C$15, $E$9, 100%, $G$9) + CHOOSE(CONTROL!$C$38, 0.0342, 0)</f>
        <v>43.026600000000002</v>
      </c>
      <c r="F588" s="45">
        <f>45.6289 * CHOOSE(CONTROL!$C$15, $E$9, 100%, $G$9) + CHOOSE(CONTROL!$C$38, 0.034, 0)</f>
        <v>45.6629</v>
      </c>
      <c r="G588" s="17">
        <f>42.9987 * CHOOSE(CONTROL!$C$15, $E$9, 100%, $G$9) + CHOOSE(CONTROL!$C$38, 0.0342, 0)</f>
        <v>43.032899999999998</v>
      </c>
      <c r="H588" s="17">
        <f>42.9987 * CHOOSE(CONTROL!$C$15, $E$9, 100%, $G$9) + CHOOSE(CONTROL!$C$38, 0.0342, 0)</f>
        <v>43.032899999999998</v>
      </c>
      <c r="I588" s="17">
        <f>43.0002 * CHOOSE(CONTROL!$C$15, $E$9, 100%, $G$9) + CHOOSE(CONTROL!$C$38, 0.0342, 0)</f>
        <v>43.034399999999998</v>
      </c>
      <c r="J588" s="44">
        <f>322.3408</f>
        <v>322.3408</v>
      </c>
    </row>
    <row r="589" spans="1:10" ht="15.75" x14ac:dyDescent="0.25">
      <c r="A589" s="13">
        <v>58865</v>
      </c>
      <c r="B589" s="17">
        <f>45.9732 * CHOOSE(CONTROL!$C$15, $E$9, 100%, $G$9) + CHOOSE(CONTROL!$C$38, 0.034, 0)</f>
        <v>46.007199999999997</v>
      </c>
      <c r="C589" s="17">
        <f>43.3446 * CHOOSE(CONTROL!$C$15, $E$9, 100%, $G$9) + CHOOSE(CONTROL!$C$38, 0.0342, 0)</f>
        <v>43.378799999999998</v>
      </c>
      <c r="D589" s="17">
        <f>43.3367 * CHOOSE(CONTROL!$C$15, $E$9, 100%, $G$9) + CHOOSE(CONTROL!$C$38, 0.0342, 0)</f>
        <v>43.370899999999999</v>
      </c>
      <c r="E589" s="17">
        <f>43.3367 * CHOOSE(CONTROL!$C$15, $E$9, 100%, $G$9) + CHOOSE(CONTROL!$C$38, 0.0342, 0)</f>
        <v>43.370899999999999</v>
      </c>
      <c r="F589" s="45">
        <f>45.9732 * CHOOSE(CONTROL!$C$15, $E$9, 100%, $G$9) + CHOOSE(CONTROL!$C$38, 0.034, 0)</f>
        <v>46.007199999999997</v>
      </c>
      <c r="G589" s="17">
        <f>43.343 * CHOOSE(CONTROL!$C$15, $E$9, 100%, $G$9) + CHOOSE(CONTROL!$C$38, 0.0342, 0)</f>
        <v>43.377200000000002</v>
      </c>
      <c r="H589" s="17">
        <f>43.343 * CHOOSE(CONTROL!$C$15, $E$9, 100%, $G$9) + CHOOSE(CONTROL!$C$38, 0.0342, 0)</f>
        <v>43.377200000000002</v>
      </c>
      <c r="I589" s="17">
        <f>43.3446 * CHOOSE(CONTROL!$C$15, $E$9, 100%, $G$9) + CHOOSE(CONTROL!$C$38, 0.0342, 0)</f>
        <v>43.378799999999998</v>
      </c>
      <c r="J589" s="44">
        <f>321.4448</f>
        <v>321.44479999999999</v>
      </c>
    </row>
    <row r="590" spans="1:10" ht="15.75" x14ac:dyDescent="0.25">
      <c r="A590" s="13">
        <v>58893</v>
      </c>
      <c r="B590" s="17">
        <f>45.1762 * CHOOSE(CONTROL!$C$15, $E$9, 100%, $G$9) + CHOOSE(CONTROL!$C$38, 0.034, 0)</f>
        <v>45.2102</v>
      </c>
      <c r="C590" s="17">
        <f>42.5475 * CHOOSE(CONTROL!$C$15, $E$9, 100%, $G$9) + CHOOSE(CONTROL!$C$38, 0.0342, 0)</f>
        <v>42.581699999999998</v>
      </c>
      <c r="D590" s="17">
        <f>42.5397 * CHOOSE(CONTROL!$C$15, $E$9, 100%, $G$9) + CHOOSE(CONTROL!$C$38, 0.0342, 0)</f>
        <v>42.573900000000002</v>
      </c>
      <c r="E590" s="17">
        <f>42.5397 * CHOOSE(CONTROL!$C$15, $E$9, 100%, $G$9) + CHOOSE(CONTROL!$C$38, 0.0342, 0)</f>
        <v>42.573900000000002</v>
      </c>
      <c r="F590" s="45">
        <f>45.1762 * CHOOSE(CONTROL!$C$15, $E$9, 100%, $G$9) + CHOOSE(CONTROL!$C$38, 0.034, 0)</f>
        <v>45.2102</v>
      </c>
      <c r="G590" s="17">
        <f>42.546 * CHOOSE(CONTROL!$C$15, $E$9, 100%, $G$9) + CHOOSE(CONTROL!$C$38, 0.0342, 0)</f>
        <v>42.580199999999998</v>
      </c>
      <c r="H590" s="17">
        <f>42.546 * CHOOSE(CONTROL!$C$15, $E$9, 100%, $G$9) + CHOOSE(CONTROL!$C$38, 0.0342, 0)</f>
        <v>42.580199999999998</v>
      </c>
      <c r="I590" s="17">
        <f>42.5475 * CHOOSE(CONTROL!$C$15, $E$9, 100%, $G$9) + CHOOSE(CONTROL!$C$38, 0.0342, 0)</f>
        <v>42.581699999999998</v>
      </c>
      <c r="J590" s="44">
        <f>338.3868</f>
        <v>338.38679999999999</v>
      </c>
    </row>
    <row r="591" spans="1:10" ht="15.75" x14ac:dyDescent="0.25">
      <c r="A591" s="13">
        <v>58926</v>
      </c>
      <c r="B591" s="17">
        <f>44.4039 * CHOOSE(CONTROL!$C$15, $E$9, 100%, $G$9) + CHOOSE(CONTROL!$C$38, 0.034, 0)</f>
        <v>44.437899999999999</v>
      </c>
      <c r="C591" s="17">
        <f>41.7752 * CHOOSE(CONTROL!$C$15, $E$9, 100%, $G$9) + CHOOSE(CONTROL!$C$38, 0.0342, 0)</f>
        <v>41.809399999999997</v>
      </c>
      <c r="D591" s="17">
        <f>41.7674 * CHOOSE(CONTROL!$C$15, $E$9, 100%, $G$9) + CHOOSE(CONTROL!$C$38, 0.0342, 0)</f>
        <v>41.801600000000001</v>
      </c>
      <c r="E591" s="17">
        <f>41.7674 * CHOOSE(CONTROL!$C$15, $E$9, 100%, $G$9) + CHOOSE(CONTROL!$C$38, 0.0342, 0)</f>
        <v>41.801600000000001</v>
      </c>
      <c r="F591" s="45">
        <f>44.4039 * CHOOSE(CONTROL!$C$15, $E$9, 100%, $G$9) + CHOOSE(CONTROL!$C$38, 0.034, 0)</f>
        <v>44.437899999999999</v>
      </c>
      <c r="G591" s="17">
        <f>41.7736 * CHOOSE(CONTROL!$C$15, $E$9, 100%, $G$9) + CHOOSE(CONTROL!$C$38, 0.0342, 0)</f>
        <v>41.8078</v>
      </c>
      <c r="H591" s="17">
        <f>41.7736 * CHOOSE(CONTROL!$C$15, $E$9, 100%, $G$9) + CHOOSE(CONTROL!$C$38, 0.0342, 0)</f>
        <v>41.8078</v>
      </c>
      <c r="I591" s="17">
        <f>41.7752 * CHOOSE(CONTROL!$C$15, $E$9, 100%, $G$9) + CHOOSE(CONTROL!$C$38, 0.0342, 0)</f>
        <v>41.809399999999997</v>
      </c>
      <c r="J591" s="44">
        <f>360.3565</f>
        <v>360.35649999999998</v>
      </c>
    </row>
    <row r="592" spans="1:10" ht="15.75" x14ac:dyDescent="0.25">
      <c r="A592" s="13">
        <v>58957</v>
      </c>
      <c r="B592" s="17">
        <f>43.5989 * CHOOSE(CONTROL!$C$15, $E$9, 100%, $G$9) + CHOOSE(CONTROL!$C$38, 0.0353, 0)</f>
        <v>43.6342</v>
      </c>
      <c r="C592" s="17">
        <f>40.9703 * CHOOSE(CONTROL!$C$15, $E$9, 100%, $G$9) + CHOOSE(CONTROL!$C$38, 0.0354, 0)</f>
        <v>41.005700000000004</v>
      </c>
      <c r="D592" s="17">
        <f>40.9624 * CHOOSE(CONTROL!$C$15, $E$9, 100%, $G$9) + CHOOSE(CONTROL!$C$38, 0.0354, 0)</f>
        <v>40.997800000000005</v>
      </c>
      <c r="E592" s="17">
        <f>40.9624 * CHOOSE(CONTROL!$C$15, $E$9, 100%, $G$9) + CHOOSE(CONTROL!$C$38, 0.0354, 0)</f>
        <v>40.997800000000005</v>
      </c>
      <c r="F592" s="45">
        <f>43.5989 * CHOOSE(CONTROL!$C$15, $E$9, 100%, $G$9) + CHOOSE(CONTROL!$C$38, 0.0353, 0)</f>
        <v>43.6342</v>
      </c>
      <c r="G592" s="17">
        <f>40.9687 * CHOOSE(CONTROL!$C$15, $E$9, 100%, $G$9) + CHOOSE(CONTROL!$C$38, 0.0354, 0)</f>
        <v>41.004100000000001</v>
      </c>
      <c r="H592" s="17">
        <f>40.9687 * CHOOSE(CONTROL!$C$15, $E$9, 100%, $G$9) + CHOOSE(CONTROL!$C$38, 0.0354, 0)</f>
        <v>41.004100000000001</v>
      </c>
      <c r="I592" s="17">
        <f>40.9703 * CHOOSE(CONTROL!$C$15, $E$9, 100%, $G$9) + CHOOSE(CONTROL!$C$38, 0.0354, 0)</f>
        <v>41.005700000000004</v>
      </c>
      <c r="J592" s="44">
        <f>372.4494</f>
        <v>372.44940000000003</v>
      </c>
    </row>
    <row r="593" spans="1:11" ht="15.75" x14ac:dyDescent="0.25">
      <c r="A593" s="13">
        <v>58987</v>
      </c>
      <c r="B593" s="17">
        <f>43.0346 * CHOOSE(CONTROL!$C$15, $E$9, 100%, $G$9) + CHOOSE(CONTROL!$C$38, 0.0353, 0)</f>
        <v>43.069899999999997</v>
      </c>
      <c r="C593" s="17">
        <f>40.4059 * CHOOSE(CONTROL!$C$15, $E$9, 100%, $G$9) + CHOOSE(CONTROL!$C$38, 0.0354, 0)</f>
        <v>40.441300000000005</v>
      </c>
      <c r="D593" s="17">
        <f>40.3981 * CHOOSE(CONTROL!$C$15, $E$9, 100%, $G$9) + CHOOSE(CONTROL!$C$38, 0.0354, 0)</f>
        <v>40.433500000000002</v>
      </c>
      <c r="E593" s="17">
        <f>40.3981 * CHOOSE(CONTROL!$C$15, $E$9, 100%, $G$9) + CHOOSE(CONTROL!$C$38, 0.0354, 0)</f>
        <v>40.433500000000002</v>
      </c>
      <c r="F593" s="45">
        <f>43.0346 * CHOOSE(CONTROL!$C$15, $E$9, 100%, $G$9) + CHOOSE(CONTROL!$C$38, 0.0353, 0)</f>
        <v>43.069899999999997</v>
      </c>
      <c r="G593" s="17">
        <f>40.4044 * CHOOSE(CONTROL!$C$15, $E$9, 100%, $G$9) + CHOOSE(CONTROL!$C$38, 0.0354, 0)</f>
        <v>40.439800000000005</v>
      </c>
      <c r="H593" s="17">
        <f>40.4044 * CHOOSE(CONTROL!$C$15, $E$9, 100%, $G$9) + CHOOSE(CONTROL!$C$38, 0.0354, 0)</f>
        <v>40.439800000000005</v>
      </c>
      <c r="I593" s="17">
        <f>40.4059 * CHOOSE(CONTROL!$C$15, $E$9, 100%, $G$9) + CHOOSE(CONTROL!$C$38, 0.0354, 0)</f>
        <v>40.441300000000005</v>
      </c>
      <c r="J593" s="44">
        <f>377.8159</f>
        <v>377.8159</v>
      </c>
    </row>
    <row r="594" spans="1:11" ht="15.75" x14ac:dyDescent="0.25">
      <c r="A594" s="13">
        <v>59018</v>
      </c>
      <c r="B594" s="17">
        <f>42.7125 * CHOOSE(CONTROL!$C$15, $E$9, 100%, $G$9) + CHOOSE(CONTROL!$C$38, 0.0353, 0)</f>
        <v>42.747799999999998</v>
      </c>
      <c r="C594" s="17">
        <f>40.0839 * CHOOSE(CONTROL!$C$15, $E$9, 100%, $G$9) + CHOOSE(CONTROL!$C$38, 0.0354, 0)</f>
        <v>40.119300000000003</v>
      </c>
      <c r="D594" s="17">
        <f>40.076 * CHOOSE(CONTROL!$C$15, $E$9, 100%, $G$9) + CHOOSE(CONTROL!$C$38, 0.0354, 0)</f>
        <v>40.111400000000003</v>
      </c>
      <c r="E594" s="17">
        <f>40.076 * CHOOSE(CONTROL!$C$15, $E$9, 100%, $G$9) + CHOOSE(CONTROL!$C$38, 0.0354, 0)</f>
        <v>40.111400000000003</v>
      </c>
      <c r="F594" s="45">
        <f>42.7125 * CHOOSE(CONTROL!$C$15, $E$9, 100%, $G$9) + CHOOSE(CONTROL!$C$38, 0.0353, 0)</f>
        <v>42.747799999999998</v>
      </c>
      <c r="G594" s="17">
        <f>40.0823 * CHOOSE(CONTROL!$C$15, $E$9, 100%, $G$9) + CHOOSE(CONTROL!$C$38, 0.0354, 0)</f>
        <v>40.117699999999999</v>
      </c>
      <c r="H594" s="17">
        <f>40.0823 * CHOOSE(CONTROL!$C$15, $E$9, 100%, $G$9) + CHOOSE(CONTROL!$C$38, 0.0354, 0)</f>
        <v>40.117699999999999</v>
      </c>
      <c r="I594" s="17">
        <f>40.0839 * CHOOSE(CONTROL!$C$15, $E$9, 100%, $G$9) + CHOOSE(CONTROL!$C$38, 0.0354, 0)</f>
        <v>40.119300000000003</v>
      </c>
      <c r="J594" s="44">
        <f>376.049</f>
        <v>376.04899999999998</v>
      </c>
    </row>
    <row r="595" spans="1:11" ht="15.75" x14ac:dyDescent="0.25">
      <c r="A595" s="13">
        <v>59049</v>
      </c>
      <c r="B595" s="17">
        <f>42.8714 * CHOOSE(CONTROL!$C$15, $E$9, 100%, $G$9) + CHOOSE(CONTROL!$C$38, 0.0353, 0)</f>
        <v>42.906700000000001</v>
      </c>
      <c r="C595" s="17">
        <f>40.2428 * CHOOSE(CONTROL!$C$15, $E$9, 100%, $G$9) + CHOOSE(CONTROL!$C$38, 0.0354, 0)</f>
        <v>40.278200000000005</v>
      </c>
      <c r="D595" s="17">
        <f>40.235 * CHOOSE(CONTROL!$C$15, $E$9, 100%, $G$9) + CHOOSE(CONTROL!$C$38, 0.0354, 0)</f>
        <v>40.270400000000002</v>
      </c>
      <c r="E595" s="17">
        <f>40.235 * CHOOSE(CONTROL!$C$15, $E$9, 100%, $G$9) + CHOOSE(CONTROL!$C$38, 0.0354, 0)</f>
        <v>40.270400000000002</v>
      </c>
      <c r="F595" s="45">
        <f>42.8714 * CHOOSE(CONTROL!$C$15, $E$9, 100%, $G$9) + CHOOSE(CONTROL!$C$38, 0.0353, 0)</f>
        <v>42.906700000000001</v>
      </c>
      <c r="G595" s="17">
        <f>40.2412 * CHOOSE(CONTROL!$C$15, $E$9, 100%, $G$9) + CHOOSE(CONTROL!$C$38, 0.0354, 0)</f>
        <v>40.276600000000002</v>
      </c>
      <c r="H595" s="17">
        <f>40.2412 * CHOOSE(CONTROL!$C$15, $E$9, 100%, $G$9) + CHOOSE(CONTROL!$C$38, 0.0354, 0)</f>
        <v>40.276600000000002</v>
      </c>
      <c r="I595" s="17">
        <f>40.2428 * CHOOSE(CONTROL!$C$15, $E$9, 100%, $G$9) + CHOOSE(CONTROL!$C$38, 0.0354, 0)</f>
        <v>40.278200000000005</v>
      </c>
      <c r="J595" s="44">
        <f>367.2947</f>
        <v>367.29469999999998</v>
      </c>
    </row>
    <row r="596" spans="1:11" ht="15.75" x14ac:dyDescent="0.25">
      <c r="A596" s="13">
        <v>59079</v>
      </c>
      <c r="B596" s="17">
        <f>43.3032 * CHOOSE(CONTROL!$C$15, $E$9, 100%, $G$9) + CHOOSE(CONTROL!$C$38, 0.0353, 0)</f>
        <v>43.338499999999996</v>
      </c>
      <c r="C596" s="17">
        <f>40.6745 * CHOOSE(CONTROL!$C$15, $E$9, 100%, $G$9) + CHOOSE(CONTROL!$C$38, 0.0354, 0)</f>
        <v>40.709900000000005</v>
      </c>
      <c r="D596" s="17">
        <f>40.6667 * CHOOSE(CONTROL!$C$15, $E$9, 100%, $G$9) + CHOOSE(CONTROL!$C$38, 0.0354, 0)</f>
        <v>40.702100000000002</v>
      </c>
      <c r="E596" s="17">
        <f>40.6667 * CHOOSE(CONTROL!$C$15, $E$9, 100%, $G$9) + CHOOSE(CONTROL!$C$38, 0.0354, 0)</f>
        <v>40.702100000000002</v>
      </c>
      <c r="F596" s="45">
        <f>43.3032 * CHOOSE(CONTROL!$C$15, $E$9, 100%, $G$9) + CHOOSE(CONTROL!$C$38, 0.0353, 0)</f>
        <v>43.338499999999996</v>
      </c>
      <c r="G596" s="17">
        <f>40.673 * CHOOSE(CONTROL!$C$15, $E$9, 100%, $G$9) + CHOOSE(CONTROL!$C$38, 0.0354, 0)</f>
        <v>40.708400000000005</v>
      </c>
      <c r="H596" s="17">
        <f>40.673 * CHOOSE(CONTROL!$C$15, $E$9, 100%, $G$9) + CHOOSE(CONTROL!$C$38, 0.0354, 0)</f>
        <v>40.708400000000005</v>
      </c>
      <c r="I596" s="17">
        <f>40.6745 * CHOOSE(CONTROL!$C$15, $E$9, 100%, $G$9) + CHOOSE(CONTROL!$C$38, 0.0354, 0)</f>
        <v>40.709900000000005</v>
      </c>
      <c r="J596" s="44">
        <f>355.0865</f>
        <v>355.0865</v>
      </c>
    </row>
    <row r="597" spans="1:11" ht="15.75" x14ac:dyDescent="0.25">
      <c r="A597" s="13">
        <v>59110</v>
      </c>
      <c r="B597" s="17">
        <f>43.6647 * CHOOSE(CONTROL!$C$15, $E$9, 100%, $G$9) + CHOOSE(CONTROL!$C$38, 0.034, 0)</f>
        <v>43.698700000000002</v>
      </c>
      <c r="C597" s="17">
        <f>41.0361 * CHOOSE(CONTROL!$C$15, $E$9, 100%, $G$9) + CHOOSE(CONTROL!$C$38, 0.0342, 0)</f>
        <v>41.070299999999996</v>
      </c>
      <c r="D597" s="17">
        <f>41.0283 * CHOOSE(CONTROL!$C$15, $E$9, 100%, $G$9) + CHOOSE(CONTROL!$C$38, 0.0342, 0)</f>
        <v>41.0625</v>
      </c>
      <c r="E597" s="17">
        <f>41.0283 * CHOOSE(CONTROL!$C$15, $E$9, 100%, $G$9) + CHOOSE(CONTROL!$C$38, 0.0342, 0)</f>
        <v>41.0625</v>
      </c>
      <c r="F597" s="45">
        <f>43.6647 * CHOOSE(CONTROL!$C$15, $E$9, 100%, $G$9) + CHOOSE(CONTROL!$C$38, 0.034, 0)</f>
        <v>43.698700000000002</v>
      </c>
      <c r="G597" s="17">
        <f>41.0345 * CHOOSE(CONTROL!$C$15, $E$9, 100%, $G$9) + CHOOSE(CONTROL!$C$38, 0.0342, 0)</f>
        <v>41.0687</v>
      </c>
      <c r="H597" s="17">
        <f>41.0345 * CHOOSE(CONTROL!$C$15, $E$9, 100%, $G$9) + CHOOSE(CONTROL!$C$38, 0.0342, 0)</f>
        <v>41.0687</v>
      </c>
      <c r="I597" s="17">
        <f>41.0361 * CHOOSE(CONTROL!$C$15, $E$9, 100%, $G$9) + CHOOSE(CONTROL!$C$38, 0.0342, 0)</f>
        <v>41.070299999999996</v>
      </c>
      <c r="J597" s="44">
        <f>342.8072</f>
        <v>342.80720000000002</v>
      </c>
    </row>
    <row r="598" spans="1:11" ht="15.75" x14ac:dyDescent="0.25">
      <c r="A598" s="13">
        <v>59140</v>
      </c>
      <c r="B598" s="17">
        <f>43.9664 * CHOOSE(CONTROL!$C$15, $E$9, 100%, $G$9) + CHOOSE(CONTROL!$C$38, 0.034, 0)</f>
        <v>44.000399999999999</v>
      </c>
      <c r="C598" s="17">
        <f>41.3378 * CHOOSE(CONTROL!$C$15, $E$9, 100%, $G$9) + CHOOSE(CONTROL!$C$38, 0.0342, 0)</f>
        <v>41.372</v>
      </c>
      <c r="D598" s="17">
        <f>41.33 * CHOOSE(CONTROL!$C$15, $E$9, 100%, $G$9) + CHOOSE(CONTROL!$C$38, 0.0342, 0)</f>
        <v>41.364199999999997</v>
      </c>
      <c r="E598" s="17">
        <f>41.33 * CHOOSE(CONTROL!$C$15, $E$9, 100%, $G$9) + CHOOSE(CONTROL!$C$38, 0.0342, 0)</f>
        <v>41.364199999999997</v>
      </c>
      <c r="F598" s="45">
        <f>43.9664 * CHOOSE(CONTROL!$C$15, $E$9, 100%, $G$9) + CHOOSE(CONTROL!$C$38, 0.034, 0)</f>
        <v>44.000399999999999</v>
      </c>
      <c r="G598" s="17">
        <f>41.3362 * CHOOSE(CONTROL!$C$15, $E$9, 100%, $G$9) + CHOOSE(CONTROL!$C$38, 0.0342, 0)</f>
        <v>41.370399999999997</v>
      </c>
      <c r="H598" s="17">
        <f>41.3362 * CHOOSE(CONTROL!$C$15, $E$9, 100%, $G$9) + CHOOSE(CONTROL!$C$38, 0.0342, 0)</f>
        <v>41.370399999999997</v>
      </c>
      <c r="I598" s="17">
        <f>41.3378 * CHOOSE(CONTROL!$C$15, $E$9, 100%, $G$9) + CHOOSE(CONTROL!$C$38, 0.0342, 0)</f>
        <v>41.372</v>
      </c>
      <c r="J598" s="44">
        <f>340.3647</f>
        <v>340.36470000000003</v>
      </c>
    </row>
    <row r="599" spans="1:11" ht="15.75" x14ac:dyDescent="0.25">
      <c r="A599" s="13">
        <v>59171</v>
      </c>
      <c r="B599" s="17">
        <f>44.8961 * CHOOSE(CONTROL!$C$15, $E$9, 100%, $G$9) + CHOOSE(CONTROL!$C$38, 0.034, 0)</f>
        <v>44.930099999999996</v>
      </c>
      <c r="C599" s="17">
        <f>42.2674 * CHOOSE(CONTROL!$C$15, $E$9, 100%, $G$9) + CHOOSE(CONTROL!$C$38, 0.0342, 0)</f>
        <v>42.301600000000001</v>
      </c>
      <c r="D599" s="17">
        <f>42.2596 * CHOOSE(CONTROL!$C$15, $E$9, 100%, $G$9) + CHOOSE(CONTROL!$C$38, 0.0342, 0)</f>
        <v>42.293799999999997</v>
      </c>
      <c r="E599" s="17">
        <f>42.2596 * CHOOSE(CONTROL!$C$15, $E$9, 100%, $G$9) + CHOOSE(CONTROL!$C$38, 0.0342, 0)</f>
        <v>42.293799999999997</v>
      </c>
      <c r="F599" s="45">
        <f>44.8961 * CHOOSE(CONTROL!$C$15, $E$9, 100%, $G$9) + CHOOSE(CONTROL!$C$38, 0.034, 0)</f>
        <v>44.930099999999996</v>
      </c>
      <c r="G599" s="17">
        <f>42.2659 * CHOOSE(CONTROL!$C$15, $E$9, 100%, $G$9) + CHOOSE(CONTROL!$C$38, 0.0342, 0)</f>
        <v>42.3001</v>
      </c>
      <c r="H599" s="17">
        <f>42.2659 * CHOOSE(CONTROL!$C$15, $E$9, 100%, $G$9) + CHOOSE(CONTROL!$C$38, 0.0342, 0)</f>
        <v>42.3001</v>
      </c>
      <c r="I599" s="17">
        <f>42.2674 * CHOOSE(CONTROL!$C$15, $E$9, 100%, $G$9) + CHOOSE(CONTROL!$C$38, 0.0342, 0)</f>
        <v>42.301600000000001</v>
      </c>
      <c r="J599" s="44">
        <f>330.2643</f>
        <v>330.26429999999999</v>
      </c>
    </row>
    <row r="600" spans="1:11" ht="15" x14ac:dyDescent="0.2">
      <c r="A600" s="12"/>
      <c r="B600" s="17"/>
      <c r="C600" s="17"/>
      <c r="D600" s="17"/>
      <c r="E600" s="17"/>
      <c r="F600" s="17"/>
      <c r="G600" s="17"/>
      <c r="H600" s="17"/>
      <c r="I600" s="17"/>
    </row>
    <row r="601" spans="1:11" ht="15" x14ac:dyDescent="0.2">
      <c r="A601" s="11">
        <v>2013</v>
      </c>
      <c r="B601" s="17">
        <f t="shared" ref="B601:J601" si="0">AVERAGE(B12:B23)</f>
        <v>17.536392280938966</v>
      </c>
      <c r="C601" s="17">
        <f t="shared" si="0"/>
        <v>16.613960998806906</v>
      </c>
      <c r="D601" s="17">
        <f t="shared" si="0"/>
        <v>16.606158915473571</v>
      </c>
      <c r="E601" s="17">
        <f t="shared" si="0"/>
        <v>16.606158915473571</v>
      </c>
      <c r="F601" s="17">
        <f t="shared" si="0"/>
        <v>17.252904748806909</v>
      </c>
      <c r="G601" s="17">
        <f t="shared" si="0"/>
        <v>16.612408915473573</v>
      </c>
      <c r="H601" s="17">
        <f t="shared" si="0"/>
        <v>16.612408915473573</v>
      </c>
      <c r="I601" s="17">
        <f t="shared" si="0"/>
        <v>16.613960998806906</v>
      </c>
      <c r="J601" s="17">
        <f t="shared" si="0"/>
        <v>96.502499999999998</v>
      </c>
      <c r="K601" s="17"/>
    </row>
    <row r="602" spans="1:11" ht="15" x14ac:dyDescent="0.2">
      <c r="A602" s="11">
        <v>2014</v>
      </c>
      <c r="B602" s="17">
        <f t="shared" ref="B602:J602" si="1">AVERAGE(B24:B35)</f>
        <v>16.864541666666664</v>
      </c>
      <c r="C602" s="17">
        <f t="shared" si="1"/>
        <v>15.803400000000002</v>
      </c>
      <c r="D602" s="17">
        <f t="shared" si="1"/>
        <v>15.795599999999999</v>
      </c>
      <c r="E602" s="17">
        <f t="shared" si="1"/>
        <v>15.795599999999999</v>
      </c>
      <c r="F602" s="17">
        <f t="shared" si="1"/>
        <v>16.864541666666664</v>
      </c>
      <c r="G602" s="17">
        <f t="shared" si="1"/>
        <v>15.801900000000002</v>
      </c>
      <c r="H602" s="17">
        <f t="shared" si="1"/>
        <v>15.801900000000002</v>
      </c>
      <c r="I602" s="17">
        <f t="shared" si="1"/>
        <v>15.803400000000002</v>
      </c>
      <c r="J602" s="17">
        <f t="shared" si="1"/>
        <v>94.191666666666663</v>
      </c>
      <c r="K602" s="17"/>
    </row>
    <row r="603" spans="1:11" ht="15" x14ac:dyDescent="0.2">
      <c r="A603" s="11">
        <v>2015</v>
      </c>
      <c r="B603" s="17">
        <f t="shared" ref="B603:J603" si="2">AVERAGE(B36:B47)</f>
        <v>16.391941666666664</v>
      </c>
      <c r="C603" s="17">
        <f t="shared" si="2"/>
        <v>15.284308333333335</v>
      </c>
      <c r="D603" s="17">
        <f t="shared" si="2"/>
        <v>15.276491666666667</v>
      </c>
      <c r="E603" s="17">
        <f t="shared" si="2"/>
        <v>15.276491666666667</v>
      </c>
      <c r="F603" s="17">
        <f t="shared" si="2"/>
        <v>16.391941666666664</v>
      </c>
      <c r="G603" s="17">
        <f t="shared" si="2"/>
        <v>15.282741666666666</v>
      </c>
      <c r="H603" s="17">
        <f t="shared" si="2"/>
        <v>15.282741666666666</v>
      </c>
      <c r="I603" s="17">
        <f t="shared" si="2"/>
        <v>15.284308333333335</v>
      </c>
      <c r="J603" s="17">
        <f t="shared" si="2"/>
        <v>90.077499999999986</v>
      </c>
      <c r="K603" s="17"/>
    </row>
    <row r="604" spans="1:11" ht="15" x14ac:dyDescent="0.2">
      <c r="A604" s="11">
        <v>2016</v>
      </c>
      <c r="B604" s="17">
        <f t="shared" ref="B604:J604" si="3">AVERAGE(B48:B59)</f>
        <v>16.44144166666667</v>
      </c>
      <c r="C604" s="17">
        <f t="shared" si="3"/>
        <v>15.599833333333336</v>
      </c>
      <c r="D604" s="17">
        <f t="shared" si="3"/>
        <v>15.592016666666666</v>
      </c>
      <c r="E604" s="17">
        <f t="shared" si="3"/>
        <v>15.592016666666666</v>
      </c>
      <c r="F604" s="17">
        <f t="shared" si="3"/>
        <v>16.44144166666667</v>
      </c>
      <c r="G604" s="17">
        <f t="shared" si="3"/>
        <v>15.598258333333332</v>
      </c>
      <c r="H604" s="17">
        <f t="shared" si="3"/>
        <v>15.598258333333332</v>
      </c>
      <c r="I604" s="17">
        <f t="shared" si="3"/>
        <v>15.599833333333336</v>
      </c>
      <c r="J604" s="17">
        <f t="shared" si="3"/>
        <v>96.515016666666654</v>
      </c>
      <c r="K604" s="17"/>
    </row>
    <row r="605" spans="1:11" ht="15" x14ac:dyDescent="0.2">
      <c r="A605" s="11">
        <v>2017</v>
      </c>
      <c r="B605" s="17">
        <f t="shared" ref="B605:J605" si="4">AVERAGE(B60:B71)</f>
        <v>16.390766666666668</v>
      </c>
      <c r="C605" s="17">
        <f t="shared" si="4"/>
        <v>15.557074999999998</v>
      </c>
      <c r="D605" s="17">
        <f t="shared" si="4"/>
        <v>15.549258333333334</v>
      </c>
      <c r="E605" s="17">
        <f t="shared" si="4"/>
        <v>15.549258333333334</v>
      </c>
      <c r="F605" s="17">
        <f t="shared" si="4"/>
        <v>16.390766666666668</v>
      </c>
      <c r="G605" s="17">
        <f t="shared" si="4"/>
        <v>15.555516666666664</v>
      </c>
      <c r="H605" s="17">
        <f t="shared" si="4"/>
        <v>15.555516666666664</v>
      </c>
      <c r="I605" s="17">
        <f t="shared" si="4"/>
        <v>15.557074999999998</v>
      </c>
      <c r="J605" s="17">
        <f t="shared" si="4"/>
        <v>96.78691666666667</v>
      </c>
      <c r="K605" s="17"/>
    </row>
    <row r="606" spans="1:11" ht="15" x14ac:dyDescent="0.2">
      <c r="A606" s="11">
        <v>2018</v>
      </c>
      <c r="B606" s="17">
        <f t="shared" ref="B606:J606" si="5">AVERAGE(B72:B83)</f>
        <v>17.537958333333332</v>
      </c>
      <c r="C606" s="17">
        <f t="shared" si="5"/>
        <v>16.987833333333331</v>
      </c>
      <c r="D606" s="17">
        <f t="shared" si="5"/>
        <v>16.980016666666661</v>
      </c>
      <c r="E606" s="17">
        <f t="shared" si="5"/>
        <v>16.980016666666661</v>
      </c>
      <c r="F606" s="17">
        <f t="shared" si="5"/>
        <v>17.537958333333332</v>
      </c>
      <c r="G606" s="17">
        <f t="shared" si="5"/>
        <v>16.986258333333332</v>
      </c>
      <c r="H606" s="17">
        <f t="shared" si="5"/>
        <v>16.986258333333332</v>
      </c>
      <c r="I606" s="17">
        <f t="shared" si="5"/>
        <v>16.987833333333331</v>
      </c>
      <c r="J606" s="17">
        <f t="shared" si="5"/>
        <v>110.97778333333333</v>
      </c>
      <c r="K606" s="17"/>
    </row>
    <row r="607" spans="1:11" ht="15" x14ac:dyDescent="0.2">
      <c r="A607" s="11">
        <v>2019</v>
      </c>
      <c r="B607" s="17">
        <f t="shared" ref="B607:J607" si="6">AVERAGE(B84:B95)</f>
        <v>17.929366666666663</v>
      </c>
      <c r="C607" s="17">
        <f t="shared" si="6"/>
        <v>17.352574999999998</v>
      </c>
      <c r="D607" s="17">
        <f t="shared" si="6"/>
        <v>17.344774999999998</v>
      </c>
      <c r="E607" s="17">
        <f t="shared" si="6"/>
        <v>17.344774999999998</v>
      </c>
      <c r="F607" s="17">
        <f t="shared" si="6"/>
        <v>17.929366666666663</v>
      </c>
      <c r="G607" s="17">
        <f t="shared" si="6"/>
        <v>17.351033333333334</v>
      </c>
      <c r="H607" s="17">
        <f t="shared" si="6"/>
        <v>17.351033333333334</v>
      </c>
      <c r="I607" s="17">
        <f t="shared" si="6"/>
        <v>17.352574999999998</v>
      </c>
      <c r="J607" s="17">
        <f t="shared" si="6"/>
        <v>113.54529166666664</v>
      </c>
      <c r="K607" s="17"/>
    </row>
    <row r="608" spans="1:11" ht="15" x14ac:dyDescent="0.2">
      <c r="A608" s="11">
        <v>2020</v>
      </c>
      <c r="B608" s="17">
        <f t="shared" ref="B608:J608" si="7">AVERAGE(B96:B107)</f>
        <v>18.432508333333327</v>
      </c>
      <c r="C608" s="17">
        <f t="shared" si="7"/>
        <v>17.668741666666666</v>
      </c>
      <c r="D608" s="17">
        <f t="shared" si="7"/>
        <v>17.660925000000002</v>
      </c>
      <c r="E608" s="17">
        <f t="shared" si="7"/>
        <v>17.660925000000002</v>
      </c>
      <c r="F608" s="17">
        <f t="shared" si="7"/>
        <v>18.432508333333327</v>
      </c>
      <c r="G608" s="17">
        <f t="shared" si="7"/>
        <v>17.66718333333333</v>
      </c>
      <c r="H608" s="17">
        <f t="shared" si="7"/>
        <v>17.66718333333333</v>
      </c>
      <c r="I608" s="17">
        <f t="shared" si="7"/>
        <v>17.668741666666666</v>
      </c>
      <c r="J608" s="17">
        <f t="shared" si="7"/>
        <v>116.09694166666668</v>
      </c>
      <c r="K608" s="17"/>
    </row>
    <row r="609" spans="1:11" ht="15" x14ac:dyDescent="0.2">
      <c r="A609" s="11">
        <v>2021</v>
      </c>
      <c r="B609" s="17">
        <f t="shared" ref="B609:J609" si="8">AVERAGE(B108:B119)</f>
        <v>19.455799999999996</v>
      </c>
      <c r="C609" s="17">
        <f t="shared" si="8"/>
        <v>18.363824999999999</v>
      </c>
      <c r="D609" s="17">
        <f t="shared" si="8"/>
        <v>18.355999999999998</v>
      </c>
      <c r="E609" s="17">
        <f t="shared" si="8"/>
        <v>18.355999999999998</v>
      </c>
      <c r="F609" s="17">
        <f t="shared" si="8"/>
        <v>19.455799999999996</v>
      </c>
      <c r="G609" s="17">
        <f t="shared" si="8"/>
        <v>18.362258333333333</v>
      </c>
      <c r="H609" s="17">
        <f t="shared" si="8"/>
        <v>18.362258333333333</v>
      </c>
      <c r="I609" s="17">
        <f t="shared" si="8"/>
        <v>18.363824999999999</v>
      </c>
      <c r="J609" s="17">
        <f t="shared" si="8"/>
        <v>122.04310000000002</v>
      </c>
      <c r="K609" s="17"/>
    </row>
    <row r="610" spans="1:11" ht="15" x14ac:dyDescent="0.2">
      <c r="A610" s="11">
        <v>2022</v>
      </c>
      <c r="B610" s="17">
        <f t="shared" ref="B610:J610" si="9">AVERAGE(B120:B131)</f>
        <v>20.300966666666664</v>
      </c>
      <c r="C610" s="17">
        <f t="shared" si="9"/>
        <v>19.193508333333334</v>
      </c>
      <c r="D610" s="17">
        <f t="shared" si="9"/>
        <v>19.185708333333331</v>
      </c>
      <c r="E610" s="17">
        <f t="shared" si="9"/>
        <v>19.185708333333331</v>
      </c>
      <c r="F610" s="17">
        <f t="shared" si="9"/>
        <v>20.300966666666664</v>
      </c>
      <c r="G610" s="17">
        <f t="shared" si="9"/>
        <v>19.191966666666662</v>
      </c>
      <c r="H610" s="17">
        <f t="shared" si="9"/>
        <v>19.191966666666662</v>
      </c>
      <c r="I610" s="17">
        <f t="shared" si="9"/>
        <v>19.193508333333334</v>
      </c>
      <c r="J610" s="17">
        <f t="shared" si="9"/>
        <v>128.26641666666669</v>
      </c>
      <c r="K610" s="17"/>
    </row>
    <row r="611" spans="1:11" ht="15" x14ac:dyDescent="0.2">
      <c r="A611" s="11">
        <v>2023</v>
      </c>
      <c r="B611" s="17">
        <f t="shared" ref="B611:J611" si="10">AVERAGE(B132:B143)</f>
        <v>21.406566666666663</v>
      </c>
      <c r="C611" s="17">
        <f t="shared" si="10"/>
        <v>20.145883333333334</v>
      </c>
      <c r="D611" s="17">
        <f t="shared" si="10"/>
        <v>20.138083333333331</v>
      </c>
      <c r="E611" s="17">
        <f t="shared" si="10"/>
        <v>20.138083333333331</v>
      </c>
      <c r="F611" s="17">
        <f t="shared" si="10"/>
        <v>21.406566666666663</v>
      </c>
      <c r="G611" s="17">
        <f t="shared" si="10"/>
        <v>20.144350000000003</v>
      </c>
      <c r="H611" s="17">
        <f t="shared" si="10"/>
        <v>20.144350000000003</v>
      </c>
      <c r="I611" s="17">
        <f t="shared" si="10"/>
        <v>20.145883333333334</v>
      </c>
      <c r="J611" s="17">
        <f t="shared" si="10"/>
        <v>134.81869166666667</v>
      </c>
      <c r="K611" s="17"/>
    </row>
    <row r="612" spans="1:11" ht="15" x14ac:dyDescent="0.2">
      <c r="A612" s="11">
        <v>2024</v>
      </c>
      <c r="B612" s="17">
        <f t="shared" ref="B612:J612" si="11">AVERAGE(B144:B155)</f>
        <v>22.549141666666667</v>
      </c>
      <c r="C612" s="17">
        <f t="shared" si="11"/>
        <v>21.108391666666662</v>
      </c>
      <c r="D612" s="17">
        <f t="shared" si="11"/>
        <v>21.100575000000003</v>
      </c>
      <c r="E612" s="17">
        <f t="shared" si="11"/>
        <v>21.100575000000003</v>
      </c>
      <c r="F612" s="17">
        <f t="shared" si="11"/>
        <v>22.549141666666667</v>
      </c>
      <c r="G612" s="17">
        <f t="shared" si="11"/>
        <v>21.106833333333331</v>
      </c>
      <c r="H612" s="17">
        <f t="shared" si="11"/>
        <v>21.106833333333331</v>
      </c>
      <c r="I612" s="17">
        <f t="shared" si="11"/>
        <v>21.108391666666662</v>
      </c>
      <c r="J612" s="17">
        <f t="shared" si="11"/>
        <v>141.68727499999997</v>
      </c>
      <c r="K612" s="17"/>
    </row>
    <row r="613" spans="1:11" ht="15" x14ac:dyDescent="0.2">
      <c r="A613" s="11">
        <v>2025</v>
      </c>
      <c r="B613" s="17">
        <f t="shared" ref="B613:J613" si="12">AVERAGE(B156:B167)</f>
        <v>23.69819166666667</v>
      </c>
      <c r="C613" s="17">
        <f t="shared" si="12"/>
        <v>22.084658333333326</v>
      </c>
      <c r="D613" s="17">
        <f t="shared" si="12"/>
        <v>22.076858333333334</v>
      </c>
      <c r="E613" s="17">
        <f t="shared" si="12"/>
        <v>22.076858333333334</v>
      </c>
      <c r="F613" s="17">
        <f t="shared" si="12"/>
        <v>23.69819166666667</v>
      </c>
      <c r="G613" s="17">
        <f t="shared" si="12"/>
        <v>22.083116666666665</v>
      </c>
      <c r="H613" s="17">
        <f t="shared" si="12"/>
        <v>22.083116666666665</v>
      </c>
      <c r="I613" s="17">
        <f t="shared" si="12"/>
        <v>22.084658333333326</v>
      </c>
      <c r="J613" s="17">
        <f t="shared" si="12"/>
        <v>148.89970833333334</v>
      </c>
      <c r="K613" s="17"/>
    </row>
    <row r="614" spans="1:11" ht="15" x14ac:dyDescent="0.2">
      <c r="A614" s="11">
        <v>2026</v>
      </c>
      <c r="B614" s="17">
        <f t="shared" ref="B614:J614" si="13">AVERAGE(B168:B179)</f>
        <v>24.246858333333336</v>
      </c>
      <c r="C614" s="17">
        <f t="shared" si="13"/>
        <v>22.613083333333332</v>
      </c>
      <c r="D614" s="17">
        <f t="shared" si="13"/>
        <v>22.605274999999995</v>
      </c>
      <c r="E614" s="17">
        <f t="shared" si="13"/>
        <v>22.605274999999995</v>
      </c>
      <c r="F614" s="17">
        <f t="shared" si="13"/>
        <v>24.246858333333336</v>
      </c>
      <c r="G614" s="17">
        <f t="shared" si="13"/>
        <v>22.611541666666668</v>
      </c>
      <c r="H614" s="17">
        <f t="shared" si="13"/>
        <v>22.611541666666668</v>
      </c>
      <c r="I614" s="17">
        <f t="shared" si="13"/>
        <v>22.613083333333332</v>
      </c>
      <c r="J614" s="17">
        <f t="shared" si="13"/>
        <v>152.65115</v>
      </c>
      <c r="K614" s="17"/>
    </row>
    <row r="615" spans="1:11" ht="15" x14ac:dyDescent="0.2">
      <c r="A615" s="11">
        <v>2027</v>
      </c>
      <c r="B615" s="17">
        <f t="shared" ref="B615:J615" si="14">AVERAGE(B180:B191)</f>
        <v>24.852674999999994</v>
      </c>
      <c r="C615" s="17">
        <f t="shared" si="14"/>
        <v>23.198458333333331</v>
      </c>
      <c r="D615" s="17">
        <f t="shared" si="14"/>
        <v>23.190649999999994</v>
      </c>
      <c r="E615" s="17">
        <f t="shared" si="14"/>
        <v>23.190649999999994</v>
      </c>
      <c r="F615" s="17">
        <f t="shared" si="14"/>
        <v>24.852674999999994</v>
      </c>
      <c r="G615" s="17">
        <f t="shared" si="14"/>
        <v>23.19693333333333</v>
      </c>
      <c r="H615" s="17">
        <f t="shared" si="14"/>
        <v>23.19693333333333</v>
      </c>
      <c r="I615" s="17">
        <f t="shared" si="14"/>
        <v>23.198458333333331</v>
      </c>
      <c r="J615" s="17">
        <f t="shared" si="14"/>
        <v>156.49708333333334</v>
      </c>
      <c r="K615" s="17"/>
    </row>
    <row r="616" spans="1:11" ht="15" x14ac:dyDescent="0.2">
      <c r="A616" s="11">
        <v>2028</v>
      </c>
      <c r="B616" s="17">
        <f t="shared" ref="B616:J616" si="15">AVERAGE(B192:B203)</f>
        <v>25.408275</v>
      </c>
      <c r="C616" s="17">
        <f t="shared" si="15"/>
        <v>23.735149999999994</v>
      </c>
      <c r="D616" s="17">
        <f t="shared" si="15"/>
        <v>23.727341666666664</v>
      </c>
      <c r="E616" s="17">
        <f t="shared" si="15"/>
        <v>23.727341666666664</v>
      </c>
      <c r="F616" s="17">
        <f t="shared" si="15"/>
        <v>25.408275</v>
      </c>
      <c r="G616" s="17">
        <f t="shared" si="15"/>
        <v>23.73363333333333</v>
      </c>
      <c r="H616" s="17">
        <f t="shared" si="15"/>
        <v>23.73363333333333</v>
      </c>
      <c r="I616" s="17">
        <f t="shared" si="15"/>
        <v>23.735149999999994</v>
      </c>
      <c r="J616" s="17">
        <f t="shared" si="15"/>
        <v>160.43992499999999</v>
      </c>
      <c r="K616" s="17"/>
    </row>
    <row r="617" spans="1:11" ht="15" x14ac:dyDescent="0.2">
      <c r="A617" s="11">
        <v>2029</v>
      </c>
      <c r="B617" s="17">
        <f t="shared" ref="B617:J617" si="16">AVERAGE(B204:B215)</f>
        <v>26.047241666666665</v>
      </c>
      <c r="C617" s="17">
        <f t="shared" si="16"/>
        <v>24.352691666666669</v>
      </c>
      <c r="D617" s="17">
        <f t="shared" si="16"/>
        <v>24.344866666666665</v>
      </c>
      <c r="E617" s="17">
        <f t="shared" si="16"/>
        <v>24.344866666666665</v>
      </c>
      <c r="F617" s="17">
        <f t="shared" si="16"/>
        <v>26.047241666666665</v>
      </c>
      <c r="G617" s="17">
        <f t="shared" si="16"/>
        <v>24.351091666666662</v>
      </c>
      <c r="H617" s="17">
        <f t="shared" si="16"/>
        <v>24.351091666666662</v>
      </c>
      <c r="I617" s="17">
        <f t="shared" si="16"/>
        <v>24.352691666666669</v>
      </c>
      <c r="J617" s="17">
        <f t="shared" si="16"/>
        <v>164.48208333333332</v>
      </c>
      <c r="K617" s="17"/>
    </row>
    <row r="618" spans="1:11" ht="15" x14ac:dyDescent="0.2">
      <c r="A618" s="11">
        <v>2030</v>
      </c>
      <c r="B618" s="17">
        <f t="shared" ref="B618:J618" si="17">AVERAGE(B216:B227)</f>
        <v>26.49945</v>
      </c>
      <c r="C618" s="17">
        <f t="shared" si="17"/>
        <v>24.873566666666672</v>
      </c>
      <c r="D618" s="17">
        <f t="shared" si="17"/>
        <v>24.865758333333332</v>
      </c>
      <c r="E618" s="17">
        <f t="shared" si="17"/>
        <v>24.865758333333332</v>
      </c>
      <c r="F618" s="17">
        <f t="shared" si="17"/>
        <v>26.49945</v>
      </c>
      <c r="G618" s="17">
        <f t="shared" si="17"/>
        <v>24.871991666666663</v>
      </c>
      <c r="H618" s="17">
        <f t="shared" si="17"/>
        <v>24.871991666666663</v>
      </c>
      <c r="I618" s="17">
        <f t="shared" si="17"/>
        <v>24.873566666666672</v>
      </c>
      <c r="J618" s="17">
        <f t="shared" si="17"/>
        <v>168.20167500000002</v>
      </c>
      <c r="K618" s="17"/>
    </row>
    <row r="619" spans="1:11" ht="15" x14ac:dyDescent="0.2">
      <c r="A619" s="11">
        <v>2031</v>
      </c>
      <c r="B619" s="17">
        <f t="shared" ref="B619:J619" si="18">AVERAGE(B228:B239)</f>
        <v>27.032016666666667</v>
      </c>
      <c r="C619" s="17">
        <f t="shared" si="18"/>
        <v>25.37606666666667</v>
      </c>
      <c r="D619" s="17">
        <f t="shared" si="18"/>
        <v>25.368241666666666</v>
      </c>
      <c r="E619" s="17">
        <f t="shared" si="18"/>
        <v>25.368241666666666</v>
      </c>
      <c r="F619" s="17">
        <f t="shared" si="18"/>
        <v>27.032016666666667</v>
      </c>
      <c r="G619" s="17">
        <f t="shared" si="18"/>
        <v>25.374499999999998</v>
      </c>
      <c r="H619" s="17">
        <f t="shared" si="18"/>
        <v>25.374499999999998</v>
      </c>
      <c r="I619" s="17">
        <f t="shared" si="18"/>
        <v>25.37606666666667</v>
      </c>
      <c r="J619" s="17">
        <f t="shared" si="18"/>
        <v>172.80959166666665</v>
      </c>
      <c r="K619" s="17"/>
    </row>
    <row r="620" spans="1:11" ht="15" x14ac:dyDescent="0.2">
      <c r="A620" s="11">
        <v>2032</v>
      </c>
      <c r="B620" s="17">
        <f t="shared" ref="B620:J620" si="19">AVERAGE(B240:B251)</f>
        <v>27.475208333333327</v>
      </c>
      <c r="C620" s="17">
        <f t="shared" si="19"/>
        <v>25.794041666666661</v>
      </c>
      <c r="D620" s="17">
        <f t="shared" si="19"/>
        <v>25.786224999999998</v>
      </c>
      <c r="E620" s="17">
        <f t="shared" si="19"/>
        <v>25.786224999999998</v>
      </c>
      <c r="F620" s="17">
        <f t="shared" si="19"/>
        <v>27.475208333333327</v>
      </c>
      <c r="G620" s="17">
        <f t="shared" si="19"/>
        <v>25.792475</v>
      </c>
      <c r="H620" s="17">
        <f t="shared" si="19"/>
        <v>25.792475</v>
      </c>
      <c r="I620" s="17">
        <f t="shared" si="19"/>
        <v>25.794041666666661</v>
      </c>
      <c r="J620" s="17">
        <f t="shared" si="19"/>
        <v>176.9296333333333</v>
      </c>
      <c r="K620" s="17"/>
    </row>
    <row r="621" spans="1:11" ht="15" x14ac:dyDescent="0.2">
      <c r="A621" s="11">
        <v>2033</v>
      </c>
      <c r="B621" s="17">
        <f t="shared" ref="B621:J621" si="20">AVERAGE(B252:B263)</f>
        <v>27.925841666666667</v>
      </c>
      <c r="C621" s="17">
        <f t="shared" si="20"/>
        <v>26.219049999999996</v>
      </c>
      <c r="D621" s="17">
        <f t="shared" si="20"/>
        <v>26.211225000000002</v>
      </c>
      <c r="E621" s="17">
        <f t="shared" si="20"/>
        <v>26.211225000000002</v>
      </c>
      <c r="F621" s="17">
        <f t="shared" si="20"/>
        <v>27.925841666666667</v>
      </c>
      <c r="G621" s="17">
        <f t="shared" si="20"/>
        <v>26.217474999999997</v>
      </c>
      <c r="H621" s="17">
        <f t="shared" si="20"/>
        <v>26.217474999999997</v>
      </c>
      <c r="I621" s="17">
        <f t="shared" si="20"/>
        <v>26.219049999999996</v>
      </c>
      <c r="J621" s="17">
        <f t="shared" si="20"/>
        <v>181.14788333333334</v>
      </c>
      <c r="K621" s="17"/>
    </row>
    <row r="622" spans="1:11" ht="15" x14ac:dyDescent="0.2">
      <c r="A622" s="11">
        <v>2034</v>
      </c>
      <c r="B622" s="17">
        <f t="shared" ref="B622:J622" si="21">AVERAGE(B264:B275)</f>
        <v>28.384041666666672</v>
      </c>
      <c r="C622" s="17">
        <f t="shared" si="21"/>
        <v>26.651199999999999</v>
      </c>
      <c r="D622" s="17">
        <f t="shared" si="21"/>
        <v>26.643375000000002</v>
      </c>
      <c r="E622" s="17">
        <f t="shared" si="21"/>
        <v>26.643375000000002</v>
      </c>
      <c r="F622" s="17">
        <f t="shared" si="21"/>
        <v>28.384041666666672</v>
      </c>
      <c r="G622" s="17">
        <f t="shared" si="21"/>
        <v>26.649625</v>
      </c>
      <c r="H622" s="17">
        <f t="shared" si="21"/>
        <v>26.649625</v>
      </c>
      <c r="I622" s="17">
        <f t="shared" si="21"/>
        <v>26.651199999999999</v>
      </c>
      <c r="J622" s="17">
        <f t="shared" si="21"/>
        <v>185.46673333333331</v>
      </c>
      <c r="K622" s="17"/>
    </row>
    <row r="623" spans="1:11" ht="15" x14ac:dyDescent="0.2">
      <c r="A623" s="11">
        <v>2035</v>
      </c>
      <c r="B623" s="17">
        <f t="shared" ref="B623:J623" si="22">AVERAGE(B276:B287)</f>
        <v>28.849916666666672</v>
      </c>
      <c r="C623" s="17">
        <f t="shared" si="22"/>
        <v>27.090608333333332</v>
      </c>
      <c r="D623" s="17">
        <f t="shared" si="22"/>
        <v>27.082800000000002</v>
      </c>
      <c r="E623" s="17">
        <f t="shared" si="22"/>
        <v>27.082800000000002</v>
      </c>
      <c r="F623" s="17">
        <f t="shared" si="22"/>
        <v>28.849916666666672</v>
      </c>
      <c r="G623" s="17">
        <f t="shared" si="22"/>
        <v>27.089033333333333</v>
      </c>
      <c r="H623" s="17">
        <f t="shared" si="22"/>
        <v>27.089033333333333</v>
      </c>
      <c r="I623" s="17">
        <f t="shared" si="22"/>
        <v>27.090608333333332</v>
      </c>
      <c r="J623" s="17">
        <f t="shared" si="22"/>
        <v>189.88852499999999</v>
      </c>
      <c r="K623" s="17"/>
    </row>
    <row r="624" spans="1:11" ht="15" x14ac:dyDescent="0.2">
      <c r="A624" s="11">
        <v>2036</v>
      </c>
      <c r="B624" s="17">
        <f t="shared" ref="B624:J624" si="23">AVERAGE(B288:B299)</f>
        <v>29.323649999999997</v>
      </c>
      <c r="C624" s="17">
        <f t="shared" si="23"/>
        <v>27.537400000000002</v>
      </c>
      <c r="D624" s="17">
        <f t="shared" si="23"/>
        <v>27.529574999999998</v>
      </c>
      <c r="E624" s="17">
        <f t="shared" si="23"/>
        <v>27.529574999999998</v>
      </c>
      <c r="F624" s="17">
        <f t="shared" si="23"/>
        <v>29.323649999999997</v>
      </c>
      <c r="G624" s="17">
        <f t="shared" si="23"/>
        <v>27.535824999999992</v>
      </c>
      <c r="H624" s="17">
        <f t="shared" si="23"/>
        <v>27.535824999999992</v>
      </c>
      <c r="I624" s="17">
        <f t="shared" si="23"/>
        <v>27.537400000000002</v>
      </c>
      <c r="J624" s="17">
        <f t="shared" si="23"/>
        <v>194.41578333333334</v>
      </c>
      <c r="K624" s="17"/>
    </row>
    <row r="625" spans="1:11" ht="15" x14ac:dyDescent="0.2">
      <c r="A625" s="11">
        <v>2037</v>
      </c>
      <c r="B625" s="17">
        <f t="shared" ref="B625:J625" si="24">AVERAGE(B300:B311)</f>
        <v>29.805341666666664</v>
      </c>
      <c r="C625" s="17">
        <f t="shared" si="24"/>
        <v>27.991675000000001</v>
      </c>
      <c r="D625" s="17">
        <f t="shared" si="24"/>
        <v>27.983866666666668</v>
      </c>
      <c r="E625" s="17">
        <f t="shared" si="24"/>
        <v>27.983866666666668</v>
      </c>
      <c r="F625" s="17">
        <f t="shared" si="24"/>
        <v>29.805341666666664</v>
      </c>
      <c r="G625" s="17">
        <f t="shared" si="24"/>
        <v>27.990125000000003</v>
      </c>
      <c r="H625" s="17">
        <f t="shared" si="24"/>
        <v>27.990125000000003</v>
      </c>
      <c r="I625" s="17">
        <f t="shared" si="24"/>
        <v>27.991675000000001</v>
      </c>
      <c r="J625" s="17">
        <f t="shared" si="24"/>
        <v>199.05095000000003</v>
      </c>
      <c r="K625" s="17"/>
    </row>
    <row r="626" spans="1:11" ht="15" x14ac:dyDescent="0.2">
      <c r="A626" s="11">
        <f t="shared" ref="A626:A649" si="25">A625+1</f>
        <v>2038</v>
      </c>
      <c r="B626" s="17">
        <f t="shared" ref="B626:J626" si="26">AVERAGE(B312:B323)</f>
        <v>30.295108333333342</v>
      </c>
      <c r="C626" s="17">
        <f t="shared" si="26"/>
        <v>28.453608333333335</v>
      </c>
      <c r="D626" s="17">
        <f t="shared" si="26"/>
        <v>28.445808333333332</v>
      </c>
      <c r="E626" s="17">
        <f t="shared" si="26"/>
        <v>28.445808333333332</v>
      </c>
      <c r="F626" s="17">
        <f t="shared" si="26"/>
        <v>30.295108333333342</v>
      </c>
      <c r="G626" s="17">
        <f t="shared" si="26"/>
        <v>28.45205</v>
      </c>
      <c r="H626" s="17">
        <f t="shared" si="26"/>
        <v>28.45205</v>
      </c>
      <c r="I626" s="17">
        <f t="shared" si="26"/>
        <v>28.453608333333335</v>
      </c>
      <c r="J626" s="17">
        <f t="shared" si="26"/>
        <v>203.79660833333332</v>
      </c>
    </row>
    <row r="627" spans="1:11" ht="15" x14ac:dyDescent="0.2">
      <c r="A627" s="11">
        <f t="shared" si="25"/>
        <v>2039</v>
      </c>
      <c r="B627" s="17">
        <f t="shared" ref="B627:J627" si="27">AVERAGE(B324:B335)</f>
        <v>30.793108333333336</v>
      </c>
      <c r="C627" s="17">
        <f t="shared" si="27"/>
        <v>28.923308333333338</v>
      </c>
      <c r="D627" s="17">
        <f t="shared" si="27"/>
        <v>28.915483333333331</v>
      </c>
      <c r="E627" s="17">
        <f t="shared" si="27"/>
        <v>28.915483333333331</v>
      </c>
      <c r="F627" s="17">
        <f t="shared" si="27"/>
        <v>30.793108333333336</v>
      </c>
      <c r="G627" s="17">
        <f t="shared" si="27"/>
        <v>28.921724999999999</v>
      </c>
      <c r="H627" s="17">
        <f t="shared" si="27"/>
        <v>28.921724999999999</v>
      </c>
      <c r="I627" s="17">
        <f t="shared" si="27"/>
        <v>28.923308333333338</v>
      </c>
      <c r="J627" s="17">
        <f t="shared" si="27"/>
        <v>208.65542500000001</v>
      </c>
    </row>
    <row r="628" spans="1:11" ht="15" x14ac:dyDescent="0.2">
      <c r="A628" s="11">
        <f t="shared" si="25"/>
        <v>2040</v>
      </c>
      <c r="B628" s="17">
        <f t="shared" ref="B628:J628" si="28">AVERAGE(B336:B347)</f>
        <v>31.299466666666671</v>
      </c>
      <c r="C628" s="17">
        <f t="shared" si="28"/>
        <v>29.400874999999999</v>
      </c>
      <c r="D628" s="17">
        <f t="shared" si="28"/>
        <v>29.393066666666666</v>
      </c>
      <c r="E628" s="17">
        <f t="shared" si="28"/>
        <v>29.393066666666666</v>
      </c>
      <c r="F628" s="17">
        <f t="shared" si="28"/>
        <v>31.299466666666671</v>
      </c>
      <c r="G628" s="17">
        <f t="shared" si="28"/>
        <v>29.399308333333337</v>
      </c>
      <c r="H628" s="17">
        <f t="shared" si="28"/>
        <v>29.399308333333337</v>
      </c>
      <c r="I628" s="17">
        <f t="shared" si="28"/>
        <v>29.400874999999999</v>
      </c>
      <c r="J628" s="17">
        <f t="shared" si="28"/>
        <v>213.63007500000003</v>
      </c>
    </row>
    <row r="629" spans="1:11" ht="15" x14ac:dyDescent="0.2">
      <c r="A629" s="11">
        <f t="shared" si="25"/>
        <v>2041</v>
      </c>
      <c r="B629" s="17">
        <f t="shared" ref="B629:J629" si="29">AVERAGE(B348:B359)</f>
        <v>31.814349999999994</v>
      </c>
      <c r="C629" s="17">
        <f t="shared" si="29"/>
        <v>29.886474999999994</v>
      </c>
      <c r="D629" s="17">
        <f t="shared" si="29"/>
        <v>29.878666666666664</v>
      </c>
      <c r="E629" s="17">
        <f t="shared" si="29"/>
        <v>29.878666666666664</v>
      </c>
      <c r="F629" s="17">
        <f t="shared" si="29"/>
        <v>31.814349999999994</v>
      </c>
      <c r="G629" s="17">
        <f t="shared" si="29"/>
        <v>29.884908333333328</v>
      </c>
      <c r="H629" s="17">
        <f t="shared" si="29"/>
        <v>29.884908333333328</v>
      </c>
      <c r="I629" s="17">
        <f t="shared" si="29"/>
        <v>29.886474999999994</v>
      </c>
      <c r="J629" s="17">
        <f t="shared" si="29"/>
        <v>218.72333333333336</v>
      </c>
    </row>
    <row r="630" spans="1:11" ht="15" x14ac:dyDescent="0.2">
      <c r="A630" s="11">
        <f t="shared" si="25"/>
        <v>2042</v>
      </c>
      <c r="B630" s="17">
        <f t="shared" ref="B630:J630" si="30">AVERAGE(B360:B371)</f>
        <v>32.33786666666667</v>
      </c>
      <c r="C630" s="17">
        <f t="shared" si="30"/>
        <v>30.380224999999996</v>
      </c>
      <c r="D630" s="17">
        <f t="shared" si="30"/>
        <v>30.372424999999996</v>
      </c>
      <c r="E630" s="17">
        <f t="shared" si="30"/>
        <v>30.372424999999996</v>
      </c>
      <c r="F630" s="17">
        <f t="shared" si="30"/>
        <v>32.33786666666667</v>
      </c>
      <c r="G630" s="17">
        <f t="shared" si="30"/>
        <v>30.378666666666664</v>
      </c>
      <c r="H630" s="17">
        <f t="shared" si="30"/>
        <v>30.378666666666664</v>
      </c>
      <c r="I630" s="17">
        <f t="shared" si="30"/>
        <v>30.380224999999996</v>
      </c>
      <c r="J630" s="17">
        <f t="shared" si="30"/>
        <v>223.93803333333332</v>
      </c>
    </row>
    <row r="631" spans="1:11" ht="15" x14ac:dyDescent="0.2">
      <c r="A631" s="11">
        <f t="shared" si="25"/>
        <v>2043</v>
      </c>
      <c r="B631" s="17">
        <f t="shared" ref="B631:J631" si="31">AVERAGE(B372:B383)</f>
        <v>32.870191666666663</v>
      </c>
      <c r="C631" s="17">
        <f t="shared" si="31"/>
        <v>30.882300000000004</v>
      </c>
      <c r="D631" s="17">
        <f t="shared" si="31"/>
        <v>30.874475</v>
      </c>
      <c r="E631" s="17">
        <f t="shared" si="31"/>
        <v>30.874475</v>
      </c>
      <c r="F631" s="17">
        <f t="shared" si="31"/>
        <v>32.870191666666663</v>
      </c>
      <c r="G631" s="17">
        <f t="shared" si="31"/>
        <v>30.880725000000002</v>
      </c>
      <c r="H631" s="17">
        <f t="shared" si="31"/>
        <v>30.880725000000002</v>
      </c>
      <c r="I631" s="17">
        <f t="shared" si="31"/>
        <v>30.882300000000004</v>
      </c>
      <c r="J631" s="17">
        <f t="shared" si="31"/>
        <v>229.27705</v>
      </c>
    </row>
    <row r="632" spans="1:11" ht="15" x14ac:dyDescent="0.2">
      <c r="A632" s="11">
        <f t="shared" si="25"/>
        <v>2044</v>
      </c>
      <c r="B632" s="17">
        <f t="shared" ref="B632:J632" si="32">AVERAGE(B384:B395)</f>
        <v>33.411449999999995</v>
      </c>
      <c r="C632" s="17">
        <f t="shared" si="32"/>
        <v>31.392775</v>
      </c>
      <c r="D632" s="17">
        <f t="shared" si="32"/>
        <v>31.384966666666667</v>
      </c>
      <c r="E632" s="17">
        <f t="shared" si="32"/>
        <v>31.384966666666667</v>
      </c>
      <c r="F632" s="17">
        <f t="shared" si="32"/>
        <v>33.411449999999995</v>
      </c>
      <c r="G632" s="17">
        <f t="shared" si="32"/>
        <v>31.391208333333335</v>
      </c>
      <c r="H632" s="17">
        <f t="shared" si="32"/>
        <v>31.391208333333335</v>
      </c>
      <c r="I632" s="17">
        <f t="shared" si="32"/>
        <v>31.392775</v>
      </c>
      <c r="J632" s="17">
        <f t="shared" si="32"/>
        <v>234.74334999999999</v>
      </c>
    </row>
    <row r="633" spans="1:11" ht="15" x14ac:dyDescent="0.2">
      <c r="A633" s="11">
        <f t="shared" si="25"/>
        <v>2045</v>
      </c>
      <c r="B633" s="17">
        <f t="shared" ref="B633:J633" si="33">AVERAGE(B396:B407)</f>
        <v>33.961808333333337</v>
      </c>
      <c r="C633" s="17">
        <f t="shared" si="33"/>
        <v>31.911841666666664</v>
      </c>
      <c r="D633" s="17">
        <f t="shared" si="33"/>
        <v>31.904024999999994</v>
      </c>
      <c r="E633" s="17">
        <f t="shared" si="33"/>
        <v>31.904024999999994</v>
      </c>
      <c r="F633" s="17">
        <f t="shared" si="33"/>
        <v>33.961808333333337</v>
      </c>
      <c r="G633" s="17">
        <f t="shared" si="33"/>
        <v>31.910274999999995</v>
      </c>
      <c r="H633" s="17">
        <f t="shared" si="33"/>
        <v>31.910274999999995</v>
      </c>
      <c r="I633" s="17">
        <f t="shared" si="33"/>
        <v>31.911841666666664</v>
      </c>
      <c r="J633" s="17">
        <f t="shared" si="33"/>
        <v>240.33998333333338</v>
      </c>
    </row>
    <row r="634" spans="1:11" ht="15" x14ac:dyDescent="0.2">
      <c r="A634" s="11">
        <f t="shared" si="25"/>
        <v>2046</v>
      </c>
      <c r="B634" s="17">
        <f t="shared" ref="B634:J634" si="34">AVERAGE(B408:B419)</f>
        <v>34.521408333333333</v>
      </c>
      <c r="C634" s="17">
        <f t="shared" si="34"/>
        <v>32.439624999999999</v>
      </c>
      <c r="D634" s="17">
        <f t="shared" si="34"/>
        <v>32.431808333333329</v>
      </c>
      <c r="E634" s="17">
        <f t="shared" si="34"/>
        <v>32.431808333333329</v>
      </c>
      <c r="F634" s="17">
        <f t="shared" si="34"/>
        <v>34.521408333333333</v>
      </c>
      <c r="G634" s="17">
        <f t="shared" si="34"/>
        <v>32.438066666666664</v>
      </c>
      <c r="H634" s="17">
        <f t="shared" si="34"/>
        <v>32.438066666666664</v>
      </c>
      <c r="I634" s="17">
        <f t="shared" si="34"/>
        <v>32.439624999999999</v>
      </c>
      <c r="J634" s="17">
        <f t="shared" si="34"/>
        <v>246.07004166666664</v>
      </c>
    </row>
    <row r="635" spans="1:11" ht="15" x14ac:dyDescent="0.2">
      <c r="A635" s="11">
        <f t="shared" si="25"/>
        <v>2047</v>
      </c>
      <c r="B635" s="17">
        <f t="shared" ref="B635:J635" si="35">AVERAGE(B420:B431)</f>
        <v>35.090408333333336</v>
      </c>
      <c r="C635" s="17">
        <f t="shared" si="35"/>
        <v>32.976274999999994</v>
      </c>
      <c r="D635" s="17">
        <f t="shared" si="35"/>
        <v>32.968466666666664</v>
      </c>
      <c r="E635" s="17">
        <f t="shared" si="35"/>
        <v>32.968466666666664</v>
      </c>
      <c r="F635" s="17">
        <f t="shared" si="35"/>
        <v>35.090408333333336</v>
      </c>
      <c r="G635" s="17">
        <f t="shared" si="35"/>
        <v>32.974708333333332</v>
      </c>
      <c r="H635" s="17">
        <f t="shared" si="35"/>
        <v>32.974708333333332</v>
      </c>
      <c r="I635" s="17">
        <f t="shared" si="35"/>
        <v>32.976274999999994</v>
      </c>
      <c r="J635" s="17">
        <f t="shared" si="35"/>
        <v>251.93673333333334</v>
      </c>
    </row>
    <row r="636" spans="1:11" ht="15" x14ac:dyDescent="0.2">
      <c r="A636" s="11">
        <f t="shared" si="25"/>
        <v>2048</v>
      </c>
      <c r="B636" s="17">
        <f t="shared" ref="B636:J636" si="36">AVERAGE(B432:B443)</f>
        <v>35.66896666666667</v>
      </c>
      <c r="C636" s="17">
        <f t="shared" si="36"/>
        <v>33.52194166666667</v>
      </c>
      <c r="D636" s="17">
        <f t="shared" si="36"/>
        <v>33.514125</v>
      </c>
      <c r="E636" s="17">
        <f t="shared" si="36"/>
        <v>33.514125</v>
      </c>
      <c r="F636" s="17">
        <f t="shared" si="36"/>
        <v>35.66896666666667</v>
      </c>
      <c r="G636" s="17">
        <f t="shared" si="36"/>
        <v>33.520374999999994</v>
      </c>
      <c r="H636" s="17">
        <f t="shared" si="36"/>
        <v>33.520374999999994</v>
      </c>
      <c r="I636" s="17">
        <f t="shared" si="36"/>
        <v>33.52194166666667</v>
      </c>
      <c r="J636" s="17">
        <f t="shared" si="36"/>
        <v>257.94328333333334</v>
      </c>
    </row>
    <row r="637" spans="1:11" ht="15" x14ac:dyDescent="0.2">
      <c r="A637" s="11">
        <f t="shared" si="25"/>
        <v>2049</v>
      </c>
      <c r="B637" s="17">
        <f t="shared" ref="B637:J637" si="37">AVERAGE(B444:B455)</f>
        <v>36.257249999999999</v>
      </c>
      <c r="C637" s="17">
        <f t="shared" si="37"/>
        <v>34.076775000000005</v>
      </c>
      <c r="D637" s="17">
        <f t="shared" si="37"/>
        <v>34.068966666666668</v>
      </c>
      <c r="E637" s="17">
        <f t="shared" si="37"/>
        <v>34.068966666666668</v>
      </c>
      <c r="F637" s="17">
        <f t="shared" si="37"/>
        <v>36.257249999999999</v>
      </c>
      <c r="G637" s="17">
        <f t="shared" si="37"/>
        <v>34.075208333333329</v>
      </c>
      <c r="H637" s="17">
        <f t="shared" si="37"/>
        <v>34.075208333333329</v>
      </c>
      <c r="I637" s="17">
        <f t="shared" si="37"/>
        <v>34.076775000000005</v>
      </c>
      <c r="J637" s="17">
        <f t="shared" si="37"/>
        <v>264.09302499999995</v>
      </c>
    </row>
    <row r="638" spans="1:11" ht="15" x14ac:dyDescent="0.2">
      <c r="A638" s="11">
        <f t="shared" si="25"/>
        <v>2050</v>
      </c>
      <c r="B638" s="17">
        <f t="shared" ref="B638:J638" si="38">AVERAGE(B456:B467)</f>
        <v>36.85540833333333</v>
      </c>
      <c r="C638" s="17">
        <f t="shared" si="38"/>
        <v>34.640925000000003</v>
      </c>
      <c r="D638" s="17">
        <f t="shared" si="38"/>
        <v>34.633116666666659</v>
      </c>
      <c r="E638" s="17">
        <f t="shared" si="38"/>
        <v>34.633116666666659</v>
      </c>
      <c r="F638" s="17">
        <f t="shared" si="38"/>
        <v>36.85540833333333</v>
      </c>
      <c r="G638" s="17">
        <f t="shared" si="38"/>
        <v>34.639366666666668</v>
      </c>
      <c r="H638" s="17">
        <f t="shared" si="38"/>
        <v>34.639366666666668</v>
      </c>
      <c r="I638" s="17">
        <f t="shared" si="38"/>
        <v>34.640925000000003</v>
      </c>
      <c r="J638" s="17">
        <f t="shared" si="38"/>
        <v>270.38942500000002</v>
      </c>
    </row>
    <row r="639" spans="1:11" ht="15" x14ac:dyDescent="0.2">
      <c r="A639" s="11">
        <f t="shared" si="25"/>
        <v>2051</v>
      </c>
      <c r="B639" s="17">
        <f t="shared" ref="B639:J639" si="39">AVERAGE(B468:B479)</f>
        <v>37.463641666666668</v>
      </c>
      <c r="C639" s="17">
        <f t="shared" si="39"/>
        <v>35.214566666666663</v>
      </c>
      <c r="D639" s="17">
        <f t="shared" si="39"/>
        <v>35.20675</v>
      </c>
      <c r="E639" s="17">
        <f t="shared" si="39"/>
        <v>35.20675</v>
      </c>
      <c r="F639" s="17">
        <f t="shared" si="39"/>
        <v>37.463641666666668</v>
      </c>
      <c r="G639" s="17">
        <f t="shared" si="39"/>
        <v>35.213008333333335</v>
      </c>
      <c r="H639" s="17">
        <f t="shared" si="39"/>
        <v>35.213008333333335</v>
      </c>
      <c r="I639" s="17">
        <f t="shared" si="39"/>
        <v>35.214566666666663</v>
      </c>
      <c r="J639" s="17">
        <f t="shared" si="39"/>
        <v>276.83589999999992</v>
      </c>
    </row>
    <row r="640" spans="1:11" ht="15" x14ac:dyDescent="0.2">
      <c r="A640" s="11">
        <f t="shared" si="25"/>
        <v>2052</v>
      </c>
      <c r="B640" s="17">
        <f t="shared" ref="B640:J640" si="40">AVERAGE(B480:B491)</f>
        <v>38.082049999999995</v>
      </c>
      <c r="C640" s="17">
        <f t="shared" si="40"/>
        <v>35.797825000000003</v>
      </c>
      <c r="D640" s="17">
        <f t="shared" si="40"/>
        <v>35.790016666666666</v>
      </c>
      <c r="E640" s="17">
        <f t="shared" si="40"/>
        <v>35.790016666666666</v>
      </c>
      <c r="F640" s="17">
        <f t="shared" si="40"/>
        <v>38.082049999999995</v>
      </c>
      <c r="G640" s="17">
        <f t="shared" si="40"/>
        <v>35.796266666666675</v>
      </c>
      <c r="H640" s="17">
        <f t="shared" si="40"/>
        <v>35.796266666666675</v>
      </c>
      <c r="I640" s="17">
        <f t="shared" si="40"/>
        <v>35.797825000000003</v>
      </c>
      <c r="J640" s="17">
        <f t="shared" si="40"/>
        <v>283.43608333333333</v>
      </c>
    </row>
    <row r="641" spans="1:10" ht="15" x14ac:dyDescent="0.2">
      <c r="A641" s="11">
        <f t="shared" si="25"/>
        <v>2053</v>
      </c>
      <c r="B641" s="17">
        <f t="shared" ref="B641:J641" si="41">AVERAGE(B492:B503)</f>
        <v>38.710874999999994</v>
      </c>
      <c r="C641" s="17">
        <f t="shared" si="41"/>
        <v>36.390908333333336</v>
      </c>
      <c r="D641" s="17">
        <f t="shared" si="41"/>
        <v>36.383099999999992</v>
      </c>
      <c r="E641" s="17">
        <f t="shared" si="41"/>
        <v>36.383099999999992</v>
      </c>
      <c r="F641" s="17">
        <f t="shared" si="41"/>
        <v>38.710874999999994</v>
      </c>
      <c r="G641" s="17">
        <f t="shared" si="41"/>
        <v>36.389333333333333</v>
      </c>
      <c r="H641" s="17">
        <f t="shared" si="41"/>
        <v>36.389333333333333</v>
      </c>
      <c r="I641" s="17">
        <f t="shared" si="41"/>
        <v>36.390908333333336</v>
      </c>
      <c r="J641" s="17">
        <f t="shared" si="41"/>
        <v>290.19362500000005</v>
      </c>
    </row>
    <row r="642" spans="1:10" ht="15" x14ac:dyDescent="0.2">
      <c r="A642" s="11">
        <f t="shared" si="25"/>
        <v>2054</v>
      </c>
      <c r="B642" s="17">
        <f t="shared" ref="B642:J642" si="42">AVERAGE(B504:B515)</f>
        <v>39.350266666666663</v>
      </c>
      <c r="C642" s="17">
        <f t="shared" si="42"/>
        <v>36.993924999999997</v>
      </c>
      <c r="D642" s="17">
        <f t="shared" si="42"/>
        <v>36.986116666666675</v>
      </c>
      <c r="E642" s="17">
        <f t="shared" si="42"/>
        <v>36.986116666666675</v>
      </c>
      <c r="F642" s="17">
        <f t="shared" si="42"/>
        <v>39.350266666666663</v>
      </c>
      <c r="G642" s="17">
        <f t="shared" si="42"/>
        <v>36.992366666666662</v>
      </c>
      <c r="H642" s="17">
        <f t="shared" si="42"/>
        <v>36.992366666666662</v>
      </c>
      <c r="I642" s="17">
        <f t="shared" si="42"/>
        <v>36.993924999999997</v>
      </c>
      <c r="J642" s="17">
        <f t="shared" si="42"/>
        <v>297.11227500000001</v>
      </c>
    </row>
    <row r="643" spans="1:10" ht="15" x14ac:dyDescent="0.2">
      <c r="A643" s="11">
        <f t="shared" si="25"/>
        <v>2055</v>
      </c>
      <c r="B643" s="17">
        <f t="shared" ref="B643:J643" si="43">AVERAGE(B516:B527)</f>
        <v>40.000391666666665</v>
      </c>
      <c r="C643" s="17">
        <f t="shared" si="43"/>
        <v>37.607108333333329</v>
      </c>
      <c r="D643" s="17">
        <f t="shared" si="43"/>
        <v>37.599274999999999</v>
      </c>
      <c r="E643" s="17">
        <f t="shared" si="43"/>
        <v>37.599274999999999</v>
      </c>
      <c r="F643" s="17">
        <f t="shared" si="43"/>
        <v>40.000391666666665</v>
      </c>
      <c r="G643" s="17">
        <f t="shared" si="43"/>
        <v>37.605524999999993</v>
      </c>
      <c r="H643" s="17">
        <f t="shared" si="43"/>
        <v>37.605524999999993</v>
      </c>
      <c r="I643" s="17">
        <f t="shared" si="43"/>
        <v>37.607108333333329</v>
      </c>
      <c r="J643" s="17">
        <f t="shared" si="43"/>
        <v>304.19588333333331</v>
      </c>
    </row>
    <row r="644" spans="1:10" ht="15" x14ac:dyDescent="0.2">
      <c r="A644" s="11">
        <f t="shared" si="25"/>
        <v>2056</v>
      </c>
      <c r="B644" s="17">
        <f t="shared" ref="B644:J644" si="44">AVERAGE(B528:B539)</f>
        <v>40.661449999999995</v>
      </c>
      <c r="C644" s="17">
        <f t="shared" si="44"/>
        <v>38.230566666666668</v>
      </c>
      <c r="D644" s="17">
        <f t="shared" si="44"/>
        <v>38.222741666666671</v>
      </c>
      <c r="E644" s="17">
        <f t="shared" si="44"/>
        <v>38.222741666666671</v>
      </c>
      <c r="F644" s="17">
        <f t="shared" si="44"/>
        <v>40.661449999999995</v>
      </c>
      <c r="G644" s="17">
        <f t="shared" si="44"/>
        <v>38.229008333333333</v>
      </c>
      <c r="H644" s="17">
        <f t="shared" si="44"/>
        <v>38.229008333333333</v>
      </c>
      <c r="I644" s="17">
        <f t="shared" si="44"/>
        <v>38.230566666666668</v>
      </c>
      <c r="J644" s="17">
        <f t="shared" si="44"/>
        <v>311.448375</v>
      </c>
    </row>
    <row r="645" spans="1:10" ht="15" x14ac:dyDescent="0.2">
      <c r="A645" s="11">
        <f t="shared" si="25"/>
        <v>2057</v>
      </c>
      <c r="B645" s="17">
        <f t="shared" ref="B645:J645" si="45">AVERAGE(B540:B551)</f>
        <v>41.333591666666663</v>
      </c>
      <c r="C645" s="17">
        <f t="shared" si="45"/>
        <v>38.864508333333333</v>
      </c>
      <c r="D645" s="17">
        <f t="shared" si="45"/>
        <v>38.856675000000003</v>
      </c>
      <c r="E645" s="17">
        <f t="shared" si="45"/>
        <v>38.856675000000003</v>
      </c>
      <c r="F645" s="17">
        <f t="shared" si="45"/>
        <v>41.333591666666663</v>
      </c>
      <c r="G645" s="17">
        <f t="shared" si="45"/>
        <v>38.862925000000004</v>
      </c>
      <c r="H645" s="17">
        <f t="shared" si="45"/>
        <v>38.862925000000004</v>
      </c>
      <c r="I645" s="17">
        <f t="shared" si="45"/>
        <v>38.864508333333333</v>
      </c>
      <c r="J645" s="17">
        <f t="shared" si="45"/>
        <v>318.87374999999997</v>
      </c>
    </row>
    <row r="646" spans="1:10" ht="15" x14ac:dyDescent="0.2">
      <c r="A646" s="11">
        <f t="shared" si="25"/>
        <v>2058</v>
      </c>
      <c r="B646" s="17">
        <f t="shared" ref="B646:J646" si="46">AVERAGE(B552:B563)</f>
        <v>42.017041666666664</v>
      </c>
      <c r="C646" s="17">
        <f t="shared" si="46"/>
        <v>39.509075000000003</v>
      </c>
      <c r="D646" s="17">
        <f t="shared" si="46"/>
        <v>39.501266666666659</v>
      </c>
      <c r="E646" s="17">
        <f t="shared" si="46"/>
        <v>39.501266666666659</v>
      </c>
      <c r="F646" s="17">
        <f t="shared" si="46"/>
        <v>42.017041666666664</v>
      </c>
      <c r="G646" s="17">
        <f t="shared" si="46"/>
        <v>39.507516666666668</v>
      </c>
      <c r="H646" s="17">
        <f t="shared" si="46"/>
        <v>39.507516666666668</v>
      </c>
      <c r="I646" s="17">
        <f t="shared" si="46"/>
        <v>39.509075000000003</v>
      </c>
      <c r="J646" s="17">
        <f t="shared" si="46"/>
        <v>326.47618333333338</v>
      </c>
    </row>
    <row r="647" spans="1:10" ht="15" x14ac:dyDescent="0.2">
      <c r="A647" s="11">
        <f t="shared" si="25"/>
        <v>2059</v>
      </c>
      <c r="B647" s="17">
        <f t="shared" ref="B647:J647" si="47">AVERAGE(B564:B575)</f>
        <v>42.711958333333335</v>
      </c>
      <c r="C647" s="17">
        <f t="shared" si="47"/>
        <v>40.16450833333333</v>
      </c>
      <c r="D647" s="17">
        <f t="shared" si="47"/>
        <v>40.156691666666667</v>
      </c>
      <c r="E647" s="17">
        <f t="shared" si="47"/>
        <v>40.156691666666667</v>
      </c>
      <c r="F647" s="17">
        <f t="shared" si="47"/>
        <v>42.711958333333335</v>
      </c>
      <c r="G647" s="17">
        <f t="shared" si="47"/>
        <v>40.162925000000001</v>
      </c>
      <c r="H647" s="17">
        <f t="shared" si="47"/>
        <v>40.162925000000001</v>
      </c>
      <c r="I647" s="17">
        <f t="shared" si="47"/>
        <v>40.16450833333333</v>
      </c>
      <c r="J647" s="17">
        <f t="shared" si="47"/>
        <v>334.25986666666671</v>
      </c>
    </row>
    <row r="648" spans="1:10" ht="15" x14ac:dyDescent="0.2">
      <c r="A648" s="11">
        <f t="shared" si="25"/>
        <v>2060</v>
      </c>
      <c r="B648" s="17">
        <f t="shared" ref="B648:J648" si="48">AVERAGE(B576:B587)</f>
        <v>43.418566666666663</v>
      </c>
      <c r="C648" s="17">
        <f t="shared" si="48"/>
        <v>40.830925000000001</v>
      </c>
      <c r="D648" s="17">
        <f t="shared" si="48"/>
        <v>40.82310833333333</v>
      </c>
      <c r="E648" s="17">
        <f t="shared" si="48"/>
        <v>40.82310833333333</v>
      </c>
      <c r="F648" s="17">
        <f t="shared" si="48"/>
        <v>43.418566666666663</v>
      </c>
      <c r="G648" s="17">
        <f t="shared" si="48"/>
        <v>40.829366666666665</v>
      </c>
      <c r="H648" s="17">
        <f t="shared" si="48"/>
        <v>40.829366666666665</v>
      </c>
      <c r="I648" s="17">
        <f t="shared" si="48"/>
        <v>40.830925000000001</v>
      </c>
      <c r="J648" s="17">
        <f t="shared" si="48"/>
        <v>342.2291166666667</v>
      </c>
    </row>
    <row r="649" spans="1:10" ht="15" x14ac:dyDescent="0.2">
      <c r="A649" s="11">
        <f t="shared" si="25"/>
        <v>2061</v>
      </c>
      <c r="B649" s="17">
        <f t="shared" ref="B649:J649" si="49">AVERAGE(B588:B599)</f>
        <v>44.137041666666669</v>
      </c>
      <c r="C649" s="17">
        <f t="shared" si="49"/>
        <v>41.50855</v>
      </c>
      <c r="D649" s="17">
        <f t="shared" si="49"/>
        <v>41.500725000000003</v>
      </c>
      <c r="E649" s="17">
        <f t="shared" si="49"/>
        <v>41.500725000000003</v>
      </c>
      <c r="F649" s="17">
        <f t="shared" si="49"/>
        <v>44.137041666666669</v>
      </c>
      <c r="G649" s="17">
        <f t="shared" si="49"/>
        <v>41.506991666666664</v>
      </c>
      <c r="H649" s="17">
        <f t="shared" si="49"/>
        <v>41.506991666666664</v>
      </c>
      <c r="I649" s="17">
        <f t="shared" si="49"/>
        <v>41.50855</v>
      </c>
      <c r="J649" s="17">
        <f t="shared" si="49"/>
        <v>350.38838333333337</v>
      </c>
    </row>
    <row r="650" spans="1:10" ht="15" x14ac:dyDescent="0.2">
      <c r="A650" s="43"/>
    </row>
    <row r="651" spans="1:10" x14ac:dyDescent="0.2">
      <c r="A651" s="8"/>
    </row>
    <row r="652" spans="1:10" x14ac:dyDescent="0.2">
      <c r="A652" s="8"/>
    </row>
    <row r="653" spans="1:10" x14ac:dyDescent="0.2">
      <c r="A653" s="8"/>
    </row>
    <row r="654" spans="1:10" x14ac:dyDescent="0.2">
      <c r="A654" s="8"/>
    </row>
    <row r="655" spans="1:10" x14ac:dyDescent="0.2">
      <c r="A655" s="8"/>
    </row>
    <row r="656" spans="1:10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</sheetData>
  <pageMargins left="0.25" right="0.25" top="0.5" bottom="0.5" header="0.25" footer="0.25"/>
  <pageSetup paperSize="5" scale="9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7</xdr:col>
                    <xdr:colOff>209550</xdr:colOff>
                    <xdr:row>7</xdr:row>
                    <xdr:rowOff>180975</xdr:rowOff>
                  </from>
                  <to>
                    <xdr:col>8</xdr:col>
                    <xdr:colOff>342900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8</xdr:col>
                    <xdr:colOff>476250</xdr:colOff>
                    <xdr:row>7</xdr:row>
                    <xdr:rowOff>180975</xdr:rowOff>
                  </from>
                  <to>
                    <xdr:col>9</xdr:col>
                    <xdr:colOff>609600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AC656"/>
  <sheetViews>
    <sheetView zoomScale="75" zoomScaleNormal="75" workbookViewId="0">
      <pane xSplit="1" ySplit="12" topLeftCell="B13" activePane="bottomRight" state="frozen"/>
      <selection activeCell="A7" sqref="A7"/>
      <selection pane="topRight" activeCell="A7" sqref="A7"/>
      <selection pane="bottomLeft" activeCell="A7" sqref="A7"/>
      <selection pane="bottomRight" activeCell="B13" sqref="B13"/>
    </sheetView>
  </sheetViews>
  <sheetFormatPr defaultColWidth="7.109375" defaultRowHeight="12.75" x14ac:dyDescent="0.2"/>
  <cols>
    <col min="1" max="1" width="18.21875" style="33" customWidth="1"/>
    <col min="2" max="10" width="13" style="33" customWidth="1"/>
    <col min="11" max="11" width="18.6640625" style="33" customWidth="1"/>
    <col min="12" max="12" width="13" style="33" customWidth="1"/>
    <col min="13" max="16" width="20.6640625" style="33" customWidth="1"/>
    <col min="17" max="17" width="15.5546875" style="33" customWidth="1"/>
    <col min="18" max="18" width="16.21875" style="33" customWidth="1"/>
    <col min="19" max="19" width="13" style="8" customWidth="1"/>
    <col min="20" max="25" width="19.77734375" style="8" customWidth="1"/>
    <col min="26" max="26" width="15.5546875" style="8" customWidth="1"/>
    <col min="27" max="27" width="16.88671875" style="8" customWidth="1"/>
    <col min="28" max="29" width="14.77734375" style="8" customWidth="1"/>
    <col min="30" max="30" width="14" style="8" customWidth="1"/>
    <col min="31" max="31" width="10.21875" style="8" customWidth="1"/>
    <col min="32" max="32" width="11.77734375" style="8" customWidth="1"/>
    <col min="33" max="33" width="7.109375" style="8" customWidth="1"/>
    <col min="34" max="34" width="8.77734375" style="8" customWidth="1"/>
    <col min="35" max="35" width="9.21875" style="8" customWidth="1"/>
    <col min="36" max="36" width="11.77734375" style="8" customWidth="1"/>
    <col min="37" max="37" width="7.109375" style="8" customWidth="1"/>
    <col min="38" max="38" width="9.21875" style="8" customWidth="1"/>
    <col min="39" max="39" width="9.33203125" style="8" customWidth="1"/>
    <col min="40" max="40" width="8.21875" style="8" customWidth="1"/>
    <col min="41" max="41" width="9" style="8" customWidth="1"/>
    <col min="42" max="16384" width="7.109375" style="8"/>
  </cols>
  <sheetData>
    <row r="1" spans="1:29" ht="15.75" x14ac:dyDescent="0.25">
      <c r="A1" s="102" t="s">
        <v>91</v>
      </c>
    </row>
    <row r="2" spans="1:29" ht="15.75" x14ac:dyDescent="0.25">
      <c r="A2" s="102" t="s">
        <v>92</v>
      </c>
    </row>
    <row r="3" spans="1:29" ht="15.75" x14ac:dyDescent="0.25">
      <c r="A3" s="102" t="s">
        <v>93</v>
      </c>
    </row>
    <row r="4" spans="1:29" ht="15.75" x14ac:dyDescent="0.25">
      <c r="A4" s="102" t="s">
        <v>94</v>
      </c>
    </row>
    <row r="5" spans="1:29" ht="15.75" x14ac:dyDescent="0.25">
      <c r="A5" s="102" t="s">
        <v>96</v>
      </c>
    </row>
    <row r="6" spans="1:29" ht="15.75" x14ac:dyDescent="0.25">
      <c r="A6" s="102" t="s">
        <v>100</v>
      </c>
    </row>
    <row r="7" spans="1:29" ht="15.75" x14ac:dyDescent="0.25">
      <c r="A7" s="102"/>
    </row>
    <row r="8" spans="1:29" ht="15.75" x14ac:dyDescent="0.25">
      <c r="A8" s="42" t="s">
        <v>27</v>
      </c>
      <c r="M8" s="75"/>
      <c r="N8" s="75"/>
      <c r="O8" s="71"/>
      <c r="P8" s="71"/>
      <c r="T8" s="111" t="s">
        <v>80</v>
      </c>
      <c r="U8" s="111"/>
      <c r="V8" s="111"/>
      <c r="W8" s="111"/>
      <c r="X8" s="111"/>
      <c r="Y8" s="111"/>
    </row>
    <row r="9" spans="1:29" ht="16.5" thickBot="1" x14ac:dyDescent="0.3">
      <c r="A9" s="42"/>
      <c r="B9" s="40" t="s">
        <v>25</v>
      </c>
      <c r="C9" s="74">
        <f>1-0.208</f>
        <v>0.79200000000000004</v>
      </c>
      <c r="D9" s="40"/>
      <c r="E9" s="74">
        <v>1.208</v>
      </c>
      <c r="F9" s="74"/>
      <c r="G9" s="74"/>
      <c r="H9" s="1"/>
      <c r="I9" s="1"/>
      <c r="J9" s="1"/>
      <c r="K9" s="1"/>
      <c r="L9" s="1"/>
      <c r="M9" s="1"/>
      <c r="N9" s="1"/>
      <c r="O9" s="1"/>
      <c r="P9" s="1"/>
      <c r="T9" s="111" t="s">
        <v>79</v>
      </c>
      <c r="U9" s="111"/>
      <c r="V9" s="111"/>
      <c r="W9" s="111"/>
      <c r="X9" s="111"/>
      <c r="Y9" s="111"/>
      <c r="Z9" s="107"/>
      <c r="AA9" s="107"/>
      <c r="AB9" s="1"/>
    </row>
    <row r="10" spans="1:29" ht="21.75" thickTop="1" thickBot="1" x14ac:dyDescent="0.35">
      <c r="B10" s="73"/>
      <c r="C10" s="72"/>
      <c r="D10" s="73"/>
      <c r="E10" s="72"/>
      <c r="F10" s="72"/>
      <c r="G10" s="72"/>
      <c r="H10" s="1"/>
      <c r="I10" s="1"/>
      <c r="J10" s="1"/>
      <c r="K10" s="1"/>
      <c r="L10" s="1"/>
      <c r="M10" s="1"/>
      <c r="N10" s="1"/>
      <c r="O10" s="1"/>
      <c r="P10" s="1"/>
      <c r="T10" s="112" t="s">
        <v>78</v>
      </c>
      <c r="U10" s="113"/>
      <c r="V10" s="113"/>
      <c r="W10" s="113"/>
      <c r="X10" s="113"/>
      <c r="Y10" s="114"/>
      <c r="Z10" s="71"/>
      <c r="AA10" s="71"/>
      <c r="AB10" s="1"/>
    </row>
    <row r="11" spans="1:29" s="35" customFormat="1" ht="112.5" customHeight="1" thickTop="1" x14ac:dyDescent="0.25">
      <c r="B11" s="66" t="s">
        <v>77</v>
      </c>
      <c r="C11" s="70" t="s">
        <v>76</v>
      </c>
      <c r="D11" s="66" t="s">
        <v>75</v>
      </c>
      <c r="E11" s="66" t="s">
        <v>74</v>
      </c>
      <c r="F11" s="70" t="s">
        <v>73</v>
      </c>
      <c r="G11" s="70" t="s">
        <v>72</v>
      </c>
      <c r="H11" s="70" t="s">
        <v>71</v>
      </c>
      <c r="I11" s="70" t="s">
        <v>70</v>
      </c>
      <c r="J11" s="70" t="s">
        <v>69</v>
      </c>
      <c r="K11" s="67" t="s">
        <v>68</v>
      </c>
      <c r="L11" s="36" t="s">
        <v>67</v>
      </c>
      <c r="M11" s="69" t="s">
        <v>66</v>
      </c>
      <c r="N11" s="69" t="s">
        <v>65</v>
      </c>
      <c r="O11" s="69" t="s">
        <v>64</v>
      </c>
      <c r="P11" s="69" t="s">
        <v>63</v>
      </c>
      <c r="Q11" s="36" t="s">
        <v>62</v>
      </c>
      <c r="R11" s="38" t="s">
        <v>61</v>
      </c>
      <c r="S11" s="36" t="s">
        <v>60</v>
      </c>
      <c r="T11" s="65" t="s">
        <v>59</v>
      </c>
      <c r="U11" s="65" t="s">
        <v>58</v>
      </c>
      <c r="V11" s="65" t="s">
        <v>57</v>
      </c>
      <c r="W11" s="65" t="s">
        <v>56</v>
      </c>
      <c r="X11" s="65" t="s">
        <v>55</v>
      </c>
      <c r="Y11" s="65" t="s">
        <v>54</v>
      </c>
      <c r="Z11" s="38" t="s">
        <v>53</v>
      </c>
      <c r="AA11" s="38" t="s">
        <v>52</v>
      </c>
      <c r="AB11" s="66" t="s">
        <v>51</v>
      </c>
      <c r="AC11" s="68" t="s">
        <v>50</v>
      </c>
    </row>
    <row r="12" spans="1:29" s="35" customFormat="1" ht="15.75" x14ac:dyDescent="0.25">
      <c r="A12" s="37" t="s">
        <v>15</v>
      </c>
      <c r="B12" s="36" t="s">
        <v>14</v>
      </c>
      <c r="C12" s="36" t="s">
        <v>14</v>
      </c>
      <c r="D12" s="36" t="s">
        <v>14</v>
      </c>
      <c r="E12" s="36" t="s">
        <v>14</v>
      </c>
      <c r="F12" s="36" t="s">
        <v>14</v>
      </c>
      <c r="G12" s="36" t="s">
        <v>14</v>
      </c>
      <c r="H12" s="36" t="s">
        <v>14</v>
      </c>
      <c r="I12" s="36" t="s">
        <v>14</v>
      </c>
      <c r="J12" s="36" t="s">
        <v>14</v>
      </c>
      <c r="K12" s="67" t="s">
        <v>14</v>
      </c>
      <c r="L12" s="36" t="s">
        <v>14</v>
      </c>
      <c r="M12" s="36" t="s">
        <v>14</v>
      </c>
      <c r="N12" s="36" t="s">
        <v>14</v>
      </c>
      <c r="O12" s="36" t="s">
        <v>14</v>
      </c>
      <c r="P12" s="36" t="s">
        <v>14</v>
      </c>
      <c r="Q12" s="36" t="s">
        <v>14</v>
      </c>
      <c r="R12" s="36" t="s">
        <v>14</v>
      </c>
      <c r="S12" s="36" t="s">
        <v>14</v>
      </c>
      <c r="T12" s="65" t="s">
        <v>49</v>
      </c>
      <c r="U12" s="65" t="s">
        <v>49</v>
      </c>
      <c r="V12" s="65" t="s">
        <v>49</v>
      </c>
      <c r="W12" s="65" t="s">
        <v>49</v>
      </c>
      <c r="X12" s="65" t="s">
        <v>49</v>
      </c>
      <c r="Y12" s="65" t="s">
        <v>49</v>
      </c>
      <c r="Z12" s="36" t="s">
        <v>14</v>
      </c>
      <c r="AA12" s="36" t="s">
        <v>49</v>
      </c>
      <c r="AB12" s="66" t="s">
        <v>14</v>
      </c>
      <c r="AC12" s="65" t="s">
        <v>14</v>
      </c>
    </row>
    <row r="13" spans="1:29" ht="15.75" x14ac:dyDescent="0.25">
      <c r="A13" s="16">
        <v>41275</v>
      </c>
      <c r="B13" s="62">
        <v>3.4693411405589898</v>
      </c>
      <c r="C13" s="62">
        <v>3.47442538832698</v>
      </c>
      <c r="D13" s="62">
        <v>3.5918799851734899</v>
      </c>
      <c r="E13" s="62">
        <v>3.62563976038513</v>
      </c>
      <c r="F13" s="62">
        <v>3.4827097294503502</v>
      </c>
      <c r="G13" s="62">
        <v>3.4975364689593298</v>
      </c>
      <c r="H13" s="62">
        <v>3.6145177663942398</v>
      </c>
      <c r="I13" s="62">
        <v>3.5091919375943799</v>
      </c>
      <c r="J13" s="62">
        <v>3.4753097294503501</v>
      </c>
      <c r="K13" s="64"/>
      <c r="L13" s="62">
        <v>4.2015177663942396</v>
      </c>
      <c r="M13" s="62">
        <v>3.4510577257516601</v>
      </c>
      <c r="N13" s="62">
        <v>3.46575112309643</v>
      </c>
      <c r="O13" s="62">
        <v>3.5890138150970801</v>
      </c>
      <c r="P13" s="62">
        <v>3.4845926581983502</v>
      </c>
      <c r="Q13" s="62">
        <v>4.1837138150970796</v>
      </c>
      <c r="R13" s="62">
        <v>4.7811730996348203</v>
      </c>
      <c r="S13" s="62">
        <v>3.3547069680724899</v>
      </c>
      <c r="T13" s="63">
        <v>29.034112</v>
      </c>
      <c r="U13" s="63">
        <v>12.063650000000001</v>
      </c>
      <c r="V13" s="63">
        <v>4.9444999999999997</v>
      </c>
      <c r="W13" s="63">
        <v>0.56798199999999999</v>
      </c>
      <c r="X13" s="63">
        <v>0</v>
      </c>
      <c r="Y13" s="63">
        <v>0.39</v>
      </c>
      <c r="Z13" s="62">
        <v>3.49160559679886</v>
      </c>
      <c r="AA13" s="61">
        <v>0.78900000000000003</v>
      </c>
      <c r="AB13" s="60">
        <v>3.5128713827202498</v>
      </c>
      <c r="AC13" s="59">
        <v>3.5263496753376899</v>
      </c>
    </row>
    <row r="14" spans="1:29" ht="15.75" x14ac:dyDescent="0.25">
      <c r="A14" s="16">
        <v>41306</v>
      </c>
      <c r="B14" s="17">
        <v>3.3373871192168498</v>
      </c>
      <c r="C14" s="17">
        <v>3.34247136698484</v>
      </c>
      <c r="D14" s="17">
        <v>3.4274416903447098</v>
      </c>
      <c r="E14" s="17">
        <v>3.4612014655563499</v>
      </c>
      <c r="F14" s="17">
        <v>3.32921003516193</v>
      </c>
      <c r="G14" s="17">
        <v>3.3428860878936399</v>
      </c>
      <c r="H14" s="17">
        <v>3.4500794715654499</v>
      </c>
      <c r="I14" s="17">
        <v>3.3623461586604102</v>
      </c>
      <c r="J14" s="17">
        <v>3.32181003516193</v>
      </c>
      <c r="K14" s="52"/>
      <c r="L14" s="17">
        <v>4.0370794715654501</v>
      </c>
      <c r="M14" s="17">
        <v>3.2989385090408998</v>
      </c>
      <c r="N14" s="17">
        <v>3.3124915681456</v>
      </c>
      <c r="O14" s="17">
        <v>3.42605437258766</v>
      </c>
      <c r="P14" s="17">
        <v>3.3390715772188799</v>
      </c>
      <c r="Q14" s="17">
        <v>4.0207543725876604</v>
      </c>
      <c r="R14" s="17">
        <v>4.6178062585191304</v>
      </c>
      <c r="S14" s="17">
        <v>3.2267511535770201</v>
      </c>
      <c r="T14" s="56">
        <v>26.280478500000001</v>
      </c>
      <c r="U14" s="56">
        <v>10.8962</v>
      </c>
      <c r="V14" s="56">
        <v>4.4660000000000002</v>
      </c>
      <c r="W14" s="56">
        <v>0.51301600000000003</v>
      </c>
      <c r="X14" s="56">
        <v>0</v>
      </c>
      <c r="Y14" s="56">
        <v>0.39</v>
      </c>
      <c r="Z14" s="17">
        <v>3.3376078337533501</v>
      </c>
      <c r="AA14" s="55">
        <v>0.78900000000000003</v>
      </c>
      <c r="AB14" s="48">
        <v>3.3650754313211002</v>
      </c>
      <c r="AC14" s="45">
        <v>3.36964273692133</v>
      </c>
    </row>
    <row r="15" spans="1:29" ht="15.75" x14ac:dyDescent="0.25">
      <c r="A15" s="16">
        <v>41334</v>
      </c>
      <c r="B15" s="17">
        <f>CHOOSE(CONTROL!$C$42, 3.4291, 3.4291) * CHOOSE(CONTROL!$C$21, $C$9, 100%, $E$9)</f>
        <v>3.4291</v>
      </c>
      <c r="C15" s="17">
        <f>CHOOSE(CONTROL!$C$42, 3.4342, 3.4342) * CHOOSE(CONTROL!$C$21, $C$9, 100%, $E$9)</f>
        <v>3.4342000000000001</v>
      </c>
      <c r="D15" s="17">
        <f>CHOOSE(CONTROL!$C$42, 3.5104, 3.5104) * CHOOSE(CONTROL!$C$21, $C$9, 100%, $E$9)</f>
        <v>3.5104000000000002</v>
      </c>
      <c r="E15" s="17">
        <f>CHOOSE(CONTROL!$C$42, 3.5442, 3.5442) * CHOOSE(CONTROL!$C$21, $C$9, 100%, $E$9)</f>
        <v>3.5442</v>
      </c>
      <c r="F15" s="17">
        <f>CHOOSE(CONTROL!$C$42, 3.4284, 3.4284)*CHOOSE(CONTROL!$C$21, $C$9, 100%, $E$9)</f>
        <v>3.4283999999999999</v>
      </c>
      <c r="G15" s="17">
        <f>CHOOSE(CONTROL!$C$42, 3.4422, 3.4422)*CHOOSE(CONTROL!$C$21, $C$9, 100%, $E$9)</f>
        <v>3.4422000000000001</v>
      </c>
      <c r="H15" s="17">
        <f>CHOOSE(CONTROL!$C$42, 3.533, 3.533) * CHOOSE(CONTROL!$C$21, $C$9, 100%, $E$9)</f>
        <v>3.5329999999999999</v>
      </c>
      <c r="I15" s="17">
        <f>CHOOSE(CONTROL!$C$42, 3.4414, 3.4414)* CHOOSE(CONTROL!$C$21, $C$9, 100%, $E$9)</f>
        <v>3.4413999999999998</v>
      </c>
      <c r="J15" s="17">
        <f>CHOOSE(CONTROL!$C$42, 3.421, 3.421)* CHOOSE(CONTROL!$C$21, $C$9, 100%, $E$9)</f>
        <v>3.4209999999999998</v>
      </c>
      <c r="K15" s="52"/>
      <c r="L15" s="17">
        <f>CHOOSE(CONTROL!$C$42, 4.12, 4.12) * CHOOSE(CONTROL!$C$21, $C$9, 100%, $E$9)</f>
        <v>4.12</v>
      </c>
      <c r="M15" s="17">
        <f>CHOOSE(CONTROL!$C$42, 3.3972, 3.3972) * CHOOSE(CONTROL!$C$21, $C$9, 100%, $E$9)</f>
        <v>3.3972000000000002</v>
      </c>
      <c r="N15" s="17">
        <f>CHOOSE(CONTROL!$C$42, 3.4109, 3.4109) * CHOOSE(CONTROL!$C$21, $C$9, 100%, $E$9)</f>
        <v>3.4108999999999998</v>
      </c>
      <c r="O15" s="17">
        <f>CHOOSE(CONTROL!$C$42, 3.5083, 3.5083) * CHOOSE(CONTROL!$C$21, $C$9, 100%, $E$9)</f>
        <v>3.5083000000000002</v>
      </c>
      <c r="P15" s="17">
        <f>CHOOSE(CONTROL!$C$42, 3.4174, 3.4174) * CHOOSE(CONTROL!$C$21, $C$9, 100%, $E$9)</f>
        <v>3.4174000000000002</v>
      </c>
      <c r="Q15" s="17">
        <f>CHOOSE(CONTROL!$C$42, 4.103, 4.103) * CHOOSE(CONTROL!$C$21, $C$9, 100%, $E$9)</f>
        <v>4.1029999999999998</v>
      </c>
      <c r="R15" s="17">
        <f>CHOOSE(CONTROL!$C$42, 4.7002, 4.7002) * CHOOSE(CONTROL!$C$21, $C$9, 100%, $E$9)</f>
        <v>4.7001999999999997</v>
      </c>
      <c r="S15" s="17">
        <f>CHOOSE(CONTROL!$C$42, 3.3157, 3.3157) * CHOOSE(CONTROL!$C$21, $C$9, 100%, $E$9)</f>
        <v>3.3157000000000001</v>
      </c>
      <c r="T15" s="56">
        <f>(((255000*CHOOSE(CONTROL!$C$42, 0.4694, 0.4694)+(750000-255000)*CHOOSE(CONTROL!$C$42, 0.7185, 0.7185)+400000*CHOOSE(CONTROL!$C$42, 1.14, 1.14))*CHOOSE(CONTROL!$C$42, 31, 31))/1000000)+CHOOSE(CONTROL!$C$42, 0.2567, 0.2567)+CHOOSE(CONTROL!$C$42, 0, 0)</f>
        <v>29.1286895</v>
      </c>
      <c r="U15" s="56">
        <f>(1000*CHOOSE(CONTROL!$C$42, 695, 695)*CHOOSE(CONTROL!$C$42, 0.5599, 0.5599)*CHOOSE(CONTROL!$C$42, 31, 31))/1000000</f>
        <v>12.063045499999998</v>
      </c>
      <c r="V15" s="56">
        <f>(1000*CHOOSE(CONTROL!$C$42, 580, 580)*CHOOSE(CONTROL!$C$42, 0.275, 0.275)*CHOOSE(CONTROL!$C$42, 31, 31))/1000000</f>
        <v>4.9444999999999997</v>
      </c>
      <c r="W15" s="56">
        <f>(1000*CHOOSE(CONTROL!$C$42, 0.0916, 0.0916)*CHOOSE(CONTROL!$C$42, 200, 200)*CHOOSE(CONTROL!$C$42, 31, 31))/1000000</f>
        <v>0.56791999999999998</v>
      </c>
      <c r="X15" s="56">
        <v>0</v>
      </c>
      <c r="Y15" s="56">
        <f>(0.195*2000000)/1000000</f>
        <v>0.39</v>
      </c>
      <c r="Z15" s="17">
        <f>CHOOSE(CONTROL!$C$42, 3.4041, 3.4041) * CHOOSE(CONTROL!$C$21, $C$9, 100%, $E$9)</f>
        <v>3.4041000000000001</v>
      </c>
      <c r="AA15" s="55">
        <f>(131500*31*(6/31))/1000000</f>
        <v>0.78900000000000003</v>
      </c>
      <c r="AB15" s="48">
        <f>(B15*122.58+C15*297.941+D15*89.177+E15*200.302+F15*40+G15*0+H15*0+I15*100+J15*300)/(122.58+297.941+89.177+200.302+0+40+0+100+300)</f>
        <v>3.4557055212173911</v>
      </c>
      <c r="AC15" s="45">
        <f>(M15*240+N15*0+O15*355+P15*100)/(240+0+355+100)</f>
        <v>3.4568553956834536</v>
      </c>
    </row>
    <row r="16" spans="1:29" ht="15.75" x14ac:dyDescent="0.25">
      <c r="A16" s="16">
        <v>41365</v>
      </c>
      <c r="B16" s="17">
        <f>CHOOSE(CONTROL!$C$42, 3.4858, 3.4858) * CHOOSE(CONTROL!$C$21, $C$9, 100%, $E$9)</f>
        <v>3.4857999999999998</v>
      </c>
      <c r="C16" s="17">
        <f>CHOOSE(CONTROL!$C$42, 3.4903, 3.4903) * CHOOSE(CONTROL!$C$21, $C$9, 100%, $E$9)</f>
        <v>3.4903</v>
      </c>
      <c r="D16" s="17">
        <f>CHOOSE(CONTROL!$C$42, 3.7404, 3.7404) * CHOOSE(CONTROL!$C$21, $C$9, 100%, $E$9)</f>
        <v>3.7404000000000002</v>
      </c>
      <c r="E16" s="17">
        <f>CHOOSE(CONTROL!$C$42, 3.7722, 3.7722) * CHOOSE(CONTROL!$C$21, $C$9, 100%, $E$9)</f>
        <v>3.7722000000000002</v>
      </c>
      <c r="F16" s="17">
        <f>CHOOSE(CONTROL!$C$42, 3.485, 3.485)*CHOOSE(CONTROL!$C$21, $C$9, 100%, $E$9)</f>
        <v>3.4849999999999999</v>
      </c>
      <c r="G16" s="17">
        <f>CHOOSE(CONTROL!$C$42, 3.499, 3.499)*CHOOSE(CONTROL!$C$21, $C$9, 100%, $E$9)</f>
        <v>3.4990000000000001</v>
      </c>
      <c r="H16" s="17">
        <f>CHOOSE(CONTROL!$C$42, 3.7617, 3.7617) * CHOOSE(CONTROL!$C$21, $C$9, 100%, $E$9)</f>
        <v>3.7616999999999998</v>
      </c>
      <c r="I16" s="17">
        <f>CHOOSE(CONTROL!$C$42, 3.5105, 3.5105)* CHOOSE(CONTROL!$C$21, $C$9, 100%, $E$9)</f>
        <v>3.5105</v>
      </c>
      <c r="J16" s="17">
        <f>CHOOSE(CONTROL!$C$42, 3.4776, 3.4776)* CHOOSE(CONTROL!$C$21, $C$9, 100%, $E$9)</f>
        <v>3.4775999999999998</v>
      </c>
      <c r="K16" s="52"/>
      <c r="L16" s="17">
        <f>CHOOSE(CONTROL!$C$42, 4.3487, 4.3487) * CHOOSE(CONTROL!$C$21, $C$9, 100%, $E$9)</f>
        <v>4.3487</v>
      </c>
      <c r="M16" s="17">
        <f>CHOOSE(CONTROL!$C$42, 3.4533, 3.4533) * CHOOSE(CONTROL!$C$21, $C$9, 100%, $E$9)</f>
        <v>3.4533</v>
      </c>
      <c r="N16" s="17">
        <f>CHOOSE(CONTROL!$C$42, 3.4672, 3.4672) * CHOOSE(CONTROL!$C$21, $C$9, 100%, $E$9)</f>
        <v>3.4672000000000001</v>
      </c>
      <c r="O16" s="17">
        <f>CHOOSE(CONTROL!$C$42, 3.7349, 3.7349) * CHOOSE(CONTROL!$C$21, $C$9, 100%, $E$9)</f>
        <v>3.7349000000000001</v>
      </c>
      <c r="P16" s="17">
        <f>CHOOSE(CONTROL!$C$42, 3.4858, 3.4858) * CHOOSE(CONTROL!$C$21, $C$9, 100%, $E$9)</f>
        <v>3.4857999999999998</v>
      </c>
      <c r="Q16" s="17">
        <f>CHOOSE(CONTROL!$C$42, 4.3296, 4.3296) * CHOOSE(CONTROL!$C$21, $C$9, 100%, $E$9)</f>
        <v>4.3296000000000001</v>
      </c>
      <c r="R16" s="17">
        <f>CHOOSE(CONTROL!$C$42, 4.9274, 4.9274) * CHOOSE(CONTROL!$C$21, $C$9, 100%, $E$9)</f>
        <v>4.9273999999999996</v>
      </c>
      <c r="S16" s="17">
        <f>CHOOSE(CONTROL!$C$42, 3.3699, 3.3699) * CHOOSE(CONTROL!$C$21, $C$9, 100%, $E$9)</f>
        <v>3.3698999999999999</v>
      </c>
      <c r="T16" s="56">
        <f>(((280000*CHOOSE(CONTROL!$C$42, 0.4694, 0.4694)+(839000-280000)*CHOOSE(CONTROL!$C$42, 0.7185, 0.7185)+400000*CHOOSE(CONTROL!$C$42, 1.14, 1.14))*CHOOSE(CONTROL!$C$42, 30, 30))/1000000)+CHOOSE(CONTROL!$C$42, 0.2248, 0.2248)+CHOOSE(CONTROL!$C$42, 0, 0)</f>
        <v>29.897005</v>
      </c>
      <c r="U16" s="56">
        <f>(1000*CHOOSE(CONTROL!$C$42, 695, 695)*CHOOSE(CONTROL!$C$42, 0.5599, 0.5599)*CHOOSE(CONTROL!$C$42, 30, 30))/1000000</f>
        <v>11.673914999999997</v>
      </c>
      <c r="V16" s="56">
        <f>(1000*CHOOSE(CONTROL!$C$42, 580, 580)*CHOOSE(CONTROL!$C$42, 0.275, 0.275)*CHOOSE(CONTROL!$C$42, 30, 30))/1000000</f>
        <v>4.7850000000000001</v>
      </c>
      <c r="W16" s="56">
        <f>(1000*CHOOSE(CONTROL!$C$42, 0.0916, 0.0916)*CHOOSE(CONTROL!$C$42, 200, 200)*CHOOSE(CONTROL!$C$42, 30, 30))/1000000</f>
        <v>0.54959999999999998</v>
      </c>
      <c r="X16" s="56">
        <f>30*0.1790888*145000/1000000</f>
        <v>0.77903627999999991</v>
      </c>
      <c r="Y16" s="56"/>
      <c r="Z16" s="17">
        <f>CHOOSE(CONTROL!$C$42, 3.4621, 3.4621) * CHOOSE(CONTROL!$C$21, $C$9, 100%, $E$9)</f>
        <v>3.4621</v>
      </c>
      <c r="AA16" s="55">
        <f>(131500*30*(6/30))/1000000</f>
        <v>0.78900000000000003</v>
      </c>
      <c r="AB16" s="48">
        <f>(B16*141.293+C16*267.993+D16*115.016+E16*249.698+F16*40+G16*25+H16*0+I16*100+J16*300)/(141.293+267.993+115.016+249.698+0+40+25+100+300)</f>
        <v>3.5683751003228408</v>
      </c>
      <c r="AC16" s="45">
        <f t="shared" ref="AC16:AC22" si="0">(M16*240+N16*120+O16*235+P16*100)/(240+120+235+100)</f>
        <v>3.5555935251798561</v>
      </c>
    </row>
    <row r="17" spans="1:29" ht="15.75" x14ac:dyDescent="0.25">
      <c r="A17" s="16">
        <v>41395</v>
      </c>
      <c r="B17" s="17">
        <f>CHOOSE(CONTROL!$C$42, 3.5532, 3.5532) * CHOOSE(CONTROL!$C$21, $C$9, 100%, $E$9)</f>
        <v>3.5531999999999999</v>
      </c>
      <c r="C17" s="17">
        <f>CHOOSE(CONTROL!$C$42, 3.5612, 3.5612) * CHOOSE(CONTROL!$C$21, $C$9, 100%, $E$9)</f>
        <v>3.5611999999999999</v>
      </c>
      <c r="D17" s="17">
        <f>CHOOSE(CONTROL!$C$42, 3.8082, 3.8082) * CHOOSE(CONTROL!$C$21, $C$9, 100%, $E$9)</f>
        <v>3.8081999999999998</v>
      </c>
      <c r="E17" s="17">
        <f>CHOOSE(CONTROL!$C$42, 3.8394, 3.8394) * CHOOSE(CONTROL!$C$21, $C$9, 100%, $E$9)</f>
        <v>3.8393999999999999</v>
      </c>
      <c r="F17" s="17">
        <f>CHOOSE(CONTROL!$C$42, 3.5519, 3.5519)*CHOOSE(CONTROL!$C$21, $C$9, 100%, $E$9)</f>
        <v>3.5518999999999998</v>
      </c>
      <c r="G17" s="17">
        <f>CHOOSE(CONTROL!$C$42, 3.5663, 3.5663)*CHOOSE(CONTROL!$C$21, $C$9, 100%, $E$9)</f>
        <v>3.5663</v>
      </c>
      <c r="H17" s="17">
        <f>CHOOSE(CONTROL!$C$42, 3.8277, 3.8277) * CHOOSE(CONTROL!$C$21, $C$9, 100%, $E$9)</f>
        <v>3.8277000000000001</v>
      </c>
      <c r="I17" s="17">
        <f>CHOOSE(CONTROL!$C$42, 3.5767, 3.5767)* CHOOSE(CONTROL!$C$21, $C$9, 100%, $E$9)</f>
        <v>3.5767000000000002</v>
      </c>
      <c r="J17" s="17">
        <f>CHOOSE(CONTROL!$C$42, 3.5445, 3.5445)* CHOOSE(CONTROL!$C$21, $C$9, 100%, $E$9)</f>
        <v>3.5445000000000002</v>
      </c>
      <c r="K17" s="52"/>
      <c r="L17" s="17">
        <f>CHOOSE(CONTROL!$C$42, 4.4147, 4.4147) * CHOOSE(CONTROL!$C$21, $C$9, 100%, $E$9)</f>
        <v>4.4146999999999998</v>
      </c>
      <c r="M17" s="17">
        <f>CHOOSE(CONTROL!$C$42, 3.5196, 3.5196) * CHOOSE(CONTROL!$C$21, $C$9, 100%, $E$9)</f>
        <v>3.5196000000000001</v>
      </c>
      <c r="N17" s="17">
        <f>CHOOSE(CONTROL!$C$42, 3.5339, 3.5339) * CHOOSE(CONTROL!$C$21, $C$9, 100%, $E$9)</f>
        <v>3.5339</v>
      </c>
      <c r="O17" s="17">
        <f>CHOOSE(CONTROL!$C$42, 3.8003, 3.8003) * CHOOSE(CONTROL!$C$21, $C$9, 100%, $E$9)</f>
        <v>3.8003</v>
      </c>
      <c r="P17" s="17">
        <f>CHOOSE(CONTROL!$C$42, 3.5515, 3.5515) * CHOOSE(CONTROL!$C$21, $C$9, 100%, $E$9)</f>
        <v>3.5514999999999999</v>
      </c>
      <c r="Q17" s="17">
        <f>CHOOSE(CONTROL!$C$42, 4.395, 4.395) * CHOOSE(CONTROL!$C$21, $C$9, 100%, $E$9)</f>
        <v>4.3949999999999996</v>
      </c>
      <c r="R17" s="17">
        <f>CHOOSE(CONTROL!$C$42, 4.993, 4.993) * CHOOSE(CONTROL!$C$21, $C$9, 100%, $E$9)</f>
        <v>4.9930000000000003</v>
      </c>
      <c r="S17" s="17">
        <f>CHOOSE(CONTROL!$C$42, 3.4339, 3.4339) * CHOOSE(CONTROL!$C$21, $C$9, 100%, $E$9)</f>
        <v>3.4339</v>
      </c>
      <c r="T17" s="57">
        <f>((((430000*CHOOSE(CONTROL!$C$42, 0.4694, 0.4694)+(874000-430000)*CHOOSE(CONTROL!$C$42, 0.7185, 0.7185)+400000*CHOOSE(CONTROL!$C$42, 1.14, 1.14)+30000*0.98)*CHOOSE(CONTROL!$C$42, 31, 31))/1000000))+CHOOSE(CONTROL!$C$42, 0.188, 0.188)+CHOOSE(CONTROL!$C$42, 0, 0)</f>
        <v>31.381936</v>
      </c>
      <c r="U17" s="56">
        <f>(1000*CHOOSE(CONTROL!$C$42, 695, 695)*CHOOSE(CONTROL!$C$42, 0.5599, 0.5599)*CHOOSE(CONTROL!$C$42, 31, 31))/1000000</f>
        <v>12.063045499999998</v>
      </c>
      <c r="V17" s="56">
        <f>(1000*CHOOSE(CONTROL!$C$42, 580, 580)*CHOOSE(CONTROL!$C$42, 0.275, 0.275)*CHOOSE(CONTROL!$C$42, 31, 31))/1000000</f>
        <v>4.9444999999999997</v>
      </c>
      <c r="W17" s="56">
        <f>(1000*CHOOSE(CONTROL!$C$42, 0.0916, 0.0916)*CHOOSE(CONTROL!$C$42, 200, 200)*CHOOSE(CONTROL!$C$42, 31, 31))/1000000</f>
        <v>0.56791999999999998</v>
      </c>
      <c r="X17" s="56">
        <f>31*0.1790888*145000/1000000</f>
        <v>0.80500415599999997</v>
      </c>
      <c r="Y17" s="56"/>
      <c r="Z17" s="17">
        <f>CHOOSE(CONTROL!$C$42, 3.5277, 3.5277) * CHOOSE(CONTROL!$C$21, $C$9, 100%, $E$9)</f>
        <v>3.5276999999999998</v>
      </c>
      <c r="AA17" s="55">
        <f>(131500*31*(6/31))/1000000</f>
        <v>0.78900000000000003</v>
      </c>
      <c r="AB17" s="48">
        <f>(B17*194.205+C17*267.466+D17*133.845+E17*213.484+F17*40+G17*25+H17*30+I17*100+J17*300)/(194.205+267.466+133.845+213.484+30+40+25+100+300)</f>
        <v>3.6341967973926388</v>
      </c>
      <c r="AC17" s="45">
        <f t="shared" si="0"/>
        <v>3.6215719424460429</v>
      </c>
    </row>
    <row r="18" spans="1:29" ht="15.75" x14ac:dyDescent="0.25">
      <c r="A18" s="16">
        <v>41426</v>
      </c>
      <c r="B18" s="17">
        <f>CHOOSE(CONTROL!$C$42, 3.6212, 3.6212) * CHOOSE(CONTROL!$C$21, $C$9, 100%, $E$9)</f>
        <v>3.6212</v>
      </c>
      <c r="C18" s="17">
        <f>CHOOSE(CONTROL!$C$42, 3.6292, 3.6292) * CHOOSE(CONTROL!$C$21, $C$9, 100%, $E$9)</f>
        <v>3.6292</v>
      </c>
      <c r="D18" s="17">
        <f>CHOOSE(CONTROL!$C$42, 3.8763, 3.8763) * CHOOSE(CONTROL!$C$21, $C$9, 100%, $E$9)</f>
        <v>3.8763000000000001</v>
      </c>
      <c r="E18" s="17">
        <f>CHOOSE(CONTROL!$C$42, 3.9074, 3.9074) * CHOOSE(CONTROL!$C$21, $C$9, 100%, $E$9)</f>
        <v>3.9074</v>
      </c>
      <c r="F18" s="17">
        <f>CHOOSE(CONTROL!$C$42, 3.6208, 3.6208)*CHOOSE(CONTROL!$C$21, $C$9, 100%, $E$9)</f>
        <v>3.6208</v>
      </c>
      <c r="G18" s="17">
        <f>CHOOSE(CONTROL!$C$42, 3.6355, 3.6355)*CHOOSE(CONTROL!$C$21, $C$9, 100%, $E$9)</f>
        <v>3.6355</v>
      </c>
      <c r="H18" s="17">
        <f>CHOOSE(CONTROL!$C$42, 3.8958, 3.8958) * CHOOSE(CONTROL!$C$21, $C$9, 100%, $E$9)</f>
        <v>3.8957999999999999</v>
      </c>
      <c r="I18" s="17">
        <f>CHOOSE(CONTROL!$C$42, 3.6449, 3.6449)* CHOOSE(CONTROL!$C$21, $C$9, 100%, $E$9)</f>
        <v>3.6448999999999998</v>
      </c>
      <c r="J18" s="17">
        <f>CHOOSE(CONTROL!$C$42, 3.6134, 3.6134)* CHOOSE(CONTROL!$C$21, $C$9, 100%, $E$9)</f>
        <v>3.6133999999999999</v>
      </c>
      <c r="K18" s="52"/>
      <c r="L18" s="17">
        <f>CHOOSE(CONTROL!$C$42, 4.4828, 4.4828) * CHOOSE(CONTROL!$C$21, $C$9, 100%, $E$9)</f>
        <v>4.4828000000000001</v>
      </c>
      <c r="M18" s="17">
        <f>CHOOSE(CONTROL!$C$42, 3.5879, 3.5879) * CHOOSE(CONTROL!$C$21, $C$9, 100%, $E$9)</f>
        <v>3.5878999999999999</v>
      </c>
      <c r="N18" s="17">
        <f>CHOOSE(CONTROL!$C$42, 3.6025, 3.6025) * CHOOSE(CONTROL!$C$21, $C$9, 100%, $E$9)</f>
        <v>3.6025</v>
      </c>
      <c r="O18" s="17">
        <f>CHOOSE(CONTROL!$C$42, 3.8677, 3.8677) * CHOOSE(CONTROL!$C$21, $C$9, 100%, $E$9)</f>
        <v>3.8677000000000001</v>
      </c>
      <c r="P18" s="17">
        <f>CHOOSE(CONTROL!$C$42, 3.6191, 3.6191) * CHOOSE(CONTROL!$C$21, $C$9, 100%, $E$9)</f>
        <v>3.6191</v>
      </c>
      <c r="Q18" s="17">
        <f>CHOOSE(CONTROL!$C$42, 4.4624, 4.4624) * CHOOSE(CONTROL!$C$21, $C$9, 100%, $E$9)</f>
        <v>4.4623999999999997</v>
      </c>
      <c r="R18" s="17">
        <f>CHOOSE(CONTROL!$C$42, 5.0606, 5.0606) * CHOOSE(CONTROL!$C$21, $C$9, 100%, $E$9)</f>
        <v>5.0606</v>
      </c>
      <c r="S18" s="17">
        <f>CHOOSE(CONTROL!$C$42, 3.4999, 3.4999) * CHOOSE(CONTROL!$C$21, $C$9, 100%, $E$9)</f>
        <v>3.4998999999999998</v>
      </c>
      <c r="T18" s="57">
        <f>((((430000*CHOOSE(CONTROL!$C$42, 0.4694, 0.4694)+(874000-430000)*CHOOSE(CONTROL!$C$42, 0.7185, 0.7185)+400000*CHOOSE(CONTROL!$C$42, 1.14, 1.14)+30000*0.98)*CHOOSE(CONTROL!$C$42, 30, 30))/1000000))+CHOOSE(CONTROL!$C$42, 0.1616, 0.1616)+CHOOSE(CONTROL!$C$42, 0.5074, 0.5074)</f>
        <v>30.856680000000001</v>
      </c>
      <c r="U18" s="56">
        <f>(1000*CHOOSE(CONTROL!$C$42, 695, 695)*CHOOSE(CONTROL!$C$42, 0.5599, 0.5599)*CHOOSE(CONTROL!$C$42, 30, 30))/1000000</f>
        <v>11.673914999999997</v>
      </c>
      <c r="V18" s="56">
        <f>(1000*CHOOSE(CONTROL!$C$42, 580, 580)*CHOOSE(CONTROL!$C$42, 0.275, 0.275)*CHOOSE(CONTROL!$C$42, 30, 30))/1000000</f>
        <v>4.7850000000000001</v>
      </c>
      <c r="W18" s="56">
        <f>(1000*CHOOSE(CONTROL!$C$42, 0.0916, 0.0916)*CHOOSE(CONTROL!$C$42, 200, 200)*CHOOSE(CONTROL!$C$42, 30, 30))/1000000</f>
        <v>0.54959999999999998</v>
      </c>
      <c r="X18" s="56">
        <f>30*0.1790888*145000/1000000</f>
        <v>0.77903627999999991</v>
      </c>
      <c r="Y18" s="56"/>
      <c r="Z18" s="17">
        <f>CHOOSE(CONTROL!$C$42, 3.5952, 3.5952) * CHOOSE(CONTROL!$C$21, $C$9, 100%, $E$9)</f>
        <v>3.5952000000000002</v>
      </c>
      <c r="AA18" s="55">
        <f>(131500*30*(6/30))/1000000</f>
        <v>0.78900000000000003</v>
      </c>
      <c r="AB18" s="48">
        <f>(B18*194.205+C18*267.466+D18*133.845+E18*213.484+F18*40+G18*25+H18*30+I18*100+J18*300)/(194.205+267.466+133.845+213.484+30+40+25+100+300)</f>
        <v>3.7024823683282206</v>
      </c>
      <c r="AC18" s="45">
        <f t="shared" si="0"/>
        <v>3.689518705035971</v>
      </c>
    </row>
    <row r="19" spans="1:29" ht="15.75" x14ac:dyDescent="0.25">
      <c r="A19" s="16">
        <v>41456</v>
      </c>
      <c r="B19" s="17">
        <f>CHOOSE(CONTROL!$C$42, 3.6821, 3.6821) * CHOOSE(CONTROL!$C$21, $C$9, 100%, $E$9)</f>
        <v>3.6821000000000002</v>
      </c>
      <c r="C19" s="17">
        <f>CHOOSE(CONTROL!$C$42, 3.6901, 3.6901) * CHOOSE(CONTROL!$C$21, $C$9, 100%, $E$9)</f>
        <v>3.6901000000000002</v>
      </c>
      <c r="D19" s="17">
        <f>CHOOSE(CONTROL!$C$42, 3.9371, 3.9371) * CHOOSE(CONTROL!$C$21, $C$9, 100%, $E$9)</f>
        <v>3.9371</v>
      </c>
      <c r="E19" s="17">
        <f>CHOOSE(CONTROL!$C$42, 3.9683, 3.9683) * CHOOSE(CONTROL!$C$21, $C$9, 100%, $E$9)</f>
        <v>3.9683000000000002</v>
      </c>
      <c r="F19" s="17">
        <f>CHOOSE(CONTROL!$C$42, 3.6824, 3.6824)*CHOOSE(CONTROL!$C$21, $C$9, 100%, $E$9)</f>
        <v>3.6823999999999999</v>
      </c>
      <c r="G19" s="17">
        <f>CHOOSE(CONTROL!$C$42, 3.6973, 3.6973)*CHOOSE(CONTROL!$C$21, $C$9, 100%, $E$9)</f>
        <v>3.6972999999999998</v>
      </c>
      <c r="H19" s="17">
        <f>CHOOSE(CONTROL!$C$42, 3.9566, 3.9566) * CHOOSE(CONTROL!$C$21, $C$9, 100%, $E$9)</f>
        <v>3.9565999999999999</v>
      </c>
      <c r="I19" s="17">
        <f>CHOOSE(CONTROL!$C$42, 3.706, 3.706)* CHOOSE(CONTROL!$C$21, $C$9, 100%, $E$9)</f>
        <v>3.706</v>
      </c>
      <c r="J19" s="17">
        <f>CHOOSE(CONTROL!$C$42, 3.675, 3.675)* CHOOSE(CONTROL!$C$21, $C$9, 100%, $E$9)</f>
        <v>3.6749999999999998</v>
      </c>
      <c r="K19" s="52"/>
      <c r="L19" s="17">
        <f>CHOOSE(CONTROL!$C$42, 4.5436, 4.5436) * CHOOSE(CONTROL!$C$21, $C$9, 100%, $E$9)</f>
        <v>4.5435999999999996</v>
      </c>
      <c r="M19" s="17">
        <f>CHOOSE(CONTROL!$C$42, 3.649, 3.649) * CHOOSE(CONTROL!$C$21, $C$9, 100%, $E$9)</f>
        <v>3.649</v>
      </c>
      <c r="N19" s="17">
        <f>CHOOSE(CONTROL!$C$42, 3.6638, 3.6638) * CHOOSE(CONTROL!$C$21, $C$9, 100%, $E$9)</f>
        <v>3.6638000000000002</v>
      </c>
      <c r="O19" s="17">
        <f>CHOOSE(CONTROL!$C$42, 3.928, 3.928) * CHOOSE(CONTROL!$C$21, $C$9, 100%, $E$9)</f>
        <v>3.9279999999999999</v>
      </c>
      <c r="P19" s="17">
        <f>CHOOSE(CONTROL!$C$42, 3.6796, 3.6796) * CHOOSE(CONTROL!$C$21, $C$9, 100%, $E$9)</f>
        <v>3.6796000000000002</v>
      </c>
      <c r="Q19" s="17">
        <f>CHOOSE(CONTROL!$C$42, 4.5227, 4.5227) * CHOOSE(CONTROL!$C$21, $C$9, 100%, $E$9)</f>
        <v>4.5227000000000004</v>
      </c>
      <c r="R19" s="17">
        <f>CHOOSE(CONTROL!$C$42, 5.121, 5.121) * CHOOSE(CONTROL!$C$21, $C$9, 100%, $E$9)</f>
        <v>5.1210000000000004</v>
      </c>
      <c r="S19" s="17">
        <f>CHOOSE(CONTROL!$C$42, 3.5589, 3.5589) * CHOOSE(CONTROL!$C$21, $C$9, 100%, $E$9)</f>
        <v>3.5589</v>
      </c>
      <c r="T19" s="57">
        <f>((((430000*CHOOSE(CONTROL!$C$42, 0.4694, 0.4694)+(874000-430000)*CHOOSE(CONTROL!$C$42, 0.7185, 0.7185)+400000*CHOOSE(CONTROL!$C$42, 1.14, 1.14)+30000*0.98)*CHOOSE(CONTROL!$C$42, 31, 31))/1000000))+CHOOSE(CONTROL!$C$42, 0.1555, 0.1555)+CHOOSE(CONTROL!$C$42, 0.5217, 0.5217)</f>
        <v>31.871136</v>
      </c>
      <c r="U19" s="56">
        <f>(1000*CHOOSE(CONTROL!$C$42, 695, 695)*CHOOSE(CONTROL!$C$42, 0.5599, 0.5599)*CHOOSE(CONTROL!$C$42, 31, 31))/1000000</f>
        <v>12.063045499999998</v>
      </c>
      <c r="V19" s="56">
        <f>(1000*CHOOSE(CONTROL!$C$42, 580, 580)*CHOOSE(CONTROL!$C$42, 0.275, 0.275)*CHOOSE(CONTROL!$C$42, 31, 31))/1000000</f>
        <v>4.9444999999999997</v>
      </c>
      <c r="W19" s="56">
        <f>(1000*CHOOSE(CONTROL!$C$42, 0.0916, 0.0916)*CHOOSE(CONTROL!$C$42, 200, 200)*CHOOSE(CONTROL!$C$42, 31, 31))/1000000</f>
        <v>0.56791999999999998</v>
      </c>
      <c r="X19" s="56">
        <f>31*0.1790888*145000/1000000</f>
        <v>0.80500415599999997</v>
      </c>
      <c r="Y19" s="56"/>
      <c r="Z19" s="17">
        <f>CHOOSE(CONTROL!$C$42, 3.6556, 3.6556) * CHOOSE(CONTROL!$C$21, $C$9, 100%, $E$9)</f>
        <v>3.6556000000000002</v>
      </c>
      <c r="AA19" s="55">
        <f>(131500*31*(6/31))/1000000</f>
        <v>0.78900000000000003</v>
      </c>
      <c r="AB19" s="48">
        <f>(B19*194.205+C19*267.466+D19*133.845+E19*213.484+F19*40+G19*25+H19*30+I19*100+J19*300)/(194.205+267.466+133.845+213.484+30+40+25+100+300)</f>
        <v>3.7635849108895703</v>
      </c>
      <c r="AC19" s="45">
        <f t="shared" si="0"/>
        <v>3.7502964028776979</v>
      </c>
    </row>
    <row r="20" spans="1:29" ht="15.75" x14ac:dyDescent="0.25">
      <c r="A20" s="16">
        <v>41487</v>
      </c>
      <c r="B20" s="17">
        <f>CHOOSE(CONTROL!$C$42, 3.7089, 3.7089) * CHOOSE(CONTROL!$C$21, $C$9, 100%, $E$9)</f>
        <v>3.7088999999999999</v>
      </c>
      <c r="C20" s="17">
        <f>CHOOSE(CONTROL!$C$42, 3.7169, 3.7169) * CHOOSE(CONTROL!$C$21, $C$9, 100%, $E$9)</f>
        <v>3.7168999999999999</v>
      </c>
      <c r="D20" s="17">
        <f>CHOOSE(CONTROL!$C$42, 3.9639, 3.9639) * CHOOSE(CONTROL!$C$21, $C$9, 100%, $E$9)</f>
        <v>3.9639000000000002</v>
      </c>
      <c r="E20" s="17">
        <f>CHOOSE(CONTROL!$C$42, 3.9951, 3.9951) * CHOOSE(CONTROL!$C$21, $C$9, 100%, $E$9)</f>
        <v>3.9950999999999999</v>
      </c>
      <c r="F20" s="17">
        <f>CHOOSE(CONTROL!$C$42, 3.7096, 3.7096)*CHOOSE(CONTROL!$C$21, $C$9, 100%, $E$9)</f>
        <v>3.7096</v>
      </c>
      <c r="G20" s="17">
        <f>CHOOSE(CONTROL!$C$42, 3.7246, 3.7246)*CHOOSE(CONTROL!$C$21, $C$9, 100%, $E$9)</f>
        <v>3.7246000000000001</v>
      </c>
      <c r="H20" s="17">
        <f>CHOOSE(CONTROL!$C$42, 3.9834, 3.9834) * CHOOSE(CONTROL!$C$21, $C$9, 100%, $E$9)</f>
        <v>3.9834000000000001</v>
      </c>
      <c r="I20" s="17">
        <f>CHOOSE(CONTROL!$C$42, 3.7329, 3.7329)* CHOOSE(CONTROL!$C$21, $C$9, 100%, $E$9)</f>
        <v>3.7328999999999999</v>
      </c>
      <c r="J20" s="17">
        <f>CHOOSE(CONTROL!$C$42, 3.7022, 3.7022)* CHOOSE(CONTROL!$C$21, $C$9, 100%, $E$9)</f>
        <v>3.7021999999999999</v>
      </c>
      <c r="K20" s="52"/>
      <c r="L20" s="17">
        <f>CHOOSE(CONTROL!$C$42, 4.5704, 4.5704) * CHOOSE(CONTROL!$C$21, $C$9, 100%, $E$9)</f>
        <v>4.5704000000000002</v>
      </c>
      <c r="M20" s="17">
        <f>CHOOSE(CONTROL!$C$42, 3.6759, 3.6759) * CHOOSE(CONTROL!$C$21, $C$9, 100%, $E$9)</f>
        <v>3.6758999999999999</v>
      </c>
      <c r="N20" s="17">
        <f>CHOOSE(CONTROL!$C$42, 3.6908, 3.6908) * CHOOSE(CONTROL!$C$21, $C$9, 100%, $E$9)</f>
        <v>3.6907999999999999</v>
      </c>
      <c r="O20" s="17">
        <f>CHOOSE(CONTROL!$C$42, 3.9546, 3.9546) * CHOOSE(CONTROL!$C$21, $C$9, 100%, $E$9)</f>
        <v>3.9546000000000001</v>
      </c>
      <c r="P20" s="17">
        <f>CHOOSE(CONTROL!$C$42, 3.7062, 3.7062) * CHOOSE(CONTROL!$C$21, $C$9, 100%, $E$9)</f>
        <v>3.7061999999999999</v>
      </c>
      <c r="Q20" s="17">
        <f>CHOOSE(CONTROL!$C$42, 4.5493, 4.5493) * CHOOSE(CONTROL!$C$21, $C$9, 100%, $E$9)</f>
        <v>4.5492999999999997</v>
      </c>
      <c r="R20" s="17">
        <f>CHOOSE(CONTROL!$C$42, 5.1477, 5.1477) * CHOOSE(CONTROL!$C$21, $C$9, 100%, $E$9)</f>
        <v>5.1477000000000004</v>
      </c>
      <c r="S20" s="17">
        <f>CHOOSE(CONTROL!$C$42, 3.5849, 3.5849) * CHOOSE(CONTROL!$C$21, $C$9, 100%, $E$9)</f>
        <v>3.5849000000000002</v>
      </c>
      <c r="T20" s="57">
        <f>((((430000*CHOOSE(CONTROL!$C$42, 0.4694, 0.4694)+(874000-430000)*CHOOSE(CONTROL!$C$42, 0.7185, 0.7185)+400000*CHOOSE(CONTROL!$C$42, 1.14, 1.14)+30000*0.98)*CHOOSE(CONTROL!$C$42, 31, 31))/1000000))+CHOOSE(CONTROL!$C$42, 0.1911, 0.1911)+CHOOSE(CONTROL!$C$42, 0.5131, 0.5131)</f>
        <v>31.898136000000001</v>
      </c>
      <c r="U20" s="56">
        <f>(1000*CHOOSE(CONTROL!$C$42, 695, 695)*CHOOSE(CONTROL!$C$42, 0.5599, 0.5599)*CHOOSE(CONTROL!$C$42, 31, 31))/1000000</f>
        <v>12.063045499999998</v>
      </c>
      <c r="V20" s="56">
        <f>(1000*CHOOSE(CONTROL!$C$42, 580, 580)*CHOOSE(CONTROL!$C$42, 0.275, 0.275)*CHOOSE(CONTROL!$C$42, 31, 31))/1000000</f>
        <v>4.9444999999999997</v>
      </c>
      <c r="W20" s="56">
        <f>(1000*CHOOSE(CONTROL!$C$42, 0.0916, 0.0916)*CHOOSE(CONTROL!$C$42, 200, 200)*CHOOSE(CONTROL!$C$42, 31, 31))/1000000</f>
        <v>0.56791999999999998</v>
      </c>
      <c r="X20" s="56">
        <f>31*0.1790888*145000/1000000</f>
        <v>0.80500415599999997</v>
      </c>
      <c r="Y20" s="56"/>
      <c r="Z20" s="17">
        <f>CHOOSE(CONTROL!$C$42, 3.6822, 3.6822) * CHOOSE(CONTROL!$C$21, $C$9, 100%, $E$9)</f>
        <v>3.6821999999999999</v>
      </c>
      <c r="AA20" s="55">
        <f>(131500*31*(6/31))/1000000</f>
        <v>0.78900000000000003</v>
      </c>
      <c r="AB20" s="48">
        <f>(B20*194.205+C20*267.466+D20*133.845+E20*213.484+F20*40+G20*25+H20*30+I20*100+J20*300)/(194.205+267.466+133.845+213.484+30+40+25+100+300)</f>
        <v>3.790506459969325</v>
      </c>
      <c r="AC20" s="45">
        <f t="shared" si="0"/>
        <v>3.7770690647482015</v>
      </c>
    </row>
    <row r="21" spans="1:29" ht="15.75" x14ac:dyDescent="0.25">
      <c r="A21" s="16">
        <v>41518</v>
      </c>
      <c r="B21" s="17">
        <f>CHOOSE(CONTROL!$C$42, 3.7179, 3.7179) * CHOOSE(CONTROL!$C$21, $C$9, 100%, $E$9)</f>
        <v>3.7179000000000002</v>
      </c>
      <c r="C21" s="17">
        <f>CHOOSE(CONTROL!$C$42, 3.7259, 3.7259) * CHOOSE(CONTROL!$C$21, $C$9, 100%, $E$9)</f>
        <v>3.7259000000000002</v>
      </c>
      <c r="D21" s="17">
        <f>CHOOSE(CONTROL!$C$42, 3.973, 3.973) * CHOOSE(CONTROL!$C$21, $C$9, 100%, $E$9)</f>
        <v>3.9729999999999999</v>
      </c>
      <c r="E21" s="17">
        <f>CHOOSE(CONTROL!$C$42, 4.0041, 4.0041) * CHOOSE(CONTROL!$C$21, $C$9, 100%, $E$9)</f>
        <v>4.0041000000000002</v>
      </c>
      <c r="F21" s="17">
        <f>CHOOSE(CONTROL!$C$42, 3.7188, 3.7188)*CHOOSE(CONTROL!$C$21, $C$9, 100%, $E$9)</f>
        <v>3.7187999999999999</v>
      </c>
      <c r="G21" s="17">
        <f>CHOOSE(CONTROL!$C$42, 3.7338, 3.7338)*CHOOSE(CONTROL!$C$21, $C$9, 100%, $E$9)</f>
        <v>3.7338</v>
      </c>
      <c r="H21" s="17">
        <f>CHOOSE(CONTROL!$C$42, 3.9925, 3.9925) * CHOOSE(CONTROL!$C$21, $C$9, 100%, $E$9)</f>
        <v>3.9925000000000002</v>
      </c>
      <c r="I21" s="17">
        <f>CHOOSE(CONTROL!$C$42, 3.7419, 3.7419)* CHOOSE(CONTROL!$C$21, $C$9, 100%, $E$9)</f>
        <v>3.7418999999999998</v>
      </c>
      <c r="J21" s="17">
        <f>CHOOSE(CONTROL!$C$42, 3.7114, 3.7114)* CHOOSE(CONTROL!$C$21, $C$9, 100%, $E$9)</f>
        <v>3.7113999999999998</v>
      </c>
      <c r="K21" s="52"/>
      <c r="L21" s="17">
        <f>CHOOSE(CONTROL!$C$42, 4.5795, 4.5795) * CHOOSE(CONTROL!$C$21, $C$9, 100%, $E$9)</f>
        <v>4.5795000000000003</v>
      </c>
      <c r="M21" s="17">
        <f>CHOOSE(CONTROL!$C$42, 3.685, 3.685) * CHOOSE(CONTROL!$C$21, $C$9, 100%, $E$9)</f>
        <v>3.6850000000000001</v>
      </c>
      <c r="N21" s="17">
        <f>CHOOSE(CONTROL!$C$42, 3.6999, 3.6999) * CHOOSE(CONTROL!$C$21, $C$9, 100%, $E$9)</f>
        <v>3.6999</v>
      </c>
      <c r="O21" s="17">
        <f>CHOOSE(CONTROL!$C$42, 3.9636, 3.9636) * CHOOSE(CONTROL!$C$21, $C$9, 100%, $E$9)</f>
        <v>3.9636</v>
      </c>
      <c r="P21" s="17">
        <f>CHOOSE(CONTROL!$C$42, 3.7152, 3.7152) * CHOOSE(CONTROL!$C$21, $C$9, 100%, $E$9)</f>
        <v>3.7151999999999998</v>
      </c>
      <c r="Q21" s="17">
        <f>CHOOSE(CONTROL!$C$42, 4.5583, 4.5583) * CHOOSE(CONTROL!$C$21, $C$9, 100%, $E$9)</f>
        <v>4.5583</v>
      </c>
      <c r="R21" s="17">
        <f>CHOOSE(CONTROL!$C$42, 5.1567, 5.1567) * CHOOSE(CONTROL!$C$21, $C$9, 100%, $E$9)</f>
        <v>5.1566999999999998</v>
      </c>
      <c r="S21" s="17">
        <f>CHOOSE(CONTROL!$C$42, 3.5937, 3.5937) * CHOOSE(CONTROL!$C$21, $C$9, 100%, $E$9)</f>
        <v>3.5937000000000001</v>
      </c>
      <c r="T21" s="57">
        <f>((((430000*CHOOSE(CONTROL!$C$42, 0.4694, 0.4694)+(874000-430000)*CHOOSE(CONTROL!$C$42, 0.7185, 0.7185)+400000*CHOOSE(CONTROL!$C$42, 1.14, 1.14)+30000*0.98)*CHOOSE(CONTROL!$C$42, 30, 30))/1000000))+CHOOSE(CONTROL!$C$42, 0.1717, 0.1717)+CHOOSE(CONTROL!$C$42, 0.4923, 0.4923)</f>
        <v>30.851680000000002</v>
      </c>
      <c r="U21" s="56">
        <f>(1000*CHOOSE(CONTROL!$C$42, 695, 695)*CHOOSE(CONTROL!$C$42, 0.5599, 0.5599)*CHOOSE(CONTROL!$C$42, 30, 30))/1000000</f>
        <v>11.673914999999997</v>
      </c>
      <c r="V21" s="56">
        <f>(1000*CHOOSE(CONTROL!$C$42, 580, 580)*CHOOSE(CONTROL!$C$42, 0.275, 0.275)*CHOOSE(CONTROL!$C$42, 30, 30))/1000000</f>
        <v>4.7850000000000001</v>
      </c>
      <c r="W21" s="56">
        <f>(1000*CHOOSE(CONTROL!$C$42, 0.0916, 0.0916)*CHOOSE(CONTROL!$C$42, 200, 200)*CHOOSE(CONTROL!$C$42, 30, 30))/1000000</f>
        <v>0.54959999999999998</v>
      </c>
      <c r="X21" s="56">
        <f>30*0.1790888*145000/1000000</f>
        <v>0.77903627999999991</v>
      </c>
      <c r="Y21" s="56"/>
      <c r="Z21" s="17">
        <f>CHOOSE(CONTROL!$C$42, 3.6912, 3.6912) * CHOOSE(CONTROL!$C$21, $C$9, 100%, $E$9)</f>
        <v>3.6911999999999998</v>
      </c>
      <c r="AA21" s="55">
        <f>(131500*30*(6/30))/1000000</f>
        <v>0.78900000000000003</v>
      </c>
      <c r="AB21" s="48">
        <f>(B21*194.205+C21*267.466+D21*133.845+E21*213.484+F21*40+G21*25+H21*30+I21*100+J21*300)/(194.205+267.466+133.845+213.484+30+40+25+100+300)</f>
        <v>3.7995750063650306</v>
      </c>
      <c r="AC21" s="45">
        <f t="shared" si="0"/>
        <v>3.7861208633093524</v>
      </c>
    </row>
    <row r="22" spans="1:29" ht="15.75" x14ac:dyDescent="0.25">
      <c r="A22" s="16">
        <v>41548</v>
      </c>
      <c r="B22" s="17">
        <f>CHOOSE(CONTROL!$C$42, 3.7472, 3.7472) * CHOOSE(CONTROL!$C$21, $C$9, 100%, $E$9)</f>
        <v>3.7471999999999999</v>
      </c>
      <c r="C22" s="17">
        <f>CHOOSE(CONTROL!$C$42, 3.7525, 3.7525) * CHOOSE(CONTROL!$C$21, $C$9, 100%, $E$9)</f>
        <v>3.7524999999999999</v>
      </c>
      <c r="D22" s="17">
        <f>CHOOSE(CONTROL!$C$42, 4.0044, 4.0044) * CHOOSE(CONTROL!$C$21, $C$9, 100%, $E$9)</f>
        <v>4.0044000000000004</v>
      </c>
      <c r="E22" s="17">
        <f>CHOOSE(CONTROL!$C$42, 4.0333, 4.0333) * CHOOSE(CONTROL!$C$21, $C$9, 100%, $E$9)</f>
        <v>4.0332999999999997</v>
      </c>
      <c r="F22" s="17">
        <f>CHOOSE(CONTROL!$C$42, 3.7501, 3.7501)*CHOOSE(CONTROL!$C$21, $C$9, 100%, $E$9)</f>
        <v>3.7501000000000002</v>
      </c>
      <c r="G22" s="17">
        <f>CHOOSE(CONTROL!$C$42, 3.765, 3.765)*CHOOSE(CONTROL!$C$21, $C$9, 100%, $E$9)</f>
        <v>3.7650000000000001</v>
      </c>
      <c r="H22" s="17">
        <f>CHOOSE(CONTROL!$C$42, 4.0234, 4.0234) * CHOOSE(CONTROL!$C$21, $C$9, 100%, $E$9)</f>
        <v>4.0233999999999996</v>
      </c>
      <c r="I22" s="17">
        <f>CHOOSE(CONTROL!$C$42, 3.773, 3.773)* CHOOSE(CONTROL!$C$21, $C$9, 100%, $E$9)</f>
        <v>3.7730000000000001</v>
      </c>
      <c r="J22" s="17">
        <f>CHOOSE(CONTROL!$C$42, 3.7427, 3.7427)* CHOOSE(CONTROL!$C$21, $C$9, 100%, $E$9)</f>
        <v>3.7427000000000001</v>
      </c>
      <c r="K22" s="52"/>
      <c r="L22" s="17">
        <f>CHOOSE(CONTROL!$C$42, 4.6104, 4.6104) * CHOOSE(CONTROL!$C$21, $C$9, 100%, $E$9)</f>
        <v>4.6104000000000003</v>
      </c>
      <c r="M22" s="17">
        <f>CHOOSE(CONTROL!$C$42, 3.716, 3.716) * CHOOSE(CONTROL!$C$21, $C$9, 100%, $E$9)</f>
        <v>3.7160000000000002</v>
      </c>
      <c r="N22" s="17">
        <f>CHOOSE(CONTROL!$C$42, 3.7308, 3.7308) * CHOOSE(CONTROL!$C$21, $C$9, 100%, $E$9)</f>
        <v>3.7307999999999999</v>
      </c>
      <c r="O22" s="17">
        <f>CHOOSE(CONTROL!$C$42, 3.9942, 3.9942) * CHOOSE(CONTROL!$C$21, $C$9, 100%, $E$9)</f>
        <v>3.9942000000000002</v>
      </c>
      <c r="P22" s="17">
        <f>CHOOSE(CONTROL!$C$42, 3.746, 3.746) * CHOOSE(CONTROL!$C$21, $C$9, 100%, $E$9)</f>
        <v>3.746</v>
      </c>
      <c r="Q22" s="17">
        <f>CHOOSE(CONTROL!$C$42, 4.5889, 4.5889) * CHOOSE(CONTROL!$C$21, $C$9, 100%, $E$9)</f>
        <v>4.5888999999999998</v>
      </c>
      <c r="R22" s="17">
        <f>CHOOSE(CONTROL!$C$42, 5.1874, 5.1874) * CHOOSE(CONTROL!$C$21, $C$9, 100%, $E$9)</f>
        <v>5.1874000000000002</v>
      </c>
      <c r="S22" s="17">
        <f>CHOOSE(CONTROL!$C$42, 3.6237, 3.6237) * CHOOSE(CONTROL!$C$21, $C$9, 100%, $E$9)</f>
        <v>3.6236999999999999</v>
      </c>
      <c r="T2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2" s="56">
        <f>(1000*CHOOSE(CONTROL!$C$42, 695, 695)*CHOOSE(CONTROL!$C$42, 0.5599, 0.5599)*CHOOSE(CONTROL!$C$42, 31, 31))/1000000</f>
        <v>12.063045499999998</v>
      </c>
      <c r="V22" s="56">
        <f>(1000*CHOOSE(CONTROL!$C$42, 580, 580)*CHOOSE(CONTROL!$C$42, 0.275, 0.275)*CHOOSE(CONTROL!$C$42, 31, 31))/1000000</f>
        <v>4.9444999999999997</v>
      </c>
      <c r="W22" s="56">
        <f>(1000*CHOOSE(CONTROL!$C$42, 0.0916, 0.0916)*CHOOSE(CONTROL!$C$42, 200, 200)*CHOOSE(CONTROL!$C$42, 31, 31))/1000000</f>
        <v>0.56791999999999998</v>
      </c>
      <c r="X22" s="56">
        <f>31*0.1790888*145000/1000000</f>
        <v>0.80500415599999997</v>
      </c>
      <c r="Y22" s="56"/>
      <c r="Z22" s="17">
        <f>CHOOSE(CONTROL!$C$42, 3.7219, 3.7219) * CHOOSE(CONTROL!$C$21, $C$9, 100%, $E$9)</f>
        <v>3.7219000000000002</v>
      </c>
      <c r="AA22" s="55">
        <f>(131500*31*(6/31))/1000000</f>
        <v>0.78900000000000003</v>
      </c>
      <c r="AB22" s="48">
        <f>(B22*131.881+C22*277.167+D22*79.08+E22*285.872+F22*40+G22*25+H22*0+I22*100+J22*300)/(131.881+277.167+79.08+285.872+0+40+25+100+300)</f>
        <v>3.8322583860371271</v>
      </c>
      <c r="AC22" s="45">
        <f t="shared" si="0"/>
        <v>3.8169395683453238</v>
      </c>
    </row>
    <row r="23" spans="1:29" ht="15.75" x14ac:dyDescent="0.25">
      <c r="A23" s="16">
        <v>41579</v>
      </c>
      <c r="B23" s="17">
        <f>CHOOSE(CONTROL!$C$42, 3.8705, 3.8705) * CHOOSE(CONTROL!$C$21, $C$9, 100%, $E$9)</f>
        <v>3.8704999999999998</v>
      </c>
      <c r="C23" s="17">
        <f>CHOOSE(CONTROL!$C$42, 3.8756, 3.8756) * CHOOSE(CONTROL!$C$21, $C$9, 100%, $E$9)</f>
        <v>3.8755999999999999</v>
      </c>
      <c r="D23" s="17">
        <f>CHOOSE(CONTROL!$C$42, 3.9724, 3.9724) * CHOOSE(CONTROL!$C$21, $C$9, 100%, $E$9)</f>
        <v>3.9723999999999999</v>
      </c>
      <c r="E23" s="17">
        <f>CHOOSE(CONTROL!$C$42, 4.0062, 4.0062) * CHOOSE(CONTROL!$C$21, $C$9, 100%, $E$9)</f>
        <v>4.0061999999999998</v>
      </c>
      <c r="F23" s="17">
        <f>CHOOSE(CONTROL!$C$42, 3.8807, 3.8807)*CHOOSE(CONTROL!$C$21, $C$9, 100%, $E$9)</f>
        <v>3.8807</v>
      </c>
      <c r="G23" s="17">
        <f>CHOOSE(CONTROL!$C$42, 3.896, 3.896)*CHOOSE(CONTROL!$C$21, $C$9, 100%, $E$9)</f>
        <v>3.8959999999999999</v>
      </c>
      <c r="H23" s="17">
        <f>CHOOSE(CONTROL!$C$42, 3.995, 3.995) * CHOOSE(CONTROL!$C$21, $C$9, 100%, $E$9)</f>
        <v>3.9950000000000001</v>
      </c>
      <c r="I23" s="17">
        <f>CHOOSE(CONTROL!$C$42, 3.9075, 3.9075)* CHOOSE(CONTROL!$C$21, $C$9, 100%, $E$9)</f>
        <v>3.9075000000000002</v>
      </c>
      <c r="J23" s="17">
        <f>CHOOSE(CONTROL!$C$42, 3.8733, 3.8733)* CHOOSE(CONTROL!$C$21, $C$9, 100%, $E$9)</f>
        <v>3.8733</v>
      </c>
      <c r="K23" s="52"/>
      <c r="L23" s="17">
        <f>CHOOSE(CONTROL!$C$42, 4.582, 4.582) * CHOOSE(CONTROL!$C$21, $C$9, 100%, $E$9)</f>
        <v>4.5819999999999999</v>
      </c>
      <c r="M23" s="17">
        <f>CHOOSE(CONTROL!$C$42, 3.8454, 3.8454) * CHOOSE(CONTROL!$C$21, $C$9, 100%, $E$9)</f>
        <v>3.8454000000000002</v>
      </c>
      <c r="N23" s="17">
        <f>CHOOSE(CONTROL!$C$42, 3.8606, 3.8606) * CHOOSE(CONTROL!$C$21, $C$9, 100%, $E$9)</f>
        <v>3.8605999999999998</v>
      </c>
      <c r="O23" s="17">
        <f>CHOOSE(CONTROL!$C$42, 3.9661, 3.9661) * CHOOSE(CONTROL!$C$21, $C$9, 100%, $E$9)</f>
        <v>3.9661</v>
      </c>
      <c r="P23" s="17">
        <f>CHOOSE(CONTROL!$C$42, 3.8793, 3.8793) * CHOOSE(CONTROL!$C$21, $C$9, 100%, $E$9)</f>
        <v>3.8793000000000002</v>
      </c>
      <c r="Q23" s="17">
        <f>CHOOSE(CONTROL!$C$42, 4.5608, 4.5608) * CHOOSE(CONTROL!$C$21, $C$9, 100%, $E$9)</f>
        <v>4.5608000000000004</v>
      </c>
      <c r="R23" s="17">
        <f>CHOOSE(CONTROL!$C$42, 5.1592, 5.1592) * CHOOSE(CONTROL!$C$21, $C$9, 100%, $E$9)</f>
        <v>5.1592000000000002</v>
      </c>
      <c r="S23" s="17">
        <f>CHOOSE(CONTROL!$C$42, 3.7437, 3.7437) * CHOOSE(CONTROL!$C$21, $C$9, 100%, $E$9)</f>
        <v>3.7437</v>
      </c>
      <c r="T2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3" s="56">
        <f>(1000*CHOOSE(CONTROL!$C$42, 695, 695)*CHOOSE(CONTROL!$C$42, 0.5599, 0.5599)*CHOOSE(CONTROL!$C$42, 30, 30))/1000000</f>
        <v>11.673914999999997</v>
      </c>
      <c r="V23" s="56">
        <f>(1000*CHOOSE(CONTROL!$C$42, 580, 580)*CHOOSE(CONTROL!$C$42, 0.275, 0.275)*CHOOSE(CONTROL!$C$42, 30, 30))/1000000</f>
        <v>4.7850000000000001</v>
      </c>
      <c r="W23" s="56">
        <f>(1000*CHOOSE(CONTROL!$C$42, 0.0916, 0.0916)*CHOOSE(CONTROL!$C$42, 200, 200)*CHOOSE(CONTROL!$C$42, 30, 30))/1000000</f>
        <v>0.54959999999999998</v>
      </c>
      <c r="X23" s="56">
        <v>0</v>
      </c>
      <c r="Y23" s="56"/>
      <c r="Z23" s="17">
        <f>CHOOSE(CONTROL!$C$42, 3.8565, 3.8565) * CHOOSE(CONTROL!$C$21, $C$9, 100%, $E$9)</f>
        <v>3.8565</v>
      </c>
      <c r="AA23" s="55">
        <f>(131500*30*(6/30))/1000000</f>
        <v>0.78900000000000003</v>
      </c>
      <c r="AB23" s="48">
        <f>(B23*122.58+C23*297.941+D23*89.177+E23*200.302+F23*40+G23*0+H23*0+I23*100+J23*300)/(122.58+297.941+89.177+200.302+0+40+0+100+300)</f>
        <v>3.9076614059130432</v>
      </c>
      <c r="AC23" s="45">
        <f>(M23*240+N23*0+O23*355+P23*100)/(240+0+355+100)</f>
        <v>3.9119302158273377</v>
      </c>
    </row>
    <row r="24" spans="1:29" ht="15.75" x14ac:dyDescent="0.25">
      <c r="A24" s="16">
        <v>41609</v>
      </c>
      <c r="B24" s="17">
        <f>CHOOSE(CONTROL!$C$42, 4.084, 4.084) * CHOOSE(CONTROL!$C$21, $C$9, 100%, $E$9)</f>
        <v>4.0839999999999996</v>
      </c>
      <c r="C24" s="17">
        <f>CHOOSE(CONTROL!$C$42, 4.089, 4.089) * CHOOSE(CONTROL!$C$21, $C$9, 100%, $E$9)</f>
        <v>4.0890000000000004</v>
      </c>
      <c r="D24" s="17">
        <f>CHOOSE(CONTROL!$C$42, 4.1859, 4.1859) * CHOOSE(CONTROL!$C$21, $C$9, 100%, $E$9)</f>
        <v>4.1859000000000002</v>
      </c>
      <c r="E24" s="17">
        <f>CHOOSE(CONTROL!$C$42, 4.2196, 4.2196) * CHOOSE(CONTROL!$C$21, $C$9, 100%, $E$9)</f>
        <v>4.2195999999999998</v>
      </c>
      <c r="F24" s="17">
        <f>CHOOSE(CONTROL!$C$42, 4.0969, 4.0969)*CHOOSE(CONTROL!$C$21, $C$9, 100%, $E$9)</f>
        <v>4.0968999999999998</v>
      </c>
      <c r="G24" s="17">
        <f>CHOOSE(CONTROL!$C$42, 4.1129, 4.1129)*CHOOSE(CONTROL!$C$21, $C$9, 100%, $E$9)</f>
        <v>4.1128999999999998</v>
      </c>
      <c r="H24" s="17">
        <f>CHOOSE(CONTROL!$C$42, 4.2085, 4.2085) * CHOOSE(CONTROL!$C$21, $C$9, 100%, $E$9)</f>
        <v>4.2084999999999999</v>
      </c>
      <c r="I24" s="17">
        <f>CHOOSE(CONTROL!$C$42, 4.1216, 4.1216)* CHOOSE(CONTROL!$C$21, $C$9, 100%, $E$9)</f>
        <v>4.1215999999999999</v>
      </c>
      <c r="J24" s="17">
        <f>CHOOSE(CONTROL!$C$42, 4.0895, 4.0895)* CHOOSE(CONTROL!$C$21, $C$9, 100%, $E$9)</f>
        <v>4.0895000000000001</v>
      </c>
      <c r="K24" s="52"/>
      <c r="L24" s="17">
        <f>CHOOSE(CONTROL!$C$42, 4.7955, 4.7955) * CHOOSE(CONTROL!$C$21, $C$9, 100%, $E$9)</f>
        <v>4.7954999999999997</v>
      </c>
      <c r="M24" s="17">
        <f>CHOOSE(CONTROL!$C$42, 4.0597, 4.0597) * CHOOSE(CONTROL!$C$21, $C$9, 100%, $E$9)</f>
        <v>4.0597000000000003</v>
      </c>
      <c r="N24" s="17">
        <f>CHOOSE(CONTROL!$C$42, 4.0756, 4.0756) * CHOOSE(CONTROL!$C$21, $C$9, 100%, $E$9)</f>
        <v>4.0755999999999997</v>
      </c>
      <c r="O24" s="17">
        <f>CHOOSE(CONTROL!$C$42, 4.1777, 4.1777) * CHOOSE(CONTROL!$C$21, $C$9, 100%, $E$9)</f>
        <v>4.1776999999999997</v>
      </c>
      <c r="P24" s="17">
        <f>CHOOSE(CONTROL!$C$42, 4.0915, 4.0915) * CHOOSE(CONTROL!$C$21, $C$9, 100%, $E$9)</f>
        <v>4.0914999999999999</v>
      </c>
      <c r="Q24" s="17">
        <f>CHOOSE(CONTROL!$C$42, 4.7724, 4.7724) * CHOOSE(CONTROL!$C$21, $C$9, 100%, $E$9)</f>
        <v>4.7724000000000002</v>
      </c>
      <c r="R24" s="17">
        <f>CHOOSE(CONTROL!$C$42, 5.3713, 5.3713) * CHOOSE(CONTROL!$C$21, $C$9, 100%, $E$9)</f>
        <v>5.3712999999999997</v>
      </c>
      <c r="S24" s="17">
        <f>CHOOSE(CONTROL!$C$42, 3.9507, 3.9507) * CHOOSE(CONTROL!$C$21, $C$9, 100%, $E$9)</f>
        <v>3.9506999999999999</v>
      </c>
      <c r="T2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4" s="56">
        <f>(1000*CHOOSE(CONTROL!$C$42, 695, 695)*CHOOSE(CONTROL!$C$42, 0.5599, 0.5599)*CHOOSE(CONTROL!$C$42, 31, 31))/1000000</f>
        <v>12.063045499999998</v>
      </c>
      <c r="V24" s="56">
        <f>(1000*CHOOSE(CONTROL!$C$42, 580, 580)*CHOOSE(CONTROL!$C$42, 0.275, 0.275)*CHOOSE(CONTROL!$C$42, 31, 31))/1000000</f>
        <v>4.9444999999999997</v>
      </c>
      <c r="W24" s="56">
        <f>(1000*CHOOSE(CONTROL!$C$42, 0.0916, 0.0916)*CHOOSE(CONTROL!$C$42, 200, 200)*CHOOSE(CONTROL!$C$42, 31, 31))/1000000</f>
        <v>0.56791999999999998</v>
      </c>
      <c r="X24" s="56">
        <v>0</v>
      </c>
      <c r="Y24" s="56"/>
      <c r="Z24" s="17">
        <f>CHOOSE(CONTROL!$C$42, 4.0684, 4.0684) * CHOOSE(CONTROL!$C$21, $C$9, 100%, $E$9)</f>
        <v>4.0683999999999996</v>
      </c>
      <c r="AA24" s="55">
        <f>(131500*31*(6/31))/1000000</f>
        <v>0.78900000000000003</v>
      </c>
      <c r="AB24" s="48">
        <f>(B24*122.58+C24*297.941+D24*89.177+E24*200.302+F24*40+G24*0+H24*0+I24*100+J24*300)/(122.58+297.941+89.177+200.302+0+40+0+100+300)</f>
        <v>4.1219685152173913</v>
      </c>
      <c r="AC24" s="45">
        <f>(M24*240+N24*0+O24*355+P24*100)/(240+0+355+100)</f>
        <v>4.1245489208633099</v>
      </c>
    </row>
    <row r="25" spans="1:29" ht="15" x14ac:dyDescent="0.2">
      <c r="A25" s="16">
        <v>41640</v>
      </c>
      <c r="B25" s="17">
        <f>CHOOSE(CONTROL!$C$42, 4.1892, 4.1892) * CHOOSE(CONTROL!$C$21, $C$9, 100%, $E$9)</f>
        <v>4.1891999999999996</v>
      </c>
      <c r="C25" s="17">
        <f>CHOOSE(CONTROL!$C$42, 4.1942, 4.1942) * CHOOSE(CONTROL!$C$21, $C$9, 100%, $E$9)</f>
        <v>4.1942000000000004</v>
      </c>
      <c r="D25" s="17">
        <f>CHOOSE(CONTROL!$C$42, 4.2911, 4.2911) * CHOOSE(CONTROL!$C$21, $C$9, 100%, $E$9)</f>
        <v>4.2911000000000001</v>
      </c>
      <c r="E25" s="17">
        <f>CHOOSE(CONTROL!$C$42, 4.3248, 4.3248) * CHOOSE(CONTROL!$C$21, $C$9, 100%, $E$9)</f>
        <v>4.3247999999999998</v>
      </c>
      <c r="F25" s="17">
        <f>CHOOSE(CONTROL!$C$42, 4.2034, 4.2034)*CHOOSE(CONTROL!$C$21, $C$9, 100%, $E$9)</f>
        <v>4.2034000000000002</v>
      </c>
      <c r="G25" s="17">
        <f>CHOOSE(CONTROL!$C$42, 4.2198, 4.2198)*CHOOSE(CONTROL!$C$21, $C$9, 100%, $E$9)</f>
        <v>4.2198000000000002</v>
      </c>
      <c r="H25" s="17">
        <f>CHOOSE(CONTROL!$C$42, 4.3137, 4.3137) * CHOOSE(CONTROL!$C$21, $C$9, 100%, $E$9)</f>
        <v>4.3136999999999999</v>
      </c>
      <c r="I25" s="17">
        <f>CHOOSE(CONTROL!$C$42, 4.2271, 4.2271)* CHOOSE(CONTROL!$C$21, $C$9, 100%, $E$9)</f>
        <v>4.2271000000000001</v>
      </c>
      <c r="J25" s="17">
        <f>CHOOSE(CONTROL!$C$42, 4.196, 4.196)* CHOOSE(CONTROL!$C$21, $C$9, 100%, $E$9)</f>
        <v>4.1959999999999997</v>
      </c>
      <c r="K25" s="58"/>
      <c r="L25" s="17">
        <f>CHOOSE(CONTROL!$C$42, 4.9007, 4.9007) * CHOOSE(CONTROL!$C$21, $C$9, 100%, $E$9)</f>
        <v>4.9006999999999996</v>
      </c>
      <c r="M25" s="17">
        <f>CHOOSE(CONTROL!$C$42, 4.1653, 4.1653) * CHOOSE(CONTROL!$C$21, $C$9, 100%, $E$9)</f>
        <v>4.1653000000000002</v>
      </c>
      <c r="N25" s="17">
        <f>CHOOSE(CONTROL!$C$42, 4.1816, 4.1816) * CHOOSE(CONTROL!$C$21, $C$9, 100%, $E$9)</f>
        <v>4.1816000000000004</v>
      </c>
      <c r="O25" s="17">
        <f>CHOOSE(CONTROL!$C$42, 4.2819, 4.2819) * CHOOSE(CONTROL!$C$21, $C$9, 100%, $E$9)</f>
        <v>4.2819000000000003</v>
      </c>
      <c r="P25" s="17">
        <f>CHOOSE(CONTROL!$C$42, 4.196, 4.196) * CHOOSE(CONTROL!$C$21, $C$9, 100%, $E$9)</f>
        <v>4.1959999999999997</v>
      </c>
      <c r="Q25" s="17">
        <f>CHOOSE(CONTROL!$C$42, 4.8766, 4.8766) * CHOOSE(CONTROL!$C$21, $C$9, 100%, $E$9)</f>
        <v>4.8765999999999998</v>
      </c>
      <c r="R25" s="17">
        <f>CHOOSE(CONTROL!$C$42, 5.4758, 5.4758) * CHOOSE(CONTROL!$C$21, $C$9, 100%, $E$9)</f>
        <v>5.4757999999999996</v>
      </c>
      <c r="S25" s="17">
        <f>CHOOSE(CONTROL!$C$42, 4.0527, 4.0527) * CHOOSE(CONTROL!$C$21, $C$9, 100%, $E$9)</f>
        <v>4.0526999999999997</v>
      </c>
      <c r="T2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5" s="56">
        <f>(1000*CHOOSE(CONTROL!$C$42, 695, 695)*CHOOSE(CONTROL!$C$42, 0.5599, 0.5599)*CHOOSE(CONTROL!$C$42, 31, 31))/1000000</f>
        <v>12.063045499999998</v>
      </c>
      <c r="V25" s="56">
        <f>(1000*CHOOSE(CONTROL!$C$42, 580, 580)*CHOOSE(CONTROL!$C$42, 0.275, 0.275)*CHOOSE(CONTROL!$C$42, 31, 31))/1000000</f>
        <v>4.9444999999999997</v>
      </c>
      <c r="W25" s="56">
        <f>(1000*CHOOSE(CONTROL!$C$42, 0.0916, 0.0916)*CHOOSE(CONTROL!$C$42, 200, 200)*CHOOSE(CONTROL!$C$42, 31, 31))/1000000</f>
        <v>0.56791999999999998</v>
      </c>
      <c r="X25" s="56">
        <v>0</v>
      </c>
      <c r="Y25" s="56"/>
      <c r="Z25" s="17">
        <f>CHOOSE(CONTROL!$C$42, 4.1728, 4.1728) * CHOOSE(CONTROL!$C$21, $C$9, 100%, $E$9)</f>
        <v>4.1727999999999996</v>
      </c>
      <c r="AA25" s="55">
        <f>(131500*31*(6/31))/1000000</f>
        <v>0.78900000000000003</v>
      </c>
      <c r="AB25" s="48">
        <f>(B25*122.58+C25*297.941+D25*89.177+E25*200.302+F25*40+G25*0+H25*0+I25*100+J25*300)/(122.58+297.941+89.177+200.302+0+40+0+100+300)</f>
        <v>4.2275789499999998</v>
      </c>
      <c r="AC25" s="45">
        <f>(M25*240+N25*0+O25*355+P25*100)/(240+0+355+100)</f>
        <v>4.2292755395683459</v>
      </c>
    </row>
    <row r="26" spans="1:29" ht="15" x14ac:dyDescent="0.2">
      <c r="A26" s="16">
        <v>41671</v>
      </c>
      <c r="B26" s="17">
        <f>CHOOSE(CONTROL!$C$42, 4.1881, 4.1881) * CHOOSE(CONTROL!$C$21, $C$9, 100%, $E$9)</f>
        <v>4.1881000000000004</v>
      </c>
      <c r="C26" s="17">
        <f>CHOOSE(CONTROL!$C$42, 4.1932, 4.1932) * CHOOSE(CONTROL!$C$21, $C$9, 100%, $E$9)</f>
        <v>4.1932</v>
      </c>
      <c r="D26" s="17">
        <f>CHOOSE(CONTROL!$C$42, 4.29, 4.29) * CHOOSE(CONTROL!$C$21, $C$9, 100%, $E$9)</f>
        <v>4.29</v>
      </c>
      <c r="E26" s="17">
        <f>CHOOSE(CONTROL!$C$42, 4.3238, 4.3238) * CHOOSE(CONTROL!$C$21, $C$9, 100%, $E$9)</f>
        <v>4.3238000000000003</v>
      </c>
      <c r="F26" s="17">
        <f>CHOOSE(CONTROL!$C$42, 4.2024, 4.2024)*CHOOSE(CONTROL!$C$21, $C$9, 100%, $E$9)</f>
        <v>4.2023999999999999</v>
      </c>
      <c r="G26" s="17">
        <f>CHOOSE(CONTROL!$C$42, 4.2188, 4.2188)*CHOOSE(CONTROL!$C$21, $C$9, 100%, $E$9)</f>
        <v>4.2187999999999999</v>
      </c>
      <c r="H26" s="17">
        <f>CHOOSE(CONTROL!$C$42, 4.3127, 4.3127) * CHOOSE(CONTROL!$C$21, $C$9, 100%, $E$9)</f>
        <v>4.3127000000000004</v>
      </c>
      <c r="I26" s="17">
        <f>CHOOSE(CONTROL!$C$42, 4.2261, 4.2261)* CHOOSE(CONTROL!$C$21, $C$9, 100%, $E$9)</f>
        <v>4.2260999999999997</v>
      </c>
      <c r="J26" s="17">
        <f>CHOOSE(CONTROL!$C$42, 4.195, 4.195)* CHOOSE(CONTROL!$C$21, $C$9, 100%, $E$9)</f>
        <v>4.1950000000000003</v>
      </c>
      <c r="K26" s="58"/>
      <c r="L26" s="17">
        <f>CHOOSE(CONTROL!$C$42, 4.8997, 4.8997) * CHOOSE(CONTROL!$C$21, $C$9, 100%, $E$9)</f>
        <v>4.8997000000000002</v>
      </c>
      <c r="M26" s="17">
        <f>CHOOSE(CONTROL!$C$42, 4.1642, 4.1642) * CHOOSE(CONTROL!$C$21, $C$9, 100%, $E$9)</f>
        <v>4.1642000000000001</v>
      </c>
      <c r="N26" s="17">
        <f>CHOOSE(CONTROL!$C$42, 4.1805, 4.1805) * CHOOSE(CONTROL!$C$21, $C$9, 100%, $E$9)</f>
        <v>4.1805000000000003</v>
      </c>
      <c r="O26" s="17">
        <f>CHOOSE(CONTROL!$C$42, 4.2809, 4.2809) * CHOOSE(CONTROL!$C$21, $C$9, 100%, $E$9)</f>
        <v>4.2808999999999999</v>
      </c>
      <c r="P26" s="17">
        <f>CHOOSE(CONTROL!$C$42, 4.195, 4.195) * CHOOSE(CONTROL!$C$21, $C$9, 100%, $E$9)</f>
        <v>4.1950000000000003</v>
      </c>
      <c r="Q26" s="17">
        <f>CHOOSE(CONTROL!$C$42, 4.8756, 4.8756) * CHOOSE(CONTROL!$C$21, $C$9, 100%, $E$9)</f>
        <v>4.8756000000000004</v>
      </c>
      <c r="R26" s="17">
        <f>CHOOSE(CONTROL!$C$42, 5.4748, 5.4748) * CHOOSE(CONTROL!$C$21, $C$9, 100%, $E$9)</f>
        <v>5.4748000000000001</v>
      </c>
      <c r="S26" s="17">
        <f>CHOOSE(CONTROL!$C$42, 4.0517, 4.0517) * CHOOSE(CONTROL!$C$21, $C$9, 100%, $E$9)</f>
        <v>4.0517000000000003</v>
      </c>
      <c r="T2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6" s="56">
        <f>(1000*CHOOSE(CONTROL!$C$42, 695, 695)*CHOOSE(CONTROL!$C$42, 0.5599, 0.5599)*CHOOSE(CONTROL!$C$42, 28, 28))/1000000</f>
        <v>10.895653999999999</v>
      </c>
      <c r="V26" s="56">
        <f>(1000*CHOOSE(CONTROL!$C$42, 580, 580)*CHOOSE(CONTROL!$C$42, 0.275, 0.275)*CHOOSE(CONTROL!$C$42, 28, 28))/1000000</f>
        <v>4.4660000000000002</v>
      </c>
      <c r="W26" s="56">
        <f>(1000*CHOOSE(CONTROL!$C$42, 0.0916, 0.0916)*CHOOSE(CONTROL!$C$42, 200, 200)*CHOOSE(CONTROL!$C$42, 28, 28))/1000000</f>
        <v>0.51295999999999997</v>
      </c>
      <c r="X26" s="56">
        <v>0</v>
      </c>
      <c r="Y26" s="56"/>
      <c r="Z26" s="17">
        <f>CHOOSE(CONTROL!$C$42, 4.1717, 4.1717) * CHOOSE(CONTROL!$C$21, $C$9, 100%, $E$9)</f>
        <v>4.1717000000000004</v>
      </c>
      <c r="AA26" s="55">
        <f>(131500*28*(6/28))/1000000</f>
        <v>0.78900000000000003</v>
      </c>
      <c r="AB26" s="48">
        <f>(B26*122.58+C26*297.941+D26*89.177+E26*200.302+F26*40+G26*0+H26*0+I26*100+J26*300)/(122.58+297.941+89.177+200.302+0+40+0+100+300)</f>
        <v>4.2265605363478258</v>
      </c>
      <c r="AC26" s="45">
        <f>(M26*240+N26*0+O26*355+P26*100)/(240+0+355+100)</f>
        <v>4.2282410071942449</v>
      </c>
    </row>
    <row r="27" spans="1:29" ht="15" x14ac:dyDescent="0.2">
      <c r="A27" s="16">
        <v>41699</v>
      </c>
      <c r="B27" s="17">
        <f>CHOOSE(CONTROL!$C$42, 4.1386, 4.1386) * CHOOSE(CONTROL!$C$21, $C$9, 100%, $E$9)</f>
        <v>4.1386000000000003</v>
      </c>
      <c r="C27" s="17">
        <f>CHOOSE(CONTROL!$C$42, 4.1437, 4.1437) * CHOOSE(CONTROL!$C$21, $C$9, 100%, $E$9)</f>
        <v>4.1436999999999999</v>
      </c>
      <c r="D27" s="17">
        <f>CHOOSE(CONTROL!$C$42, 4.2405, 4.2405) * CHOOSE(CONTROL!$C$21, $C$9, 100%, $E$9)</f>
        <v>4.2404999999999999</v>
      </c>
      <c r="E27" s="17">
        <f>CHOOSE(CONTROL!$C$42, 4.2743, 4.2743) * CHOOSE(CONTROL!$C$21, $C$9, 100%, $E$9)</f>
        <v>4.2743000000000002</v>
      </c>
      <c r="F27" s="17">
        <f>CHOOSE(CONTROL!$C$42, 4.1522, 4.1522)*CHOOSE(CONTROL!$C$21, $C$9, 100%, $E$9)</f>
        <v>4.1521999999999997</v>
      </c>
      <c r="G27" s="17">
        <f>CHOOSE(CONTROL!$C$42, 4.1685, 4.1685)*CHOOSE(CONTROL!$C$21, $C$9, 100%, $E$9)</f>
        <v>4.1684999999999999</v>
      </c>
      <c r="H27" s="17">
        <f>CHOOSE(CONTROL!$C$42, 4.2632, 4.2632) * CHOOSE(CONTROL!$C$21, $C$9, 100%, $E$9)</f>
        <v>4.2632000000000003</v>
      </c>
      <c r="I27" s="17">
        <f>CHOOSE(CONTROL!$C$42, 4.1764, 4.1764)* CHOOSE(CONTROL!$C$21, $C$9, 100%, $E$9)</f>
        <v>4.1764000000000001</v>
      </c>
      <c r="J27" s="17">
        <f>CHOOSE(CONTROL!$C$42, 4.1448, 4.1448)* CHOOSE(CONTROL!$C$21, $C$9, 100%, $E$9)</f>
        <v>4.1448</v>
      </c>
      <c r="K27" s="58"/>
      <c r="L27" s="17">
        <f>CHOOSE(CONTROL!$C$42, 4.8502, 4.8502) * CHOOSE(CONTROL!$C$21, $C$9, 100%, $E$9)</f>
        <v>4.8502000000000001</v>
      </c>
      <c r="M27" s="17">
        <f>CHOOSE(CONTROL!$C$42, 4.1146, 4.1146) * CHOOSE(CONTROL!$C$21, $C$9, 100%, $E$9)</f>
        <v>4.1146000000000003</v>
      </c>
      <c r="N27" s="17">
        <f>CHOOSE(CONTROL!$C$42, 4.1307, 4.1307) * CHOOSE(CONTROL!$C$21, $C$9, 100%, $E$9)</f>
        <v>4.1307</v>
      </c>
      <c r="O27" s="17">
        <f>CHOOSE(CONTROL!$C$42, 4.2318, 4.2318) * CHOOSE(CONTROL!$C$21, $C$9, 100%, $E$9)</f>
        <v>4.2317999999999998</v>
      </c>
      <c r="P27" s="17">
        <f>CHOOSE(CONTROL!$C$42, 4.1458, 4.1458) * CHOOSE(CONTROL!$C$21, $C$9, 100%, $E$9)</f>
        <v>4.1458000000000004</v>
      </c>
      <c r="Q27" s="17">
        <f>CHOOSE(CONTROL!$C$42, 4.8265, 4.8265) * CHOOSE(CONTROL!$C$21, $C$9, 100%, $E$9)</f>
        <v>4.8265000000000002</v>
      </c>
      <c r="R27" s="17">
        <f>CHOOSE(CONTROL!$C$42, 5.4256, 5.4256) * CHOOSE(CONTROL!$C$21, $C$9, 100%, $E$9)</f>
        <v>5.4256000000000002</v>
      </c>
      <c r="S27" s="17">
        <f>CHOOSE(CONTROL!$C$42, 4.0037, 4.0037) * CHOOSE(CONTROL!$C$21, $C$9, 100%, $E$9)</f>
        <v>4.0037000000000003</v>
      </c>
      <c r="T2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7" s="56">
        <f>(1000*CHOOSE(CONTROL!$C$42, 695, 695)*CHOOSE(CONTROL!$C$42, 0.5599, 0.5599)*CHOOSE(CONTROL!$C$42, 31, 31))/1000000</f>
        <v>12.063045499999998</v>
      </c>
      <c r="V27" s="56">
        <f>(1000*CHOOSE(CONTROL!$C$42, 580, 580)*CHOOSE(CONTROL!$C$42, 0.275, 0.275)*CHOOSE(CONTROL!$C$42, 31, 31))/1000000</f>
        <v>4.9444999999999997</v>
      </c>
      <c r="W27" s="56">
        <f>(1000*CHOOSE(CONTROL!$C$42, 0.0916, 0.0916)*CHOOSE(CONTROL!$C$42, 200, 200)*CHOOSE(CONTROL!$C$42, 31, 31))/1000000</f>
        <v>0.56791999999999998</v>
      </c>
      <c r="X27" s="56">
        <v>0</v>
      </c>
      <c r="Y27" s="56"/>
      <c r="Z27" s="17">
        <f>CHOOSE(CONTROL!$C$42, 4.1226, 4.1226) * CHOOSE(CONTROL!$C$21, $C$9, 100%, $E$9)</f>
        <v>4.1226000000000003</v>
      </c>
      <c r="AA27" s="55">
        <f>(131500*31*(6/31))/1000000</f>
        <v>0.78900000000000003</v>
      </c>
      <c r="AB27" s="48">
        <f>(B27*122.58+C27*297.941+D27*89.177+E27*200.302+F27*40+G27*0+H27*0+I27*100+J27*300)/(122.58+297.941+89.177+200.302+0+40+0+100+300)</f>
        <v>4.1768361885217402</v>
      </c>
      <c r="AC27" s="45">
        <f>(M27*240+N27*0+O27*355+P27*100)/(240+0+355+100)</f>
        <v>4.1789539568345324</v>
      </c>
    </row>
    <row r="28" spans="1:29" ht="15" x14ac:dyDescent="0.2">
      <c r="A28" s="16">
        <v>41730</v>
      </c>
      <c r="B28" s="17">
        <f>CHOOSE(CONTROL!$C$42, 4.0458, 4.0458) * CHOOSE(CONTROL!$C$21, $C$9, 100%, $E$9)</f>
        <v>4.0457999999999998</v>
      </c>
      <c r="C28" s="17">
        <f>CHOOSE(CONTROL!$C$42, 4.0503, 4.0503) * CHOOSE(CONTROL!$C$21, $C$9, 100%, $E$9)</f>
        <v>4.0503</v>
      </c>
      <c r="D28" s="17">
        <f>CHOOSE(CONTROL!$C$42, 4.2978, 4.2978) * CHOOSE(CONTROL!$C$21, $C$9, 100%, $E$9)</f>
        <v>4.2977999999999996</v>
      </c>
      <c r="E28" s="17">
        <f>CHOOSE(CONTROL!$C$42, 4.3296, 4.3296) * CHOOSE(CONTROL!$C$21, $C$9, 100%, $E$9)</f>
        <v>4.3296000000000001</v>
      </c>
      <c r="F28" s="17">
        <f>CHOOSE(CONTROL!$C$42, 4.0574, 4.0574)*CHOOSE(CONTROL!$C$21, $C$9, 100%, $E$9)</f>
        <v>4.0574000000000003</v>
      </c>
      <c r="G28" s="17">
        <f>CHOOSE(CONTROL!$C$42, 4.0733, 4.0733)*CHOOSE(CONTROL!$C$21, $C$9, 100%, $E$9)</f>
        <v>4.0732999999999997</v>
      </c>
      <c r="H28" s="17">
        <f>CHOOSE(CONTROL!$C$42, 4.3191, 4.3191) * CHOOSE(CONTROL!$C$21, $C$9, 100%, $E$9)</f>
        <v>4.3190999999999997</v>
      </c>
      <c r="I28" s="17">
        <f>CHOOSE(CONTROL!$C$42, 4.081, 4.081)* CHOOSE(CONTROL!$C$21, $C$9, 100%, $E$9)</f>
        <v>4.0810000000000004</v>
      </c>
      <c r="J28" s="17">
        <f>CHOOSE(CONTROL!$C$42, 4.05, 4.05)* CHOOSE(CONTROL!$C$21, $C$9, 100%, $E$9)</f>
        <v>4.05</v>
      </c>
      <c r="K28" s="58"/>
      <c r="L28" s="17">
        <f>CHOOSE(CONTROL!$C$42, 4.9061, 4.9061) * CHOOSE(CONTROL!$C$21, $C$9, 100%, $E$9)</f>
        <v>4.9061000000000003</v>
      </c>
      <c r="M28" s="17">
        <f>CHOOSE(CONTROL!$C$42, 4.0206, 4.0206) * CHOOSE(CONTROL!$C$21, $C$9, 100%, $E$9)</f>
        <v>4.0206</v>
      </c>
      <c r="N28" s="17">
        <f>CHOOSE(CONTROL!$C$42, 4.0364, 4.0364) * CHOOSE(CONTROL!$C$21, $C$9, 100%, $E$9)</f>
        <v>4.0364000000000004</v>
      </c>
      <c r="O28" s="17">
        <f>CHOOSE(CONTROL!$C$42, 4.2872, 4.2872) * CHOOSE(CONTROL!$C$21, $C$9, 100%, $E$9)</f>
        <v>4.2872000000000003</v>
      </c>
      <c r="P28" s="17">
        <f>CHOOSE(CONTROL!$C$42, 4.0512, 4.0512) * CHOOSE(CONTROL!$C$21, $C$9, 100%, $E$9)</f>
        <v>4.0511999999999997</v>
      </c>
      <c r="Q28" s="17">
        <f>CHOOSE(CONTROL!$C$42, 4.8819, 4.8819) * CHOOSE(CONTROL!$C$21, $C$9, 100%, $E$9)</f>
        <v>4.8818999999999999</v>
      </c>
      <c r="R28" s="17">
        <f>CHOOSE(CONTROL!$C$42, 5.4812, 5.4812) * CHOOSE(CONTROL!$C$21, $C$9, 100%, $E$9)</f>
        <v>5.4812000000000003</v>
      </c>
      <c r="S28" s="17">
        <f>CHOOSE(CONTROL!$C$42, 3.9129, 3.9129) * CHOOSE(CONTROL!$C$21, $C$9, 100%, $E$9)</f>
        <v>3.9129</v>
      </c>
      <c r="T2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8" s="56">
        <f>(1000*CHOOSE(CONTROL!$C$42, 695, 695)*CHOOSE(CONTROL!$C$42, 0.5599, 0.5599)*CHOOSE(CONTROL!$C$42, 30, 30))/1000000</f>
        <v>11.673914999999997</v>
      </c>
      <c r="V28" s="56">
        <f>(1000*CHOOSE(CONTROL!$C$42, 580, 580)*CHOOSE(CONTROL!$C$42, 0.275, 0.275)*CHOOSE(CONTROL!$C$42, 30, 30))/1000000</f>
        <v>4.7850000000000001</v>
      </c>
      <c r="W28" s="56">
        <f>(1000*CHOOSE(CONTROL!$C$42, 0.0916, 0.0916)*CHOOSE(CONTROL!$C$42, 200, 200)*CHOOSE(CONTROL!$C$42, 30, 30))/1000000</f>
        <v>0.54959999999999998</v>
      </c>
      <c r="X28" s="56">
        <f>30*0.1790888*145000/1000000</f>
        <v>0.77903627999999991</v>
      </c>
      <c r="Y28" s="56"/>
      <c r="Z28" s="17">
        <f>CHOOSE(CONTROL!$C$42, 4.021, 4.021) * CHOOSE(CONTROL!$C$21, $C$9, 100%, $E$9)</f>
        <v>4.0209999999999999</v>
      </c>
      <c r="AA28" s="55">
        <f>(131500*30*(6/30))/1000000</f>
        <v>0.78900000000000003</v>
      </c>
      <c r="AB28" s="48">
        <f>(B28*141.293+C28*267.993+D28*115.016+E28*249.698+F28*40+G28*25+H28*0+I28*100+J28*300)/(141.293+267.993+115.016+249.698+0+40+25+100+300)</f>
        <v>4.1321485011299437</v>
      </c>
      <c r="AC28" s="45">
        <f t="shared" ref="AC28:AC34" si="1">(M28*240+N28*120+O28*235+P28*100)/(240+120+235+100)</f>
        <v>4.1178762589928057</v>
      </c>
    </row>
    <row r="29" spans="1:29" ht="15" x14ac:dyDescent="0.2">
      <c r="A29" s="16">
        <v>41760</v>
      </c>
      <c r="B29" s="17">
        <f>CHOOSE(CONTROL!$C$42, 4.0678, 4.0678) * CHOOSE(CONTROL!$C$21, $C$9, 100%, $E$9)</f>
        <v>4.0678000000000001</v>
      </c>
      <c r="C29" s="17">
        <f>CHOOSE(CONTROL!$C$42, 4.0757, 4.0757) * CHOOSE(CONTROL!$C$21, $C$9, 100%, $E$9)</f>
        <v>4.0757000000000003</v>
      </c>
      <c r="D29" s="17">
        <f>CHOOSE(CONTROL!$C$42, 4.3202, 4.3202) * CHOOSE(CONTROL!$C$21, $C$9, 100%, $E$9)</f>
        <v>4.3201999999999998</v>
      </c>
      <c r="E29" s="17">
        <f>CHOOSE(CONTROL!$C$42, 4.3514, 4.3514) * CHOOSE(CONTROL!$C$21, $C$9, 100%, $E$9)</f>
        <v>4.3513999999999999</v>
      </c>
      <c r="F29" s="17">
        <f>CHOOSE(CONTROL!$C$42, 4.0783, 4.0783)*CHOOSE(CONTROL!$C$21, $C$9, 100%, $E$9)</f>
        <v>4.0782999999999996</v>
      </c>
      <c r="G29" s="17">
        <f>CHOOSE(CONTROL!$C$42, 4.0945, 4.0945)*CHOOSE(CONTROL!$C$21, $C$9, 100%, $E$9)</f>
        <v>4.0945</v>
      </c>
      <c r="H29" s="17">
        <f>CHOOSE(CONTROL!$C$42, 4.3397, 4.3397) * CHOOSE(CONTROL!$C$21, $C$9, 100%, $E$9)</f>
        <v>4.3396999999999997</v>
      </c>
      <c r="I29" s="17">
        <f>CHOOSE(CONTROL!$C$42, 4.1016, 4.1016)* CHOOSE(CONTROL!$C$21, $C$9, 100%, $E$9)</f>
        <v>4.1016000000000004</v>
      </c>
      <c r="J29" s="17">
        <f>CHOOSE(CONTROL!$C$42, 4.0709, 4.0709)* CHOOSE(CONTROL!$C$21, $C$9, 100%, $E$9)</f>
        <v>4.0709</v>
      </c>
      <c r="K29" s="58"/>
      <c r="L29" s="17">
        <f>CHOOSE(CONTROL!$C$42, 4.9267, 4.9267) * CHOOSE(CONTROL!$C$21, $C$9, 100%, $E$9)</f>
        <v>4.9267000000000003</v>
      </c>
      <c r="M29" s="17">
        <f>CHOOSE(CONTROL!$C$42, 4.0413, 4.0413) * CHOOSE(CONTROL!$C$21, $C$9, 100%, $E$9)</f>
        <v>4.0412999999999997</v>
      </c>
      <c r="N29" s="17">
        <f>CHOOSE(CONTROL!$C$42, 4.0574, 4.0574) * CHOOSE(CONTROL!$C$21, $C$9, 100%, $E$9)</f>
        <v>4.0574000000000003</v>
      </c>
      <c r="O29" s="17">
        <f>CHOOSE(CONTROL!$C$42, 4.3077, 4.3077) * CHOOSE(CONTROL!$C$21, $C$9, 100%, $E$9)</f>
        <v>4.3076999999999996</v>
      </c>
      <c r="P29" s="17">
        <f>CHOOSE(CONTROL!$C$42, 4.0717, 4.0717) * CHOOSE(CONTROL!$C$21, $C$9, 100%, $E$9)</f>
        <v>4.0716999999999999</v>
      </c>
      <c r="Q29" s="17">
        <f>CHOOSE(CONTROL!$C$42, 4.9024, 4.9024) * CHOOSE(CONTROL!$C$21, $C$9, 100%, $E$9)</f>
        <v>4.9024000000000001</v>
      </c>
      <c r="R29" s="17">
        <f>CHOOSE(CONTROL!$C$42, 5.5016, 5.5016) * CHOOSE(CONTROL!$C$21, $C$9, 100%, $E$9)</f>
        <v>5.5015999999999998</v>
      </c>
      <c r="S29" s="17">
        <f>CHOOSE(CONTROL!$C$42, 3.9329, 3.9329) * CHOOSE(CONTROL!$C$21, $C$9, 100%, $E$9)</f>
        <v>3.9329000000000001</v>
      </c>
      <c r="T29" s="57">
        <f>((((430000*CHOOSE(CONTROL!$C$42, 0.4694, 0.4694)+(874000-430000)*CHOOSE(CONTROL!$C$42, 0.7185, 0.7185)+400000*CHOOSE(CONTROL!$C$42, 1.14, 1.14)+50000*0.98)*CHOOSE(CONTROL!$C$42, 31, 31))/1000000))+CHOOSE(CONTROL!$C$42, 0.188, 0.188)+CHOOSE(CONTROL!$C$42, 0.5154, 0.5154)</f>
        <v>32.504936000000001</v>
      </c>
      <c r="U29" s="56">
        <f>(1000*CHOOSE(CONTROL!$C$42, 695, 695)*CHOOSE(CONTROL!$C$42, 0.5599, 0.5599)*CHOOSE(CONTROL!$C$42, 31, 31))/1000000</f>
        <v>12.063045499999998</v>
      </c>
      <c r="V29" s="56">
        <f>(1000*CHOOSE(CONTROL!$C$42, 580, 580)*CHOOSE(CONTROL!$C$42, 0.275, 0.275)*CHOOSE(CONTROL!$C$42, 31, 31))/1000000</f>
        <v>4.9444999999999997</v>
      </c>
      <c r="W29" s="56">
        <f>(1000*CHOOSE(CONTROL!$C$42, 0.0916, 0.0916)*CHOOSE(CONTROL!$C$42, 200, 200)*CHOOSE(CONTROL!$C$42, 31, 31))/1000000</f>
        <v>0.56791999999999998</v>
      </c>
      <c r="X29" s="56">
        <f>31*0.1790888*145000/1000000</f>
        <v>0.80500415599999997</v>
      </c>
      <c r="Y29" s="56"/>
      <c r="Z29" s="17">
        <f>CHOOSE(CONTROL!$C$42, 4.0415, 4.0415) * CHOOSE(CONTROL!$C$21, $C$9, 100%, $E$9)</f>
        <v>4.0415000000000001</v>
      </c>
      <c r="AA29" s="55">
        <f>(131500*31*(6/31))/1000000</f>
        <v>0.78900000000000003</v>
      </c>
      <c r="AB29" s="48">
        <f>(B29*194.205+C29*267.466+D29*133.845+E29*213.484+F29*40+G29*25+H29*50+I29*100+J29*300)/(194.205+267.466+133.845+213.484+50+40+25+100+300)</f>
        <v>4.1549843064954679</v>
      </c>
      <c r="AC29" s="45">
        <f t="shared" si="1"/>
        <v>4.1385316546762594</v>
      </c>
    </row>
    <row r="30" spans="1:29" ht="15" x14ac:dyDescent="0.2">
      <c r="A30" s="16">
        <v>41791</v>
      </c>
      <c r="B30" s="17">
        <f>CHOOSE(CONTROL!$C$42, 4.0935, 4.0935) * CHOOSE(CONTROL!$C$21, $C$9, 100%, $E$9)</f>
        <v>4.0934999999999997</v>
      </c>
      <c r="C30" s="17">
        <f>CHOOSE(CONTROL!$C$42, 4.1015, 4.1015) * CHOOSE(CONTROL!$C$21, $C$9, 100%, $E$9)</f>
        <v>4.1014999999999997</v>
      </c>
      <c r="D30" s="17">
        <f>CHOOSE(CONTROL!$C$42, 4.346, 4.346) * CHOOSE(CONTROL!$C$21, $C$9, 100%, $E$9)</f>
        <v>4.3460000000000001</v>
      </c>
      <c r="E30" s="17">
        <f>CHOOSE(CONTROL!$C$42, 4.3772, 4.3772) * CHOOSE(CONTROL!$C$21, $C$9, 100%, $E$9)</f>
        <v>4.3772000000000002</v>
      </c>
      <c r="F30" s="17">
        <f>CHOOSE(CONTROL!$C$42, 4.1044, 4.1044)*CHOOSE(CONTROL!$C$21, $C$9, 100%, $E$9)</f>
        <v>4.1044</v>
      </c>
      <c r="G30" s="17">
        <f>CHOOSE(CONTROL!$C$42, 4.1207, 4.1207)*CHOOSE(CONTROL!$C$21, $C$9, 100%, $E$9)</f>
        <v>4.1207000000000003</v>
      </c>
      <c r="H30" s="17">
        <f>CHOOSE(CONTROL!$C$42, 4.3655, 4.3655) * CHOOSE(CONTROL!$C$21, $C$9, 100%, $E$9)</f>
        <v>4.3654999999999999</v>
      </c>
      <c r="I30" s="17">
        <f>CHOOSE(CONTROL!$C$42, 4.1275, 4.1275)* CHOOSE(CONTROL!$C$21, $C$9, 100%, $E$9)</f>
        <v>4.1275000000000004</v>
      </c>
      <c r="J30" s="17">
        <f>CHOOSE(CONTROL!$C$42, 4.097, 4.097)* CHOOSE(CONTROL!$C$21, $C$9, 100%, $E$9)</f>
        <v>4.0970000000000004</v>
      </c>
      <c r="K30" s="58"/>
      <c r="L30" s="17">
        <f>CHOOSE(CONTROL!$C$42, 4.9525, 4.9525) * CHOOSE(CONTROL!$C$21, $C$9, 100%, $E$9)</f>
        <v>4.9524999999999997</v>
      </c>
      <c r="M30" s="17">
        <f>CHOOSE(CONTROL!$C$42, 4.0672, 4.0672) * CHOOSE(CONTROL!$C$21, $C$9, 100%, $E$9)</f>
        <v>4.0671999999999997</v>
      </c>
      <c r="N30" s="17">
        <f>CHOOSE(CONTROL!$C$42, 4.0833, 4.0833) * CHOOSE(CONTROL!$C$21, $C$9, 100%, $E$9)</f>
        <v>4.0833000000000004</v>
      </c>
      <c r="O30" s="17">
        <f>CHOOSE(CONTROL!$C$42, 4.3332, 4.3332) * CHOOSE(CONTROL!$C$21, $C$9, 100%, $E$9)</f>
        <v>4.3331999999999997</v>
      </c>
      <c r="P30" s="17">
        <f>CHOOSE(CONTROL!$C$42, 4.0973, 4.0973) * CHOOSE(CONTROL!$C$21, $C$9, 100%, $E$9)</f>
        <v>4.0972999999999997</v>
      </c>
      <c r="Q30" s="17">
        <f>CHOOSE(CONTROL!$C$42, 4.9279, 4.9279) * CHOOSE(CONTROL!$C$21, $C$9, 100%, $E$9)</f>
        <v>4.9279000000000002</v>
      </c>
      <c r="R30" s="17">
        <f>CHOOSE(CONTROL!$C$42, 5.5273, 5.5273) * CHOOSE(CONTROL!$C$21, $C$9, 100%, $E$9)</f>
        <v>5.5273000000000003</v>
      </c>
      <c r="S30" s="17">
        <f>CHOOSE(CONTROL!$C$42, 3.9579, 3.9579) * CHOOSE(CONTROL!$C$21, $C$9, 100%, $E$9)</f>
        <v>3.9579</v>
      </c>
      <c r="T30" s="57">
        <f>((((430000*CHOOSE(CONTROL!$C$42, 0.4694, 0.4694)+(874000-430000)*CHOOSE(CONTROL!$C$42, 0.7185, 0.7185)+400000*CHOOSE(CONTROL!$C$42, 1.14, 1.14)+50000*0.98)*CHOOSE(CONTROL!$C$42, 30, 30))/1000000))+CHOOSE(CONTROL!$C$42, 0.1616, 0.1616)+CHOOSE(CONTROL!$C$42, 0.5074, 0.5074)</f>
        <v>31.444680000000002</v>
      </c>
      <c r="U30" s="56">
        <f>(1000*CHOOSE(CONTROL!$C$42, 695, 695)*CHOOSE(CONTROL!$C$42, 0.5599, 0.5599)*CHOOSE(CONTROL!$C$42, 30, 30))/1000000</f>
        <v>11.673914999999997</v>
      </c>
      <c r="V30" s="56">
        <f>(1000*CHOOSE(CONTROL!$C$42, 580, 580)*CHOOSE(CONTROL!$C$42, 0.275, 0.275)*CHOOSE(CONTROL!$C$42, 30, 30))/1000000</f>
        <v>4.7850000000000001</v>
      </c>
      <c r="W30" s="56">
        <f>(1000*CHOOSE(CONTROL!$C$42, 0.0916, 0.0916)*CHOOSE(CONTROL!$C$42, 200, 200)*CHOOSE(CONTROL!$C$42, 30, 30))/1000000</f>
        <v>0.54959999999999998</v>
      </c>
      <c r="X30" s="56">
        <f>30*0.1790888*145000/1000000</f>
        <v>0.77903627999999991</v>
      </c>
      <c r="Y30" s="56"/>
      <c r="Z30" s="17">
        <f>CHOOSE(CONTROL!$C$42, 4.0671, 4.0671) * CHOOSE(CONTROL!$C$21, $C$9, 100%, $E$9)</f>
        <v>4.0670999999999999</v>
      </c>
      <c r="AA30" s="55">
        <f>(131500*30*(6/30))/1000000</f>
        <v>0.78900000000000003</v>
      </c>
      <c r="AB30" s="48">
        <f>(B30*194.205+C30*267.466+D30*133.845+E30*213.484+F30*40+G30*25+H30*50+I30*100+J30*300)/(194.205+267.466+133.845+213.484+50+40+25+100+300)</f>
        <v>4.180861783459215</v>
      </c>
      <c r="AC30" s="45">
        <f t="shared" si="1"/>
        <v>4.1642532374100716</v>
      </c>
    </row>
    <row r="31" spans="1:29" ht="15" x14ac:dyDescent="0.2">
      <c r="A31" s="16">
        <v>41821</v>
      </c>
      <c r="B31" s="17">
        <f>CHOOSE(CONTROL!$C$42, 4.1286, 4.1286) * CHOOSE(CONTROL!$C$21, $C$9, 100%, $E$9)</f>
        <v>4.1285999999999996</v>
      </c>
      <c r="C31" s="17">
        <f>CHOOSE(CONTROL!$C$42, 4.1366, 4.1366) * CHOOSE(CONTROL!$C$21, $C$9, 100%, $E$9)</f>
        <v>4.1365999999999996</v>
      </c>
      <c r="D31" s="17">
        <f>CHOOSE(CONTROL!$C$42, 4.3811, 4.3811) * CHOOSE(CONTROL!$C$21, $C$9, 100%, $E$9)</f>
        <v>4.3811</v>
      </c>
      <c r="E31" s="17">
        <f>CHOOSE(CONTROL!$C$42, 4.4122, 4.4122) * CHOOSE(CONTROL!$C$21, $C$9, 100%, $E$9)</f>
        <v>4.4122000000000003</v>
      </c>
      <c r="F31" s="17">
        <f>CHOOSE(CONTROL!$C$42, 4.1399, 4.1399)*CHOOSE(CONTROL!$C$21, $C$9, 100%, $E$9)</f>
        <v>4.1398999999999999</v>
      </c>
      <c r="G31" s="17">
        <f>CHOOSE(CONTROL!$C$42, 4.1564, 4.1564)*CHOOSE(CONTROL!$C$21, $C$9, 100%, $E$9)</f>
        <v>4.1563999999999997</v>
      </c>
      <c r="H31" s="17">
        <f>CHOOSE(CONTROL!$C$42, 4.4006, 4.4006) * CHOOSE(CONTROL!$C$21, $C$9, 100%, $E$9)</f>
        <v>4.4005999999999998</v>
      </c>
      <c r="I31" s="17">
        <f>CHOOSE(CONTROL!$C$42, 4.1627, 4.1627)* CHOOSE(CONTROL!$C$21, $C$9, 100%, $E$9)</f>
        <v>4.1627000000000001</v>
      </c>
      <c r="J31" s="17">
        <f>CHOOSE(CONTROL!$C$42, 4.1325, 4.1325)* CHOOSE(CONTROL!$C$21, $C$9, 100%, $E$9)</f>
        <v>4.1325000000000003</v>
      </c>
      <c r="K31" s="58"/>
      <c r="L31" s="17">
        <f>CHOOSE(CONTROL!$C$42, 4.9876, 4.9876) * CHOOSE(CONTROL!$C$21, $C$9, 100%, $E$9)</f>
        <v>4.9875999999999996</v>
      </c>
      <c r="M31" s="17">
        <f>CHOOSE(CONTROL!$C$42, 4.1024, 4.1024) * CHOOSE(CONTROL!$C$21, $C$9, 100%, $E$9)</f>
        <v>4.1024000000000003</v>
      </c>
      <c r="N31" s="17">
        <f>CHOOSE(CONTROL!$C$42, 4.1187, 4.1187) * CHOOSE(CONTROL!$C$21, $C$9, 100%, $E$9)</f>
        <v>4.1186999999999996</v>
      </c>
      <c r="O31" s="17">
        <f>CHOOSE(CONTROL!$C$42, 4.368, 4.368) * CHOOSE(CONTROL!$C$21, $C$9, 100%, $E$9)</f>
        <v>4.3680000000000003</v>
      </c>
      <c r="P31" s="17">
        <f>CHOOSE(CONTROL!$C$42, 4.1322, 4.1322) * CHOOSE(CONTROL!$C$21, $C$9, 100%, $E$9)</f>
        <v>4.1322000000000001</v>
      </c>
      <c r="Q31" s="17">
        <f>CHOOSE(CONTROL!$C$42, 4.9627, 4.9627) * CHOOSE(CONTROL!$C$21, $C$9, 100%, $E$9)</f>
        <v>4.9626999999999999</v>
      </c>
      <c r="R31" s="17">
        <f>CHOOSE(CONTROL!$C$42, 5.5621, 5.5621) * CHOOSE(CONTROL!$C$21, $C$9, 100%, $E$9)</f>
        <v>5.5621</v>
      </c>
      <c r="S31" s="17">
        <f>CHOOSE(CONTROL!$C$42, 3.9919, 3.9919) * CHOOSE(CONTROL!$C$21, $C$9, 100%, $E$9)</f>
        <v>3.9918999999999998</v>
      </c>
      <c r="T31" s="57">
        <f>((((430000*CHOOSE(CONTROL!$C$42, 0.4694, 0.4694)+(874000-430000)*CHOOSE(CONTROL!$C$42, 0.7185, 0.7185)+400000*CHOOSE(CONTROL!$C$42, 1.14, 1.14)+50000*0.98)*CHOOSE(CONTROL!$C$42, 31, 31))/1000000))+CHOOSE(CONTROL!$C$42, 0.1555, 0.1555)+CHOOSE(CONTROL!$C$42, 0.5217, 0.5217)</f>
        <v>32.478735999999998</v>
      </c>
      <c r="U31" s="56">
        <f>(1000*CHOOSE(CONTROL!$C$42, 695, 695)*CHOOSE(CONTROL!$C$42, 0.5599, 0.5599)*CHOOSE(CONTROL!$C$42, 31, 31))/1000000</f>
        <v>12.063045499999998</v>
      </c>
      <c r="V31" s="56">
        <f>(1000*CHOOSE(CONTROL!$C$42, 580, 580)*CHOOSE(CONTROL!$C$42, 0.275, 0.275)*CHOOSE(CONTROL!$C$42, 31, 31))/1000000</f>
        <v>4.9444999999999997</v>
      </c>
      <c r="W31" s="56">
        <f>(1000*CHOOSE(CONTROL!$C$42, 0.0916, 0.0916)*CHOOSE(CONTROL!$C$42, 200, 200)*CHOOSE(CONTROL!$C$42, 31, 31))/1000000</f>
        <v>0.56791999999999998</v>
      </c>
      <c r="X31" s="56">
        <f>31*0.1790888*145000/1000000</f>
        <v>0.80500415599999997</v>
      </c>
      <c r="Y31" s="56"/>
      <c r="Z31" s="17">
        <f>CHOOSE(CONTROL!$C$42, 4.1019, 4.1019) * CHOOSE(CONTROL!$C$21, $C$9, 100%, $E$9)</f>
        <v>4.1018999999999997</v>
      </c>
      <c r="AA31" s="55">
        <f>(131500*31*(6/31))/1000000</f>
        <v>0.78900000000000003</v>
      </c>
      <c r="AB31" s="48">
        <f>(B31*194.205+C31*267.466+D31*133.845+E31*213.484+F31*40+G31*25+H31*50+I31*100+J31*300)/(194.205+267.466+133.845+213.484+50+40+25+100+300)</f>
        <v>4.2160672604984892</v>
      </c>
      <c r="AC31" s="45">
        <f t="shared" si="1"/>
        <v>4.1993093525179859</v>
      </c>
    </row>
    <row r="32" spans="1:29" ht="15" x14ac:dyDescent="0.2">
      <c r="A32" s="16">
        <v>41852</v>
      </c>
      <c r="B32" s="17">
        <f>CHOOSE(CONTROL!$C$42, 4.1472, 4.1472) * CHOOSE(CONTROL!$C$21, $C$9, 100%, $E$9)</f>
        <v>4.1471999999999998</v>
      </c>
      <c r="C32" s="17">
        <f>CHOOSE(CONTROL!$C$42, 4.1551, 4.1551) * CHOOSE(CONTROL!$C$21, $C$9, 100%, $E$9)</f>
        <v>4.1551</v>
      </c>
      <c r="D32" s="17">
        <f>CHOOSE(CONTROL!$C$42, 4.3996, 4.3996) * CHOOSE(CONTROL!$C$21, $C$9, 100%, $E$9)</f>
        <v>4.3996000000000004</v>
      </c>
      <c r="E32" s="17">
        <f>CHOOSE(CONTROL!$C$42, 4.4308, 4.4308) * CHOOSE(CONTROL!$C$21, $C$9, 100%, $E$9)</f>
        <v>4.4307999999999996</v>
      </c>
      <c r="F32" s="17">
        <f>CHOOSE(CONTROL!$C$42, 4.1587, 4.1587)*CHOOSE(CONTROL!$C$21, $C$9, 100%, $E$9)</f>
        <v>4.1586999999999996</v>
      </c>
      <c r="G32" s="17">
        <f>CHOOSE(CONTROL!$C$42, 4.1752, 4.1752)*CHOOSE(CONTROL!$C$21, $C$9, 100%, $E$9)</f>
        <v>4.1752000000000002</v>
      </c>
      <c r="H32" s="17">
        <f>CHOOSE(CONTROL!$C$42, 4.4191, 4.4191) * CHOOSE(CONTROL!$C$21, $C$9, 100%, $E$9)</f>
        <v>4.4191000000000003</v>
      </c>
      <c r="I32" s="17">
        <f>CHOOSE(CONTROL!$C$42, 4.1813, 4.1813)* CHOOSE(CONTROL!$C$21, $C$9, 100%, $E$9)</f>
        <v>4.1813000000000002</v>
      </c>
      <c r="J32" s="17">
        <f>CHOOSE(CONTROL!$C$42, 4.1513, 4.1513)* CHOOSE(CONTROL!$C$21, $C$9, 100%, $E$9)</f>
        <v>4.1513</v>
      </c>
      <c r="K32" s="58"/>
      <c r="L32" s="17">
        <f>CHOOSE(CONTROL!$C$42, 5.0061, 5.0061) * CHOOSE(CONTROL!$C$21, $C$9, 100%, $E$9)</f>
        <v>5.0061</v>
      </c>
      <c r="M32" s="17">
        <f>CHOOSE(CONTROL!$C$42, 4.121, 4.121) * CHOOSE(CONTROL!$C$21, $C$9, 100%, $E$9)</f>
        <v>4.1210000000000004</v>
      </c>
      <c r="N32" s="17">
        <f>CHOOSE(CONTROL!$C$42, 4.1373, 4.1373) * CHOOSE(CONTROL!$C$21, $C$9, 100%, $E$9)</f>
        <v>4.1372999999999998</v>
      </c>
      <c r="O32" s="17">
        <f>CHOOSE(CONTROL!$C$42, 4.3864, 4.3864) * CHOOSE(CONTROL!$C$21, $C$9, 100%, $E$9)</f>
        <v>4.3864000000000001</v>
      </c>
      <c r="P32" s="17">
        <f>CHOOSE(CONTROL!$C$42, 4.1506, 4.1506) * CHOOSE(CONTROL!$C$21, $C$9, 100%, $E$9)</f>
        <v>4.1505999999999998</v>
      </c>
      <c r="Q32" s="17">
        <f>CHOOSE(CONTROL!$C$42, 4.9811, 4.9811) * CHOOSE(CONTROL!$C$21, $C$9, 100%, $E$9)</f>
        <v>4.9810999999999996</v>
      </c>
      <c r="R32" s="17">
        <f>CHOOSE(CONTROL!$C$42, 5.5805, 5.5805) * CHOOSE(CONTROL!$C$21, $C$9, 100%, $E$9)</f>
        <v>5.5804999999999998</v>
      </c>
      <c r="S32" s="17">
        <f>CHOOSE(CONTROL!$C$42, 4.0099, 4.0099) * CHOOSE(CONTROL!$C$21, $C$9, 100%, $E$9)</f>
        <v>4.0099</v>
      </c>
      <c r="T32" s="57">
        <f>((((430000*CHOOSE(CONTROL!$C$42, 0.4694, 0.4694)+(874000-430000)*CHOOSE(CONTROL!$C$42, 0.7185, 0.7185)+400000*CHOOSE(CONTROL!$C$42, 1.14, 1.14)+50000*0.98)*CHOOSE(CONTROL!$C$42, 31, 31))/1000000))+CHOOSE(CONTROL!$C$42, 0.1911, 0.1911)+CHOOSE(CONTROL!$C$42, 0.5131, 0.5131)</f>
        <v>32.505735999999999</v>
      </c>
      <c r="U32" s="56">
        <f>(1000*CHOOSE(CONTROL!$C$42, 695, 695)*CHOOSE(CONTROL!$C$42, 0.5599, 0.5599)*CHOOSE(CONTROL!$C$42, 31, 31))/1000000</f>
        <v>12.063045499999998</v>
      </c>
      <c r="V32" s="56">
        <f>(1000*CHOOSE(CONTROL!$C$42, 580, 580)*CHOOSE(CONTROL!$C$42, 0.275, 0.275)*CHOOSE(CONTROL!$C$42, 31, 31))/1000000</f>
        <v>4.9444999999999997</v>
      </c>
      <c r="W32" s="56">
        <f>(1000*CHOOSE(CONTROL!$C$42, 0.0916, 0.0916)*CHOOSE(CONTROL!$C$42, 200, 200)*CHOOSE(CONTROL!$C$42, 31, 31))/1000000</f>
        <v>0.56791999999999998</v>
      </c>
      <c r="X32" s="56">
        <f>31*0.1790888*145000/1000000</f>
        <v>0.80500415599999997</v>
      </c>
      <c r="Y32" s="56"/>
      <c r="Z32" s="17">
        <f>CHOOSE(CONTROL!$C$42, 4.1203, 4.1203) * CHOOSE(CONTROL!$C$21, $C$9, 100%, $E$9)</f>
        <v>4.1203000000000003</v>
      </c>
      <c r="AA32" s="55">
        <f>(131500*31*(6/31))/1000000</f>
        <v>0.78900000000000003</v>
      </c>
      <c r="AB32" s="48">
        <f>(B32*194.205+C32*267.466+D32*133.845+E32*213.484+F32*40+G32*25+H32*50+I32*100+J32*300)/(194.205+267.466+133.845+213.484+50+40+25+100+300)</f>
        <v>4.2346883095166161</v>
      </c>
      <c r="AC32" s="45">
        <f t="shared" si="1"/>
        <v>4.2178129496402876</v>
      </c>
    </row>
    <row r="33" spans="1:29" ht="15" x14ac:dyDescent="0.2">
      <c r="A33" s="16">
        <v>41883</v>
      </c>
      <c r="B33" s="17">
        <f>CHOOSE(CONTROL!$C$42, 4.1511, 4.1511) * CHOOSE(CONTROL!$C$21, $C$9, 100%, $E$9)</f>
        <v>4.1510999999999996</v>
      </c>
      <c r="C33" s="17">
        <f>CHOOSE(CONTROL!$C$42, 4.159, 4.159) * CHOOSE(CONTROL!$C$21, $C$9, 100%, $E$9)</f>
        <v>4.1589999999999998</v>
      </c>
      <c r="D33" s="17">
        <f>CHOOSE(CONTROL!$C$42, 4.4035, 4.4035) * CHOOSE(CONTROL!$C$21, $C$9, 100%, $E$9)</f>
        <v>4.4035000000000002</v>
      </c>
      <c r="E33" s="17">
        <f>CHOOSE(CONTROL!$C$42, 4.4347, 4.4347) * CHOOSE(CONTROL!$C$21, $C$9, 100%, $E$9)</f>
        <v>4.4347000000000003</v>
      </c>
      <c r="F33" s="17">
        <f>CHOOSE(CONTROL!$C$42, 4.1627, 4.1627)*CHOOSE(CONTROL!$C$21, $C$9, 100%, $E$9)</f>
        <v>4.1627000000000001</v>
      </c>
      <c r="G33" s="17">
        <f>CHOOSE(CONTROL!$C$42, 4.1792, 4.1792)*CHOOSE(CONTROL!$C$21, $C$9, 100%, $E$9)</f>
        <v>4.1791999999999998</v>
      </c>
      <c r="H33" s="17">
        <f>CHOOSE(CONTROL!$C$42, 4.423, 4.423) * CHOOSE(CONTROL!$C$21, $C$9, 100%, $E$9)</f>
        <v>4.423</v>
      </c>
      <c r="I33" s="17">
        <f>CHOOSE(CONTROL!$C$42, 4.1852, 4.1852)* CHOOSE(CONTROL!$C$21, $C$9, 100%, $E$9)</f>
        <v>4.1852</v>
      </c>
      <c r="J33" s="17">
        <f>CHOOSE(CONTROL!$C$42, 4.1553, 4.1553)* CHOOSE(CONTROL!$C$21, $C$9, 100%, $E$9)</f>
        <v>4.1553000000000004</v>
      </c>
      <c r="K33" s="58"/>
      <c r="L33" s="17">
        <f>CHOOSE(CONTROL!$C$42, 5.01, 5.01) * CHOOSE(CONTROL!$C$21, $C$9, 100%, $E$9)</f>
        <v>5.01</v>
      </c>
      <c r="M33" s="17">
        <f>CHOOSE(CONTROL!$C$42, 4.1249, 4.1249) * CHOOSE(CONTROL!$C$21, $C$9, 100%, $E$9)</f>
        <v>4.1249000000000002</v>
      </c>
      <c r="N33" s="17">
        <f>CHOOSE(CONTROL!$C$42, 4.1413, 4.1413) * CHOOSE(CONTROL!$C$21, $C$9, 100%, $E$9)</f>
        <v>4.1413000000000002</v>
      </c>
      <c r="O33" s="17">
        <f>CHOOSE(CONTROL!$C$42, 4.3902, 4.3902) * CHOOSE(CONTROL!$C$21, $C$9, 100%, $E$9)</f>
        <v>4.3902000000000001</v>
      </c>
      <c r="P33" s="17">
        <f>CHOOSE(CONTROL!$C$42, 4.1545, 4.1545) * CHOOSE(CONTROL!$C$21, $C$9, 100%, $E$9)</f>
        <v>4.1544999999999996</v>
      </c>
      <c r="Q33" s="17">
        <f>CHOOSE(CONTROL!$C$42, 4.9849, 4.9849) * CHOOSE(CONTROL!$C$21, $C$9, 100%, $E$9)</f>
        <v>4.9848999999999997</v>
      </c>
      <c r="R33" s="17">
        <f>CHOOSE(CONTROL!$C$42, 5.5844, 5.5844) * CHOOSE(CONTROL!$C$21, $C$9, 100%, $E$9)</f>
        <v>5.5843999999999996</v>
      </c>
      <c r="S33" s="17">
        <f>CHOOSE(CONTROL!$C$42, 4.0137, 4.0137) * CHOOSE(CONTROL!$C$21, $C$9, 100%, $E$9)</f>
        <v>4.0137</v>
      </c>
      <c r="T33" s="57">
        <f>((((430000*CHOOSE(CONTROL!$C$42, 0.4694, 0.4694)+(874000-430000)*CHOOSE(CONTROL!$C$42, 0.7185, 0.7185)+400000*CHOOSE(CONTROL!$C$42, 1.14, 1.14)+50000*0.98)*CHOOSE(CONTROL!$C$42, 30, 30))/1000000))+CHOOSE(CONTROL!$C$42, 0.1717, 0.1717)+CHOOSE(CONTROL!$C$42, 0.4923, 0.4923)</f>
        <v>31.439680000000003</v>
      </c>
      <c r="U33" s="56">
        <f>(1000*CHOOSE(CONTROL!$C$42, 695, 695)*CHOOSE(CONTROL!$C$42, 0.5599, 0.5599)*CHOOSE(CONTROL!$C$42, 30, 30))/1000000</f>
        <v>11.673914999999997</v>
      </c>
      <c r="V33" s="56">
        <f>(1000*CHOOSE(CONTROL!$C$42, 580, 580)*CHOOSE(CONTROL!$C$42, 0.275, 0.275)*CHOOSE(CONTROL!$C$42, 30, 30))/1000000</f>
        <v>4.7850000000000001</v>
      </c>
      <c r="W33" s="56">
        <f>(1000*CHOOSE(CONTROL!$C$42, 0.0916, 0.0916)*CHOOSE(CONTROL!$C$42, 200, 200)*CHOOSE(CONTROL!$C$42, 30, 30))/1000000</f>
        <v>0.54959999999999998</v>
      </c>
      <c r="X33" s="56">
        <f>30*0.1790888*145000/1000000</f>
        <v>0.77903627999999991</v>
      </c>
      <c r="Y33" s="56"/>
      <c r="Z33" s="17">
        <f>CHOOSE(CONTROL!$C$42, 4.1242, 4.1242) * CHOOSE(CONTROL!$C$21, $C$9, 100%, $E$9)</f>
        <v>4.1242000000000001</v>
      </c>
      <c r="AA33" s="55">
        <f>(131500*30*(6/30))/1000000</f>
        <v>0.78900000000000003</v>
      </c>
      <c r="AB33" s="48">
        <f>(B33*194.205+C33*267.466+D33*133.845+E33*213.484+F33*40+G33*25+H33*50+I33*100+J33*300)/(194.205+267.466+133.845+213.484+50+40+25+100+300)</f>
        <v>4.2386158774924469</v>
      </c>
      <c r="AC33" s="45">
        <f t="shared" si="1"/>
        <v>4.221696402877698</v>
      </c>
    </row>
    <row r="34" spans="1:29" ht="15" x14ac:dyDescent="0.2">
      <c r="A34" s="16">
        <v>41913</v>
      </c>
      <c r="B34" s="17">
        <f>CHOOSE(CONTROL!$C$42, 4.1854, 4.1854) * CHOOSE(CONTROL!$C$21, $C$9, 100%, $E$9)</f>
        <v>4.1853999999999996</v>
      </c>
      <c r="C34" s="17">
        <f>CHOOSE(CONTROL!$C$42, 4.1908, 4.1908) * CHOOSE(CONTROL!$C$21, $C$9, 100%, $E$9)</f>
        <v>4.1908000000000003</v>
      </c>
      <c r="D34" s="17">
        <f>CHOOSE(CONTROL!$C$42, 4.4401, 4.4401) * CHOOSE(CONTROL!$C$21, $C$9, 100%, $E$9)</f>
        <v>4.4401000000000002</v>
      </c>
      <c r="E34" s="17">
        <f>CHOOSE(CONTROL!$C$42, 4.469, 4.469) * CHOOSE(CONTROL!$C$21, $C$9, 100%, $E$9)</f>
        <v>4.4690000000000003</v>
      </c>
      <c r="F34" s="17">
        <f>CHOOSE(CONTROL!$C$42, 4.1992, 4.1992)*CHOOSE(CONTROL!$C$21, $C$9, 100%, $E$9)</f>
        <v>4.1992000000000003</v>
      </c>
      <c r="G34" s="17">
        <f>CHOOSE(CONTROL!$C$42, 4.2156, 4.2156)*CHOOSE(CONTROL!$C$21, $C$9, 100%, $E$9)</f>
        <v>4.2156000000000002</v>
      </c>
      <c r="H34" s="17">
        <f>CHOOSE(CONTROL!$C$42, 4.4591, 4.4591) * CHOOSE(CONTROL!$C$21, $C$9, 100%, $E$9)</f>
        <v>4.4591000000000003</v>
      </c>
      <c r="I34" s="17">
        <f>CHOOSE(CONTROL!$C$42, 4.2214, 4.2214)* CHOOSE(CONTROL!$C$21, $C$9, 100%, $E$9)</f>
        <v>4.2214</v>
      </c>
      <c r="J34" s="17">
        <f>CHOOSE(CONTROL!$C$42, 4.1918, 4.1918)* CHOOSE(CONTROL!$C$21, $C$9, 100%, $E$9)</f>
        <v>4.1917999999999997</v>
      </c>
      <c r="K34" s="58"/>
      <c r="L34" s="17">
        <f>CHOOSE(CONTROL!$C$42, 5.0461, 5.0461) * CHOOSE(CONTROL!$C$21, $C$9, 100%, $E$9)</f>
        <v>5.0461</v>
      </c>
      <c r="M34" s="17">
        <f>CHOOSE(CONTROL!$C$42, 4.1611, 4.1611) * CHOOSE(CONTROL!$C$21, $C$9, 100%, $E$9)</f>
        <v>4.1611000000000002</v>
      </c>
      <c r="N34" s="17">
        <f>CHOOSE(CONTROL!$C$42, 4.1774, 4.1774) * CHOOSE(CONTROL!$C$21, $C$9, 100%, $E$9)</f>
        <v>4.1773999999999996</v>
      </c>
      <c r="O34" s="17">
        <f>CHOOSE(CONTROL!$C$42, 4.426, 4.426) * CHOOSE(CONTROL!$C$21, $C$9, 100%, $E$9)</f>
        <v>4.4260000000000002</v>
      </c>
      <c r="P34" s="17">
        <f>CHOOSE(CONTROL!$C$42, 4.1904, 4.1904) * CHOOSE(CONTROL!$C$21, $C$9, 100%, $E$9)</f>
        <v>4.1904000000000003</v>
      </c>
      <c r="Q34" s="17">
        <f>CHOOSE(CONTROL!$C$42, 5.0207, 5.0207) * CHOOSE(CONTROL!$C$21, $C$9, 100%, $E$9)</f>
        <v>5.0206999999999997</v>
      </c>
      <c r="R34" s="17">
        <f>CHOOSE(CONTROL!$C$42, 5.6203, 5.6203) * CHOOSE(CONTROL!$C$21, $C$9, 100%, $E$9)</f>
        <v>5.6203000000000003</v>
      </c>
      <c r="S34" s="17">
        <f>CHOOSE(CONTROL!$C$42, 4.0487, 4.0487) * CHOOSE(CONTROL!$C$21, $C$9, 100%, $E$9)</f>
        <v>4.0487000000000002</v>
      </c>
      <c r="T3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4" s="56">
        <f>(1000*CHOOSE(CONTROL!$C$42, 695, 695)*CHOOSE(CONTROL!$C$42, 0.5599, 0.5599)*CHOOSE(CONTROL!$C$42, 31, 31))/1000000</f>
        <v>12.063045499999998</v>
      </c>
      <c r="V34" s="56">
        <f>(1000*CHOOSE(CONTROL!$C$42, 580, 580)*CHOOSE(CONTROL!$C$42, 0.275, 0.275)*CHOOSE(CONTROL!$C$42, 31, 31))/1000000</f>
        <v>4.9444999999999997</v>
      </c>
      <c r="W34" s="56">
        <f>(1000*CHOOSE(CONTROL!$C$42, 0.0916, 0.0916)*CHOOSE(CONTROL!$C$42, 200, 200)*CHOOSE(CONTROL!$C$42, 31, 31))/1000000</f>
        <v>0.56791999999999998</v>
      </c>
      <c r="X34" s="56">
        <f>31*0.1790888*145000/1000000</f>
        <v>0.80500415599999997</v>
      </c>
      <c r="Y34" s="56"/>
      <c r="Z34" s="17">
        <f>CHOOSE(CONTROL!$C$42, 4.16, 4.16) * CHOOSE(CONTROL!$C$21, $C$9, 100%, $E$9)</f>
        <v>4.16</v>
      </c>
      <c r="AA34" s="55">
        <f>(131500*31*(6/31))/1000000</f>
        <v>0.78900000000000003</v>
      </c>
      <c r="AB34" s="48">
        <f>(B34*131.881+C34*277.167+D34*79.08+E34*285.872+F34*40+G34*25+H34*0+I34*100+J34*300)/(131.881+277.167+79.08+285.872+0+40+25+100+300)</f>
        <v>4.2738089402744146</v>
      </c>
      <c r="AC34" s="45">
        <f t="shared" si="1"/>
        <v>4.2577007194244603</v>
      </c>
    </row>
    <row r="35" spans="1:29" ht="15" x14ac:dyDescent="0.2">
      <c r="A35" s="16">
        <v>41944</v>
      </c>
      <c r="B35" s="17">
        <f>CHOOSE(CONTROL!$C$42, 4.2727, 4.2727) * CHOOSE(CONTROL!$C$21, $C$9, 100%, $E$9)</f>
        <v>4.2727000000000004</v>
      </c>
      <c r="C35" s="17">
        <f>CHOOSE(CONTROL!$C$42, 4.2778, 4.2778) * CHOOSE(CONTROL!$C$21, $C$9, 100%, $E$9)</f>
        <v>4.2778</v>
      </c>
      <c r="D35" s="17">
        <f>CHOOSE(CONTROL!$C$42, 4.3591, 4.3591) * CHOOSE(CONTROL!$C$21, $C$9, 100%, $E$9)</f>
        <v>4.3590999999999998</v>
      </c>
      <c r="E35" s="17">
        <f>CHOOSE(CONTROL!$C$42, 4.3929, 4.3929) * CHOOSE(CONTROL!$C$21, $C$9, 100%, $E$9)</f>
        <v>4.3929</v>
      </c>
      <c r="F35" s="17">
        <f>CHOOSE(CONTROL!$C$42, 4.2906, 4.2906)*CHOOSE(CONTROL!$C$21, $C$9, 100%, $E$9)</f>
        <v>4.2906000000000004</v>
      </c>
      <c r="G35" s="17">
        <f>CHOOSE(CONTROL!$C$42, 4.3073, 4.3073)*CHOOSE(CONTROL!$C$21, $C$9, 100%, $E$9)</f>
        <v>4.3072999999999997</v>
      </c>
      <c r="H35" s="17">
        <f>CHOOSE(CONTROL!$C$42, 4.3818, 4.3818) * CHOOSE(CONTROL!$C$21, $C$9, 100%, $E$9)</f>
        <v>4.3818000000000001</v>
      </c>
      <c r="I35" s="17">
        <f>CHOOSE(CONTROL!$C$42, 4.3109, 4.3109)* CHOOSE(CONTROL!$C$21, $C$9, 100%, $E$9)</f>
        <v>4.3109000000000002</v>
      </c>
      <c r="J35" s="17">
        <f>CHOOSE(CONTROL!$C$42, 4.2832, 4.2832)* CHOOSE(CONTROL!$C$21, $C$9, 100%, $E$9)</f>
        <v>4.2831999999999999</v>
      </c>
      <c r="K35" s="58"/>
      <c r="L35" s="17">
        <f>CHOOSE(CONTROL!$C$42, 4.9688, 4.9688) * CHOOSE(CONTROL!$C$21, $C$9, 100%, $E$9)</f>
        <v>4.9687999999999999</v>
      </c>
      <c r="M35" s="17">
        <f>CHOOSE(CONTROL!$C$42, 4.2517, 4.2517) * CHOOSE(CONTROL!$C$21, $C$9, 100%, $E$9)</f>
        <v>4.2516999999999996</v>
      </c>
      <c r="N35" s="17">
        <f>CHOOSE(CONTROL!$C$42, 4.2683, 4.2683) * CHOOSE(CONTROL!$C$21, $C$9, 100%, $E$9)</f>
        <v>4.2683</v>
      </c>
      <c r="O35" s="17">
        <f>CHOOSE(CONTROL!$C$42, 4.3494, 4.3494) * CHOOSE(CONTROL!$C$21, $C$9, 100%, $E$9)</f>
        <v>4.3494000000000002</v>
      </c>
      <c r="P35" s="17">
        <f>CHOOSE(CONTROL!$C$42, 4.2791, 4.2791) * CHOOSE(CONTROL!$C$21, $C$9, 100%, $E$9)</f>
        <v>4.2790999999999997</v>
      </c>
      <c r="Q35" s="17">
        <f>CHOOSE(CONTROL!$C$42, 4.9441, 4.9441) * CHOOSE(CONTROL!$C$21, $C$9, 100%, $E$9)</f>
        <v>4.9440999999999997</v>
      </c>
      <c r="R35" s="17">
        <f>CHOOSE(CONTROL!$C$42, 5.5434, 5.5434) * CHOOSE(CONTROL!$C$21, $C$9, 100%, $E$9)</f>
        <v>5.5434000000000001</v>
      </c>
      <c r="S35" s="17">
        <f>CHOOSE(CONTROL!$C$42, 4.1337, 4.1337) * CHOOSE(CONTROL!$C$21, $C$9, 100%, $E$9)</f>
        <v>4.1337000000000002</v>
      </c>
      <c r="T3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5" s="56">
        <f>(1000*CHOOSE(CONTROL!$C$42, 695, 695)*CHOOSE(CONTROL!$C$42, 0.5599, 0.5599)*CHOOSE(CONTROL!$C$42, 30, 30))/1000000</f>
        <v>11.673914999999997</v>
      </c>
      <c r="V35" s="56">
        <f>(1000*CHOOSE(CONTROL!$C$42, 580, 580)*CHOOSE(CONTROL!$C$42, 0.275, 0.275)*CHOOSE(CONTROL!$C$42, 30, 30))/1000000</f>
        <v>4.7850000000000001</v>
      </c>
      <c r="W35" s="56">
        <f>(1000*CHOOSE(CONTROL!$C$42, 0.0916, 0.0916)*CHOOSE(CONTROL!$C$42, 200, 200)*CHOOSE(CONTROL!$C$42, 30, 30))/1000000</f>
        <v>0.54959999999999998</v>
      </c>
      <c r="X35" s="56">
        <v>0</v>
      </c>
      <c r="Y35" s="56"/>
      <c r="Z35" s="17">
        <f>CHOOSE(CONTROL!$C$42, 4.2557, 4.2557) * CHOOSE(CONTROL!$C$21, $C$9, 100%, $E$9)</f>
        <v>4.2557</v>
      </c>
      <c r="AA35" s="55">
        <f>(131500*30*(6/30))/1000000</f>
        <v>0.78900000000000003</v>
      </c>
      <c r="AB35" s="48">
        <f>(B35*122.58+C35*297.941+D35*89.177+E35*200.302+F35*40+G35*0+H35*0+I35*100+J35*300)/(122.58+297.941+89.177+200.302+0+40+0+100+300)</f>
        <v>4.3083406020000004</v>
      </c>
      <c r="AC35" s="45">
        <f>(M35*240+N35*0+O35*355+P35*100)/(240+0+355+100)</f>
        <v>4.3055467625899277</v>
      </c>
    </row>
    <row r="36" spans="1:29" ht="15" x14ac:dyDescent="0.2">
      <c r="A36" s="16">
        <v>41974</v>
      </c>
      <c r="B36" s="17">
        <f>CHOOSE(CONTROL!$C$42, 4.4573, 4.4573) * CHOOSE(CONTROL!$C$21, $C$9, 100%, $E$9)</f>
        <v>4.4573</v>
      </c>
      <c r="C36" s="17">
        <f>CHOOSE(CONTROL!$C$42, 4.4624, 4.4624) * CHOOSE(CONTROL!$C$21, $C$9, 100%, $E$9)</f>
        <v>4.4623999999999997</v>
      </c>
      <c r="D36" s="17">
        <f>CHOOSE(CONTROL!$C$42, 4.5437, 4.5437) * CHOOSE(CONTROL!$C$21, $C$9, 100%, $E$9)</f>
        <v>4.5437000000000003</v>
      </c>
      <c r="E36" s="17">
        <f>CHOOSE(CONTROL!$C$42, 4.5775, 4.5775) * CHOOSE(CONTROL!$C$21, $C$9, 100%, $E$9)</f>
        <v>4.5774999999999997</v>
      </c>
      <c r="F36" s="17">
        <f>CHOOSE(CONTROL!$C$42, 4.4776, 4.4776)*CHOOSE(CONTROL!$C$21, $C$9, 100%, $E$9)</f>
        <v>4.4775999999999998</v>
      </c>
      <c r="G36" s="17">
        <f>CHOOSE(CONTROL!$C$42, 4.4949, 4.4949)*CHOOSE(CONTROL!$C$21, $C$9, 100%, $E$9)</f>
        <v>4.4949000000000003</v>
      </c>
      <c r="H36" s="17">
        <f>CHOOSE(CONTROL!$C$42, 4.5664, 4.5664) * CHOOSE(CONTROL!$C$21, $C$9, 100%, $E$9)</f>
        <v>4.5663999999999998</v>
      </c>
      <c r="I36" s="17">
        <f>CHOOSE(CONTROL!$C$42, 4.4961, 4.4961)* CHOOSE(CONTROL!$C$21, $C$9, 100%, $E$9)</f>
        <v>4.4961000000000002</v>
      </c>
      <c r="J36" s="17">
        <f>CHOOSE(CONTROL!$C$42, 4.4702, 4.4702)* CHOOSE(CONTROL!$C$21, $C$9, 100%, $E$9)</f>
        <v>4.4702000000000002</v>
      </c>
      <c r="K36" s="58"/>
      <c r="L36" s="17">
        <f>CHOOSE(CONTROL!$C$42, 5.1534, 5.1534) * CHOOSE(CONTROL!$C$21, $C$9, 100%, $E$9)</f>
        <v>5.1534000000000004</v>
      </c>
      <c r="M36" s="17">
        <f>CHOOSE(CONTROL!$C$42, 4.437, 4.437) * CHOOSE(CONTROL!$C$21, $C$9, 100%, $E$9)</f>
        <v>4.4370000000000003</v>
      </c>
      <c r="N36" s="17">
        <f>CHOOSE(CONTROL!$C$42, 4.4542, 4.4542) * CHOOSE(CONTROL!$C$21, $C$9, 100%, $E$9)</f>
        <v>4.4542000000000002</v>
      </c>
      <c r="O36" s="17">
        <f>CHOOSE(CONTROL!$C$42, 4.5323, 4.5323) * CHOOSE(CONTROL!$C$21, $C$9, 100%, $E$9)</f>
        <v>4.5323000000000002</v>
      </c>
      <c r="P36" s="17">
        <f>CHOOSE(CONTROL!$C$42, 4.4626, 4.4626) * CHOOSE(CONTROL!$C$21, $C$9, 100%, $E$9)</f>
        <v>4.4626000000000001</v>
      </c>
      <c r="Q36" s="17">
        <f>CHOOSE(CONTROL!$C$42, 5.127, 5.127) * CHOOSE(CONTROL!$C$21, $C$9, 100%, $E$9)</f>
        <v>5.1269999999999998</v>
      </c>
      <c r="R36" s="17">
        <f>CHOOSE(CONTROL!$C$42, 5.7268, 5.7268) * CHOOSE(CONTROL!$C$21, $C$9, 100%, $E$9)</f>
        <v>5.7267999999999999</v>
      </c>
      <c r="S36" s="17">
        <f>CHOOSE(CONTROL!$C$42, 4.3127, 4.3127) * CHOOSE(CONTROL!$C$21, $C$9, 100%, $E$9)</f>
        <v>4.3127000000000004</v>
      </c>
      <c r="T3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6" s="56">
        <f>(1000*CHOOSE(CONTROL!$C$42, 695, 695)*CHOOSE(CONTROL!$C$42, 0.5599, 0.5599)*CHOOSE(CONTROL!$C$42, 31, 31))/1000000</f>
        <v>12.063045499999998</v>
      </c>
      <c r="V36" s="56">
        <f>(1000*CHOOSE(CONTROL!$C$42, 580, 580)*CHOOSE(CONTROL!$C$42, 0.275, 0.275)*CHOOSE(CONTROL!$C$42, 31, 31))/1000000</f>
        <v>4.9444999999999997</v>
      </c>
      <c r="W36" s="56">
        <f>(1000*CHOOSE(CONTROL!$C$42, 0.0916, 0.0916)*CHOOSE(CONTROL!$C$42, 200, 200)*CHOOSE(CONTROL!$C$42, 31, 31))/1000000</f>
        <v>0.56791999999999998</v>
      </c>
      <c r="X36" s="56">
        <v>0</v>
      </c>
      <c r="Y36" s="56"/>
      <c r="Z36" s="17">
        <f>CHOOSE(CONTROL!$C$42, 4.4389, 4.4389) * CHOOSE(CONTROL!$C$21, $C$9, 100%, $E$9)</f>
        <v>4.4389000000000003</v>
      </c>
      <c r="AA36" s="55">
        <f>(131500*31*(6/31))/1000000</f>
        <v>0.78900000000000003</v>
      </c>
      <c r="AB36" s="48">
        <f>(B36*122.58+C36*297.941+D36*89.177+E36*200.302+F36*40+G36*0+H36*0+I36*100+J36*300)/(122.58+297.941+89.177+200.302+0+40+0+100+300)</f>
        <v>4.4937023411304349</v>
      </c>
      <c r="AC36" s="45">
        <f>(M36*240+N36*0+O36*355+P36*100)/(240+0+355+100)</f>
        <v>4.4893618705035969</v>
      </c>
    </row>
    <row r="37" spans="1:29" ht="15.75" x14ac:dyDescent="0.25">
      <c r="A37" s="16">
        <v>42005</v>
      </c>
      <c r="B37" s="17">
        <f>CHOOSE(CONTROL!$C$42, 4.5563, 4.5563) * CHOOSE(CONTROL!$C$21, $C$9, 100%, $E$9)</f>
        <v>4.5563000000000002</v>
      </c>
      <c r="C37" s="17">
        <f>CHOOSE(CONTROL!$C$42, 4.5614, 4.5614) * CHOOSE(CONTROL!$C$21, $C$9, 100%, $E$9)</f>
        <v>4.5613999999999999</v>
      </c>
      <c r="D37" s="17">
        <f>CHOOSE(CONTROL!$C$42, 4.6582, 4.6582) * CHOOSE(CONTROL!$C$21, $C$9, 100%, $E$9)</f>
        <v>4.6581999999999999</v>
      </c>
      <c r="E37" s="17">
        <f>CHOOSE(CONTROL!$C$42, 4.6919, 4.6919) * CHOOSE(CONTROL!$C$21, $C$9, 100%, $E$9)</f>
        <v>4.6919000000000004</v>
      </c>
      <c r="F37" s="17">
        <f>CHOOSE(CONTROL!$C$42, 4.5705, 4.5705)*CHOOSE(CONTROL!$C$21, $C$9, 100%, $E$9)</f>
        <v>4.5705</v>
      </c>
      <c r="G37" s="17">
        <f>CHOOSE(CONTROL!$C$42, 4.587, 4.587)*CHOOSE(CONTROL!$C$21, $C$9, 100%, $E$9)</f>
        <v>4.5869999999999997</v>
      </c>
      <c r="H37" s="17">
        <f>CHOOSE(CONTROL!$C$42, 4.6808, 4.6808) * CHOOSE(CONTROL!$C$21, $C$9, 100%, $E$9)</f>
        <v>4.6807999999999996</v>
      </c>
      <c r="I37" s="17">
        <f>CHOOSE(CONTROL!$C$42, 4.5954, 4.5954)* CHOOSE(CONTROL!$C$21, $C$9, 100%, $E$9)</f>
        <v>4.5953999999999997</v>
      </c>
      <c r="J37" s="17">
        <f>CHOOSE(CONTROL!$C$42, 4.5631, 4.5631)* CHOOSE(CONTROL!$C$21, $C$9, 100%, $E$9)</f>
        <v>4.5631000000000004</v>
      </c>
      <c r="K37" s="52"/>
      <c r="L37" s="17">
        <f>CHOOSE(CONTROL!$C$42, 5.2678, 5.2678) * CHOOSE(CONTROL!$C$21, $C$9, 100%, $E$9)</f>
        <v>5.2678000000000003</v>
      </c>
      <c r="M37" s="17">
        <f>CHOOSE(CONTROL!$C$42, 4.5291, 4.5291) * CHOOSE(CONTROL!$C$21, $C$9, 100%, $E$9)</f>
        <v>4.5290999999999997</v>
      </c>
      <c r="N37" s="17">
        <f>CHOOSE(CONTROL!$C$42, 4.5454, 4.5454) * CHOOSE(CONTROL!$C$21, $C$9, 100%, $E$9)</f>
        <v>4.5453999999999999</v>
      </c>
      <c r="O37" s="17">
        <f>CHOOSE(CONTROL!$C$42, 4.6457, 4.6457) * CHOOSE(CONTROL!$C$21, $C$9, 100%, $E$9)</f>
        <v>4.6456999999999997</v>
      </c>
      <c r="P37" s="17">
        <f>CHOOSE(CONTROL!$C$42, 4.561, 4.561) * CHOOSE(CONTROL!$C$21, $C$9, 100%, $E$9)</f>
        <v>4.5609999999999999</v>
      </c>
      <c r="Q37" s="17">
        <f>CHOOSE(CONTROL!$C$42, 5.2404, 5.2404) * CHOOSE(CONTROL!$C$21, $C$9, 100%, $E$9)</f>
        <v>5.2404000000000002</v>
      </c>
      <c r="R37" s="17">
        <f>CHOOSE(CONTROL!$C$42, 5.8405, 5.8405) * CHOOSE(CONTROL!$C$21, $C$9, 100%, $E$9)</f>
        <v>5.8404999999999996</v>
      </c>
      <c r="S37" s="17">
        <f>CHOOSE(CONTROL!$C$42, 4.4087, 4.4087) * CHOOSE(CONTROL!$C$21, $C$9, 100%, $E$9)</f>
        <v>4.4086999999999996</v>
      </c>
      <c r="T3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7" s="56">
        <f>(1000*CHOOSE(CONTROL!$C$42, 695, 695)*CHOOSE(CONTROL!$C$42, 0.5599, 0.5599)*CHOOSE(CONTROL!$C$42, 31, 31))/1000000</f>
        <v>12.063045499999998</v>
      </c>
      <c r="V37" s="56">
        <f>(1000*CHOOSE(CONTROL!$C$42, 580, 580)*CHOOSE(CONTROL!$C$42, 0.275, 0.275)*CHOOSE(CONTROL!$C$42, 31, 31))/1000000</f>
        <v>4.9444999999999997</v>
      </c>
      <c r="W37" s="56">
        <f>(1000*CHOOSE(CONTROL!$C$42, 0.0916, 0.0916)*CHOOSE(CONTROL!$C$42, 200, 200)*CHOOSE(CONTROL!$C$42, 31, 31))/1000000</f>
        <v>0.56791999999999998</v>
      </c>
      <c r="X37" s="56">
        <v>0</v>
      </c>
      <c r="Y37" s="56"/>
      <c r="Z37" s="17">
        <f>CHOOSE(CONTROL!$C$42, 4.5372, 4.5372) * CHOOSE(CONTROL!$C$21, $C$9, 100%, $E$9)</f>
        <v>4.5372000000000003</v>
      </c>
      <c r="AA37" s="55">
        <f>(131500*31*(6/31))/1000000</f>
        <v>0.78900000000000003</v>
      </c>
      <c r="AB37" s="48">
        <f>(B37*122.58+C37*297.941+D37*89.177+E37*200.302+F37*40+G37*0+H37*0+I37*100+J37*300)/(122.58+297.941+89.177+200.302+0+40+0+100+300)</f>
        <v>4.5948092057391303</v>
      </c>
      <c r="AC37" s="45">
        <f>(M37*240+N37*0+O37*355+P37*100)/(240+0+355+100)</f>
        <v>4.5932482014388478</v>
      </c>
    </row>
    <row r="38" spans="1:29" ht="15.75" x14ac:dyDescent="0.25">
      <c r="A38" s="16">
        <v>42036</v>
      </c>
      <c r="B38" s="17">
        <f>CHOOSE(CONTROL!$C$42, 4.5418, 4.5418) * CHOOSE(CONTROL!$C$21, $C$9, 100%, $E$9)</f>
        <v>4.5418000000000003</v>
      </c>
      <c r="C38" s="17">
        <f>CHOOSE(CONTROL!$C$42, 4.5469, 4.5469) * CHOOSE(CONTROL!$C$21, $C$9, 100%, $E$9)</f>
        <v>4.5468999999999999</v>
      </c>
      <c r="D38" s="17">
        <f>CHOOSE(CONTROL!$C$42, 4.6438, 4.6438) * CHOOSE(CONTROL!$C$21, $C$9, 100%, $E$9)</f>
        <v>4.6437999999999997</v>
      </c>
      <c r="E38" s="17">
        <f>CHOOSE(CONTROL!$C$42, 4.6775, 4.6775) * CHOOSE(CONTROL!$C$21, $C$9, 100%, $E$9)</f>
        <v>4.6775000000000002</v>
      </c>
      <c r="F38" s="17">
        <f>CHOOSE(CONTROL!$C$42, 4.5561, 4.5561)*CHOOSE(CONTROL!$C$21, $C$9, 100%, $E$9)</f>
        <v>4.5560999999999998</v>
      </c>
      <c r="G38" s="17">
        <f>CHOOSE(CONTROL!$C$42, 4.5725, 4.5725)*CHOOSE(CONTROL!$C$21, $C$9, 100%, $E$9)</f>
        <v>4.5724999999999998</v>
      </c>
      <c r="H38" s="17">
        <f>CHOOSE(CONTROL!$C$42, 4.6664, 4.6664) * CHOOSE(CONTROL!$C$21, $C$9, 100%, $E$9)</f>
        <v>4.6664000000000003</v>
      </c>
      <c r="I38" s="17">
        <f>CHOOSE(CONTROL!$C$42, 4.5809, 4.5809)* CHOOSE(CONTROL!$C$21, $C$9, 100%, $E$9)</f>
        <v>4.5808999999999997</v>
      </c>
      <c r="J38" s="17">
        <f>CHOOSE(CONTROL!$C$42, 4.5487, 4.5487)* CHOOSE(CONTROL!$C$21, $C$9, 100%, $E$9)</f>
        <v>4.5487000000000002</v>
      </c>
      <c r="K38" s="52"/>
      <c r="L38" s="17">
        <f>CHOOSE(CONTROL!$C$42, 5.2534, 5.2534) * CHOOSE(CONTROL!$C$21, $C$9, 100%, $E$9)</f>
        <v>5.2534000000000001</v>
      </c>
      <c r="M38" s="17">
        <f>CHOOSE(CONTROL!$C$42, 4.5148, 4.5148) * CHOOSE(CONTROL!$C$21, $C$9, 100%, $E$9)</f>
        <v>4.5148000000000001</v>
      </c>
      <c r="N38" s="17">
        <f>CHOOSE(CONTROL!$C$42, 4.5311, 4.5311) * CHOOSE(CONTROL!$C$21, $C$9, 100%, $E$9)</f>
        <v>4.5311000000000003</v>
      </c>
      <c r="O38" s="17">
        <f>CHOOSE(CONTROL!$C$42, 4.6314, 4.6314) * CHOOSE(CONTROL!$C$21, $C$9, 100%, $E$9)</f>
        <v>4.6314000000000002</v>
      </c>
      <c r="P38" s="17">
        <f>CHOOSE(CONTROL!$C$42, 4.5466, 4.5466) * CHOOSE(CONTROL!$C$21, $C$9, 100%, $E$9)</f>
        <v>4.5465999999999998</v>
      </c>
      <c r="Q38" s="17">
        <f>CHOOSE(CONTROL!$C$42, 5.2261, 5.2261) * CHOOSE(CONTROL!$C$21, $C$9, 100%, $E$9)</f>
        <v>5.2260999999999997</v>
      </c>
      <c r="R38" s="17">
        <f>CHOOSE(CONTROL!$C$42, 5.8262, 5.8262) * CHOOSE(CONTROL!$C$21, $C$9, 100%, $E$9)</f>
        <v>5.8262</v>
      </c>
      <c r="S38" s="17">
        <f>CHOOSE(CONTROL!$C$42, 4.3947, 4.3947) * CHOOSE(CONTROL!$C$21, $C$9, 100%, $E$9)</f>
        <v>4.3947000000000003</v>
      </c>
      <c r="T3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8" s="56">
        <f>(1000*CHOOSE(CONTROL!$C$42, 695, 695)*CHOOSE(CONTROL!$C$42, 0.5599, 0.5599)*CHOOSE(CONTROL!$C$42, 28, 28))/1000000</f>
        <v>10.895653999999999</v>
      </c>
      <c r="V38" s="56">
        <f>(1000*CHOOSE(CONTROL!$C$42, 580, 580)*CHOOSE(CONTROL!$C$42, 0.275, 0.275)*CHOOSE(CONTROL!$C$42, 28, 28))/1000000</f>
        <v>4.4660000000000002</v>
      </c>
      <c r="W38" s="56">
        <f>(1000*CHOOSE(CONTROL!$C$42, 0.0916, 0.0916)*CHOOSE(CONTROL!$C$42, 200, 200)*CHOOSE(CONTROL!$C$42, 28, 28))/1000000</f>
        <v>0.51295999999999997</v>
      </c>
      <c r="X38" s="56">
        <v>0</v>
      </c>
      <c r="Y38" s="56"/>
      <c r="Z38" s="17">
        <f>CHOOSE(CONTROL!$C$42, 4.5228, 4.5228) * CHOOSE(CONTROL!$C$21, $C$9, 100%, $E$9)</f>
        <v>4.5228000000000002</v>
      </c>
      <c r="AA38" s="55">
        <f>(131500*28*(6/28))/1000000</f>
        <v>0.78900000000000003</v>
      </c>
      <c r="AB38" s="48">
        <f>(B38*122.58+C38*297.941+D38*89.177+E38*200.302+F38*40+G38*0+H38*0+I38*100+J38*300)/(122.58+297.941+89.177+200.302+0+40+0+100+300)</f>
        <v>4.580363943043479</v>
      </c>
      <c r="AC38" s="45">
        <f>(M38*240+N38*0+O38*355+P38*100)/(240+0+355+100)</f>
        <v>4.5789338129496411</v>
      </c>
    </row>
    <row r="39" spans="1:29" ht="15.75" x14ac:dyDescent="0.25">
      <c r="A39" s="16">
        <v>42064</v>
      </c>
      <c r="B39" s="17">
        <f>CHOOSE(CONTROL!$C$42, 4.4511, 4.4511) * CHOOSE(CONTROL!$C$21, $C$9, 100%, $E$9)</f>
        <v>4.4511000000000003</v>
      </c>
      <c r="C39" s="17">
        <f>CHOOSE(CONTROL!$C$42, 4.4562, 4.4562) * CHOOSE(CONTROL!$C$21, $C$9, 100%, $E$9)</f>
        <v>4.4561999999999999</v>
      </c>
      <c r="D39" s="17">
        <f>CHOOSE(CONTROL!$C$42, 4.553, 4.553) * CHOOSE(CONTROL!$C$21, $C$9, 100%, $E$9)</f>
        <v>4.5529999999999999</v>
      </c>
      <c r="E39" s="17">
        <f>CHOOSE(CONTROL!$C$42, 4.5868, 4.5868) * CHOOSE(CONTROL!$C$21, $C$9, 100%, $E$9)</f>
        <v>4.5868000000000002</v>
      </c>
      <c r="F39" s="17">
        <f>CHOOSE(CONTROL!$C$42, 4.4647, 4.4647)*CHOOSE(CONTROL!$C$21, $C$9, 100%, $E$9)</f>
        <v>4.4646999999999997</v>
      </c>
      <c r="G39" s="17">
        <f>CHOOSE(CONTROL!$C$42, 4.481, 4.481)*CHOOSE(CONTROL!$C$21, $C$9, 100%, $E$9)</f>
        <v>4.4809999999999999</v>
      </c>
      <c r="H39" s="17">
        <f>CHOOSE(CONTROL!$C$42, 4.5756, 4.5756) * CHOOSE(CONTROL!$C$21, $C$9, 100%, $E$9)</f>
        <v>4.5755999999999997</v>
      </c>
      <c r="I39" s="17">
        <f>CHOOSE(CONTROL!$C$42, 4.4898, 4.4898)* CHOOSE(CONTROL!$C$21, $C$9, 100%, $E$9)</f>
        <v>4.4897999999999998</v>
      </c>
      <c r="J39" s="17">
        <f>CHOOSE(CONTROL!$C$42, 4.4573, 4.4573)* CHOOSE(CONTROL!$C$21, $C$9, 100%, $E$9)</f>
        <v>4.4573</v>
      </c>
      <c r="K39" s="52"/>
      <c r="L39" s="17">
        <f>CHOOSE(CONTROL!$C$42, 5.1626, 5.1626) * CHOOSE(CONTROL!$C$21, $C$9, 100%, $E$9)</f>
        <v>5.1626000000000003</v>
      </c>
      <c r="M39" s="17">
        <f>CHOOSE(CONTROL!$C$42, 4.4242, 4.4242) * CHOOSE(CONTROL!$C$21, $C$9, 100%, $E$9)</f>
        <v>4.4241999999999999</v>
      </c>
      <c r="N39" s="17">
        <f>CHOOSE(CONTROL!$C$42, 4.4403, 4.4403) * CHOOSE(CONTROL!$C$21, $C$9, 100%, $E$9)</f>
        <v>4.4402999999999997</v>
      </c>
      <c r="O39" s="17">
        <f>CHOOSE(CONTROL!$C$42, 4.5415, 4.5415) * CHOOSE(CONTROL!$C$21, $C$9, 100%, $E$9)</f>
        <v>4.5415000000000001</v>
      </c>
      <c r="P39" s="17">
        <f>CHOOSE(CONTROL!$C$42, 4.4564, 4.4564) * CHOOSE(CONTROL!$C$21, $C$9, 100%, $E$9)</f>
        <v>4.4564000000000004</v>
      </c>
      <c r="Q39" s="17">
        <f>CHOOSE(CONTROL!$C$42, 5.1362, 5.1362) * CHOOSE(CONTROL!$C$21, $C$9, 100%, $E$9)</f>
        <v>5.1361999999999997</v>
      </c>
      <c r="R39" s="17">
        <f>CHOOSE(CONTROL!$C$42, 5.736, 5.736) * CHOOSE(CONTROL!$C$21, $C$9, 100%, $E$9)</f>
        <v>5.7359999999999998</v>
      </c>
      <c r="S39" s="17">
        <f>CHOOSE(CONTROL!$C$42, 4.3067, 4.3067) * CHOOSE(CONTROL!$C$21, $C$9, 100%, $E$9)</f>
        <v>4.3067000000000002</v>
      </c>
      <c r="T3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9" s="56">
        <f>(1000*CHOOSE(CONTROL!$C$42, 695, 695)*CHOOSE(CONTROL!$C$42, 0.5599, 0.5599)*CHOOSE(CONTROL!$C$42, 31, 31))/1000000</f>
        <v>12.063045499999998</v>
      </c>
      <c r="V39" s="56">
        <f>(1000*CHOOSE(CONTROL!$C$42, 580, 580)*CHOOSE(CONTROL!$C$42, 0.275, 0.275)*CHOOSE(CONTROL!$C$42, 31, 31))/1000000</f>
        <v>4.9444999999999997</v>
      </c>
      <c r="W39" s="56">
        <f>(1000*CHOOSE(CONTROL!$C$42, 0.0916, 0.0916)*CHOOSE(CONTROL!$C$42, 200, 200)*CHOOSE(CONTROL!$C$42, 31, 31))/1000000</f>
        <v>0.56791999999999998</v>
      </c>
      <c r="X39" s="56">
        <v>0</v>
      </c>
      <c r="Y39" s="56"/>
      <c r="Z39" s="17">
        <f>CHOOSE(CONTROL!$C$42, 4.4328, 4.4328) * CHOOSE(CONTROL!$C$21, $C$9, 100%, $E$9)</f>
        <v>4.4328000000000003</v>
      </c>
      <c r="AA39" s="55">
        <f>(131500*31*(6/31))/1000000</f>
        <v>0.78900000000000003</v>
      </c>
      <c r="AB39" s="48">
        <f>(B39*122.58+C39*297.941+D39*89.177+E39*200.302+F39*40+G39*0+H39*0+I39*100+J39*300)/(122.58+297.941+89.177+200.302+0+40+0+100+300)</f>
        <v>4.4894144493913046</v>
      </c>
      <c r="AC39" s="45">
        <f>(M39*240+N39*0+O39*355+P39*100)/(240+0+355+100)</f>
        <v>4.4887489208633093</v>
      </c>
    </row>
    <row r="40" spans="1:29" ht="15.75" x14ac:dyDescent="0.25">
      <c r="A40" s="16">
        <v>42095</v>
      </c>
      <c r="B40" s="17">
        <f>CHOOSE(CONTROL!$C$42, 4.2273, 4.2273) * CHOOSE(CONTROL!$C$21, $C$9, 100%, $E$9)</f>
        <v>4.2272999999999996</v>
      </c>
      <c r="C40" s="17">
        <f>CHOOSE(CONTROL!$C$42, 4.2318, 4.2318) * CHOOSE(CONTROL!$C$21, $C$9, 100%, $E$9)</f>
        <v>4.2317999999999998</v>
      </c>
      <c r="D40" s="17">
        <f>CHOOSE(CONTROL!$C$42, 4.4793, 4.4793) * CHOOSE(CONTROL!$C$21, $C$9, 100%, $E$9)</f>
        <v>4.4793000000000003</v>
      </c>
      <c r="E40" s="17">
        <f>CHOOSE(CONTROL!$C$42, 4.5111, 4.5111) * CHOOSE(CONTROL!$C$21, $C$9, 100%, $E$9)</f>
        <v>4.5110999999999999</v>
      </c>
      <c r="F40" s="17">
        <f>CHOOSE(CONTROL!$C$42, 4.2389, 4.2389)*CHOOSE(CONTROL!$C$21, $C$9, 100%, $E$9)</f>
        <v>4.2389000000000001</v>
      </c>
      <c r="G40" s="17">
        <f>CHOOSE(CONTROL!$C$42, 4.2548, 4.2548)*CHOOSE(CONTROL!$C$21, $C$9, 100%, $E$9)</f>
        <v>4.2548000000000004</v>
      </c>
      <c r="H40" s="17">
        <f>CHOOSE(CONTROL!$C$42, 4.5006, 4.5006) * CHOOSE(CONTROL!$C$21, $C$9, 100%, $E$9)</f>
        <v>4.5006000000000004</v>
      </c>
      <c r="I40" s="17">
        <f>CHOOSE(CONTROL!$C$42, 4.263, 4.263)* CHOOSE(CONTROL!$C$21, $C$9, 100%, $E$9)</f>
        <v>4.2629999999999999</v>
      </c>
      <c r="J40" s="17">
        <f>CHOOSE(CONTROL!$C$42, 4.2315, 4.2315)* CHOOSE(CONTROL!$C$21, $C$9, 100%, $E$9)</f>
        <v>4.2314999999999996</v>
      </c>
      <c r="K40" s="52"/>
      <c r="L40" s="17">
        <f>CHOOSE(CONTROL!$C$42, 5.0876, 5.0876) * CHOOSE(CONTROL!$C$21, $C$9, 100%, $E$9)</f>
        <v>5.0876000000000001</v>
      </c>
      <c r="M40" s="17">
        <f>CHOOSE(CONTROL!$C$42, 4.2005, 4.2005) * CHOOSE(CONTROL!$C$21, $C$9, 100%, $E$9)</f>
        <v>4.2004999999999999</v>
      </c>
      <c r="N40" s="17">
        <f>CHOOSE(CONTROL!$C$42, 4.2162, 4.2162) * CHOOSE(CONTROL!$C$21, $C$9, 100%, $E$9)</f>
        <v>4.2161999999999997</v>
      </c>
      <c r="O40" s="17">
        <f>CHOOSE(CONTROL!$C$42, 4.4671, 4.4671) * CHOOSE(CONTROL!$C$21, $C$9, 100%, $E$9)</f>
        <v>4.4671000000000003</v>
      </c>
      <c r="P40" s="17">
        <f>CHOOSE(CONTROL!$C$42, 4.2316, 4.2316) * CHOOSE(CONTROL!$C$21, $C$9, 100%, $E$9)</f>
        <v>4.2316000000000003</v>
      </c>
      <c r="Q40" s="17">
        <f>CHOOSE(CONTROL!$C$42, 5.0618, 5.0618) * CHOOSE(CONTROL!$C$21, $C$9, 100%, $E$9)</f>
        <v>5.0617999999999999</v>
      </c>
      <c r="R40" s="17">
        <f>CHOOSE(CONTROL!$C$42, 5.6615, 5.6615) * CHOOSE(CONTROL!$C$21, $C$9, 100%, $E$9)</f>
        <v>5.6615000000000002</v>
      </c>
      <c r="S40" s="17">
        <f>CHOOSE(CONTROL!$C$42, 4.0889, 4.0889) * CHOOSE(CONTROL!$C$21, $C$9, 100%, $E$9)</f>
        <v>4.0888999999999998</v>
      </c>
      <c r="T4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0" s="56">
        <f>(1000*CHOOSE(CONTROL!$C$42, 695, 695)*CHOOSE(CONTROL!$C$42, 0.5599, 0.5599)*CHOOSE(CONTROL!$C$42, 30, 30))/1000000</f>
        <v>11.673914999999997</v>
      </c>
      <c r="V40" s="56">
        <f>(1000*CHOOSE(CONTROL!$C$42, 580, 580)*CHOOSE(CONTROL!$C$42, 0.275, 0.275)*CHOOSE(CONTROL!$C$42, 30, 30))/1000000</f>
        <v>4.7850000000000001</v>
      </c>
      <c r="W40" s="56">
        <f>(1000*CHOOSE(CONTROL!$C$42, 0.0916, 0.0916)*CHOOSE(CONTROL!$C$42, 200, 200)*CHOOSE(CONTROL!$C$42, 30, 30))/1000000</f>
        <v>0.54959999999999998</v>
      </c>
      <c r="X40" s="56">
        <f>(30*0.1790888*145000/1000000)+(30*0.2374*100000/1000000)</f>
        <v>1.4912362799999999</v>
      </c>
      <c r="Y40" s="56"/>
      <c r="Z40" s="17">
        <f>CHOOSE(CONTROL!$C$42, 4.2011, 4.2011) * CHOOSE(CONTROL!$C$21, $C$9, 100%, $E$9)</f>
        <v>4.2011000000000003</v>
      </c>
      <c r="AA40" s="55">
        <f>(131500*30*(6/30))/1000000</f>
        <v>0.78900000000000003</v>
      </c>
      <c r="AB40" s="48">
        <f>(B40*141.293+C40*267.993+D40*115.016+E40*189.698+F40*40+G40*85+H40*0+I40*100+J40*300)/(141.293+267.993+115.016+189.698+0+40+85+100+300)</f>
        <v>4.3012772339790155</v>
      </c>
      <c r="AC40" s="45">
        <f t="shared" ref="AC40:AC46" si="2">(M40*240+N40*160+O40*195+P40*100)/(240+160+195+100)</f>
        <v>4.2833906474820145</v>
      </c>
    </row>
    <row r="41" spans="1:29" ht="15.75" x14ac:dyDescent="0.25">
      <c r="A41" s="16">
        <v>42125</v>
      </c>
      <c r="B41" s="17">
        <f>CHOOSE(CONTROL!$C$42, 4.2369, 4.2369) * CHOOSE(CONTROL!$C$21, $C$9, 100%, $E$9)</f>
        <v>4.2369000000000003</v>
      </c>
      <c r="C41" s="17">
        <f>CHOOSE(CONTROL!$C$42, 4.2449, 4.2449) * CHOOSE(CONTROL!$C$21, $C$9, 100%, $E$9)</f>
        <v>4.2449000000000003</v>
      </c>
      <c r="D41" s="17">
        <f>CHOOSE(CONTROL!$C$42, 4.4893, 4.4893) * CHOOSE(CONTROL!$C$21, $C$9, 100%, $E$9)</f>
        <v>4.4893000000000001</v>
      </c>
      <c r="E41" s="17">
        <f>CHOOSE(CONTROL!$C$42, 4.5205, 4.5205) * CHOOSE(CONTROL!$C$21, $C$9, 100%, $E$9)</f>
        <v>4.5205000000000002</v>
      </c>
      <c r="F41" s="17">
        <f>CHOOSE(CONTROL!$C$42, 4.2474, 4.2474)*CHOOSE(CONTROL!$C$21, $C$9, 100%, $E$9)</f>
        <v>4.2473999999999998</v>
      </c>
      <c r="G41" s="17">
        <f>CHOOSE(CONTROL!$C$42, 4.2637, 4.2637)*CHOOSE(CONTROL!$C$21, $C$9, 100%, $E$9)</f>
        <v>4.2637</v>
      </c>
      <c r="H41" s="17">
        <f>CHOOSE(CONTROL!$C$42, 4.5088, 4.5088) * CHOOSE(CONTROL!$C$21, $C$9, 100%, $E$9)</f>
        <v>4.5087999999999999</v>
      </c>
      <c r="I41" s="17">
        <f>CHOOSE(CONTROL!$C$42, 4.2713, 4.2713)* CHOOSE(CONTROL!$C$21, $C$9, 100%, $E$9)</f>
        <v>4.2713000000000001</v>
      </c>
      <c r="J41" s="17">
        <f>CHOOSE(CONTROL!$C$42, 4.24, 4.24)* CHOOSE(CONTROL!$C$21, $C$9, 100%, $E$9)</f>
        <v>4.24</v>
      </c>
      <c r="K41" s="52"/>
      <c r="L41" s="17">
        <f>CHOOSE(CONTROL!$C$42, 5.0958, 5.0958) * CHOOSE(CONTROL!$C$21, $C$9, 100%, $E$9)</f>
        <v>5.0957999999999997</v>
      </c>
      <c r="M41" s="17">
        <f>CHOOSE(CONTROL!$C$42, 4.2089, 4.2089) * CHOOSE(CONTROL!$C$21, $C$9, 100%, $E$9)</f>
        <v>4.2088999999999999</v>
      </c>
      <c r="N41" s="17">
        <f>CHOOSE(CONTROL!$C$42, 4.225, 4.225) * CHOOSE(CONTROL!$C$21, $C$9, 100%, $E$9)</f>
        <v>4.2249999999999996</v>
      </c>
      <c r="O41" s="17">
        <f>CHOOSE(CONTROL!$C$42, 4.4753, 4.4753) * CHOOSE(CONTROL!$C$21, $C$9, 100%, $E$9)</f>
        <v>4.4752999999999998</v>
      </c>
      <c r="P41" s="17">
        <f>CHOOSE(CONTROL!$C$42, 4.2398, 4.2398) * CHOOSE(CONTROL!$C$21, $C$9, 100%, $E$9)</f>
        <v>4.2397999999999998</v>
      </c>
      <c r="Q41" s="17">
        <f>CHOOSE(CONTROL!$C$42, 5.07, 5.07) * CHOOSE(CONTROL!$C$21, $C$9, 100%, $E$9)</f>
        <v>5.07</v>
      </c>
      <c r="R41" s="17">
        <f>CHOOSE(CONTROL!$C$42, 5.6697, 5.6697) * CHOOSE(CONTROL!$C$21, $C$9, 100%, $E$9)</f>
        <v>5.6696999999999997</v>
      </c>
      <c r="S41" s="17">
        <f>CHOOSE(CONTROL!$C$42, 4.0969, 4.0969) * CHOOSE(CONTROL!$C$21, $C$9, 100%, $E$9)</f>
        <v>4.0968999999999998</v>
      </c>
      <c r="T41" s="57">
        <f>((((430000*CHOOSE(CONTROL!$C$42, 0.4694, 0.4694)+(874000-430000)*CHOOSE(CONTROL!$C$42, 0.7185, 0.7185)+400000*CHOOSE(CONTROL!$C$42, 1.14, 1.14)+50000*0.98)*CHOOSE(CONTROL!$C$42, 31, 31))/1000000))+CHOOSE(CONTROL!$C$42, 0.188, 0.188)+CHOOSE(CONTROL!$C$42, 0.5154, 0.5154)</f>
        <v>32.504936000000001</v>
      </c>
      <c r="U41" s="56">
        <f>(1000*CHOOSE(CONTROL!$C$42, 695, 695)*CHOOSE(CONTROL!$C$42, 0.5599, 0.5599)*CHOOSE(CONTROL!$C$42, 31, 31))/1000000</f>
        <v>12.063045499999998</v>
      </c>
      <c r="V41" s="56">
        <f>(1000*CHOOSE(CONTROL!$C$42, 580, 580)*CHOOSE(CONTROL!$C$42, 0.275, 0.275)*CHOOSE(CONTROL!$C$42, 31, 31))/1000000</f>
        <v>4.9444999999999997</v>
      </c>
      <c r="W41" s="56">
        <f>(1000*CHOOSE(CONTROL!$C$42, 0.0916, 0.0916)*CHOOSE(CONTROL!$C$42, 200, 200)*CHOOSE(CONTROL!$C$42, 31, 31))/1000000</f>
        <v>0.56791999999999998</v>
      </c>
      <c r="X41" s="56">
        <f>(31*0.1790888*145000/1000000)+(31*0.2374*100000/1000000)</f>
        <v>1.5409441560000001</v>
      </c>
      <c r="Y41" s="56"/>
      <c r="Z41" s="17">
        <f>CHOOSE(CONTROL!$C$42, 4.2093, 4.2093) * CHOOSE(CONTROL!$C$21, $C$9, 100%, $E$9)</f>
        <v>4.2092999999999998</v>
      </c>
      <c r="AA41" s="55">
        <f>(131500*31*(6/31))/1000000</f>
        <v>0.78900000000000003</v>
      </c>
      <c r="AB41" s="48">
        <f>(B41*194.205+C41*267.466+D41*133.845+E41*153.484+F41*40+G41*85+H41*50+I41*100+J41*300)/(194.205+267.466+133.845+153.484+50+40+85+100+300)</f>
        <v>4.3125142510574017</v>
      </c>
      <c r="AC41" s="45">
        <f t="shared" si="2"/>
        <v>4.2917978417266189</v>
      </c>
    </row>
    <row r="42" spans="1:29" ht="15.75" x14ac:dyDescent="0.25">
      <c r="A42" s="16">
        <v>42156</v>
      </c>
      <c r="B42" s="17">
        <f>CHOOSE(CONTROL!$C$42, 4.2596, 4.2596) * CHOOSE(CONTROL!$C$21, $C$9, 100%, $E$9)</f>
        <v>4.2595999999999998</v>
      </c>
      <c r="C42" s="17">
        <f>CHOOSE(CONTROL!$C$42, 4.2676, 4.2676) * CHOOSE(CONTROL!$C$21, $C$9, 100%, $E$9)</f>
        <v>4.2675999999999998</v>
      </c>
      <c r="D42" s="17">
        <f>CHOOSE(CONTROL!$C$42, 4.512, 4.512) * CHOOSE(CONTROL!$C$21, $C$9, 100%, $E$9)</f>
        <v>4.5119999999999996</v>
      </c>
      <c r="E42" s="17">
        <f>CHOOSE(CONTROL!$C$42, 4.5432, 4.5432) * CHOOSE(CONTROL!$C$21, $C$9, 100%, $E$9)</f>
        <v>4.5431999999999997</v>
      </c>
      <c r="F42" s="17">
        <f>CHOOSE(CONTROL!$C$42, 4.2704, 4.2704)*CHOOSE(CONTROL!$C$21, $C$9, 100%, $E$9)</f>
        <v>4.2704000000000004</v>
      </c>
      <c r="G42" s="17">
        <f>CHOOSE(CONTROL!$C$42, 4.2868, 4.2868)*CHOOSE(CONTROL!$C$21, $C$9, 100%, $E$9)</f>
        <v>4.2868000000000004</v>
      </c>
      <c r="H42" s="17">
        <f>CHOOSE(CONTROL!$C$42, 4.5315, 4.5315) * CHOOSE(CONTROL!$C$21, $C$9, 100%, $E$9)</f>
        <v>4.5315000000000003</v>
      </c>
      <c r="I42" s="17">
        <f>CHOOSE(CONTROL!$C$42, 4.294, 4.294)* CHOOSE(CONTROL!$C$21, $C$9, 100%, $E$9)</f>
        <v>4.2939999999999996</v>
      </c>
      <c r="J42" s="17">
        <f>CHOOSE(CONTROL!$C$42, 4.263, 4.263)* CHOOSE(CONTROL!$C$21, $C$9, 100%, $E$9)</f>
        <v>4.2629999999999999</v>
      </c>
      <c r="K42" s="52"/>
      <c r="L42" s="17">
        <f>CHOOSE(CONTROL!$C$42, 5.1185, 5.1185) * CHOOSE(CONTROL!$C$21, $C$9, 100%, $E$9)</f>
        <v>5.1185</v>
      </c>
      <c r="M42" s="17">
        <f>CHOOSE(CONTROL!$C$42, 4.2317, 4.2317) * CHOOSE(CONTROL!$C$21, $C$9, 100%, $E$9)</f>
        <v>4.2317</v>
      </c>
      <c r="N42" s="17">
        <f>CHOOSE(CONTROL!$C$42, 4.2479, 4.2479) * CHOOSE(CONTROL!$C$21, $C$9, 100%, $E$9)</f>
        <v>4.2478999999999996</v>
      </c>
      <c r="O42" s="17">
        <f>CHOOSE(CONTROL!$C$42, 4.4978, 4.4978) * CHOOSE(CONTROL!$C$21, $C$9, 100%, $E$9)</f>
        <v>4.4977999999999998</v>
      </c>
      <c r="P42" s="17">
        <f>CHOOSE(CONTROL!$C$42, 4.2624, 4.2624) * CHOOSE(CONTROL!$C$21, $C$9, 100%, $E$9)</f>
        <v>4.2624000000000004</v>
      </c>
      <c r="Q42" s="17">
        <f>CHOOSE(CONTROL!$C$42, 5.0925, 5.0925) * CHOOSE(CONTROL!$C$21, $C$9, 100%, $E$9)</f>
        <v>5.0925000000000002</v>
      </c>
      <c r="R42" s="17">
        <f>CHOOSE(CONTROL!$C$42, 5.6922, 5.6922) * CHOOSE(CONTROL!$C$21, $C$9, 100%, $E$9)</f>
        <v>5.6921999999999997</v>
      </c>
      <c r="S42" s="17">
        <f>CHOOSE(CONTROL!$C$42, 4.1189, 4.1189) * CHOOSE(CONTROL!$C$21, $C$9, 100%, $E$9)</f>
        <v>4.1189</v>
      </c>
      <c r="T42" s="57">
        <f>((((430000*CHOOSE(CONTROL!$C$42, 0.4694, 0.4694)+(874000-430000)*CHOOSE(CONTROL!$C$42, 0.7185, 0.7185)+400000*CHOOSE(CONTROL!$C$42, 1.14, 1.14)+50000*0.98)*CHOOSE(CONTROL!$C$42, 30, 30))/1000000))+CHOOSE(CONTROL!$C$42, 0.1616, 0.1616)+CHOOSE(CONTROL!$C$42, 0.5074, 0.5074)</f>
        <v>31.444680000000002</v>
      </c>
      <c r="U42" s="56">
        <f>(1000*CHOOSE(CONTROL!$C$42, 695, 695)*CHOOSE(CONTROL!$C$42, 0.5599, 0.5599)*CHOOSE(CONTROL!$C$42, 30, 30))/1000000</f>
        <v>11.673914999999997</v>
      </c>
      <c r="V42" s="56">
        <f>(1000*CHOOSE(CONTROL!$C$42, 580, 580)*CHOOSE(CONTROL!$C$42, 0.275, 0.275)*CHOOSE(CONTROL!$C$42, 30, 30))/1000000</f>
        <v>4.7850000000000001</v>
      </c>
      <c r="W42" s="56">
        <f>(1000*CHOOSE(CONTROL!$C$42, 0.0916, 0.0916)*CHOOSE(CONTROL!$C$42, 200, 200)*CHOOSE(CONTROL!$C$42, 30, 30))/1000000</f>
        <v>0.54959999999999998</v>
      </c>
      <c r="X42" s="56">
        <f>(30*0.1790888*145000/1000000)+(30*0.2374*100000/1000000)</f>
        <v>1.4912362799999999</v>
      </c>
      <c r="Y42" s="56"/>
      <c r="Z42" s="17">
        <f>CHOOSE(CONTROL!$C$42, 4.2319, 4.2319) * CHOOSE(CONTROL!$C$21, $C$9, 100%, $E$9)</f>
        <v>4.2319000000000004</v>
      </c>
      <c r="AA42" s="55">
        <f>(131500*30*(6/30))/1000000</f>
        <v>0.78900000000000003</v>
      </c>
      <c r="AB42" s="48">
        <f>(B42*194.205+C42*267.466+D42*133.845+E42*153.484+F42*40+G42*85+H42*50+I42*100+J42*300)/(194.205+267.466+133.845+153.484+50+40+85+100+300)</f>
        <v>4.3353169700906342</v>
      </c>
      <c r="AC42" s="45">
        <f t="shared" si="2"/>
        <v>4.3145079136690647</v>
      </c>
    </row>
    <row r="43" spans="1:29" ht="15.75" x14ac:dyDescent="0.25">
      <c r="A43" s="16">
        <v>42186</v>
      </c>
      <c r="B43" s="17">
        <f>CHOOSE(CONTROL!$C$42, 4.2957, 4.2957) * CHOOSE(CONTROL!$C$21, $C$9, 100%, $E$9)</f>
        <v>4.2957000000000001</v>
      </c>
      <c r="C43" s="17">
        <f>CHOOSE(CONTROL!$C$42, 4.3036, 4.3036) * CHOOSE(CONTROL!$C$21, $C$9, 100%, $E$9)</f>
        <v>4.3036000000000003</v>
      </c>
      <c r="D43" s="17">
        <f>CHOOSE(CONTROL!$C$42, 4.5481, 4.5481) * CHOOSE(CONTROL!$C$21, $C$9, 100%, $E$9)</f>
        <v>4.5480999999999998</v>
      </c>
      <c r="E43" s="17">
        <f>CHOOSE(CONTROL!$C$42, 4.5793, 4.5793) * CHOOSE(CONTROL!$C$21, $C$9, 100%, $E$9)</f>
        <v>4.5792999999999999</v>
      </c>
      <c r="F43" s="17">
        <f>CHOOSE(CONTROL!$C$42, 4.307, 4.307)*CHOOSE(CONTROL!$C$21, $C$9, 100%, $E$9)</f>
        <v>4.3070000000000004</v>
      </c>
      <c r="G43" s="17">
        <f>CHOOSE(CONTROL!$C$42, 4.3234, 4.3234)*CHOOSE(CONTROL!$C$21, $C$9, 100%, $E$9)</f>
        <v>4.3234000000000004</v>
      </c>
      <c r="H43" s="17">
        <f>CHOOSE(CONTROL!$C$42, 4.5676, 4.5676) * CHOOSE(CONTROL!$C$21, $C$9, 100%, $E$9)</f>
        <v>4.5675999999999997</v>
      </c>
      <c r="I43" s="17">
        <f>CHOOSE(CONTROL!$C$42, 4.3303, 4.3303)* CHOOSE(CONTROL!$C$21, $C$9, 100%, $E$9)</f>
        <v>4.3303000000000003</v>
      </c>
      <c r="J43" s="17">
        <f>CHOOSE(CONTROL!$C$42, 4.2996, 4.2996)* CHOOSE(CONTROL!$C$21, $C$9, 100%, $E$9)</f>
        <v>4.2995999999999999</v>
      </c>
      <c r="K43" s="52"/>
      <c r="L43" s="17">
        <f>CHOOSE(CONTROL!$C$42, 5.1546, 5.1546) * CHOOSE(CONTROL!$C$21, $C$9, 100%, $E$9)</f>
        <v>5.1546000000000003</v>
      </c>
      <c r="M43" s="17">
        <f>CHOOSE(CONTROL!$C$42, 4.2679, 4.2679) * CHOOSE(CONTROL!$C$21, $C$9, 100%, $E$9)</f>
        <v>4.2679</v>
      </c>
      <c r="N43" s="17">
        <f>CHOOSE(CONTROL!$C$42, 4.2842, 4.2842) * CHOOSE(CONTROL!$C$21, $C$9, 100%, $E$9)</f>
        <v>4.2842000000000002</v>
      </c>
      <c r="O43" s="17">
        <f>CHOOSE(CONTROL!$C$42, 4.5335, 4.5335) * CHOOSE(CONTROL!$C$21, $C$9, 100%, $E$9)</f>
        <v>4.5335000000000001</v>
      </c>
      <c r="P43" s="17">
        <f>CHOOSE(CONTROL!$C$42, 4.2982, 4.2982) * CHOOSE(CONTROL!$C$21, $C$9, 100%, $E$9)</f>
        <v>4.2981999999999996</v>
      </c>
      <c r="Q43" s="17">
        <f>CHOOSE(CONTROL!$C$42, 5.1282, 5.1282) * CHOOSE(CONTROL!$C$21, $C$9, 100%, $E$9)</f>
        <v>5.1281999999999996</v>
      </c>
      <c r="R43" s="17">
        <f>CHOOSE(CONTROL!$C$42, 5.7281, 5.7281) * CHOOSE(CONTROL!$C$21, $C$9, 100%, $E$9)</f>
        <v>5.7281000000000004</v>
      </c>
      <c r="S43" s="17">
        <f>CHOOSE(CONTROL!$C$42, 4.1539, 4.1539) * CHOOSE(CONTROL!$C$21, $C$9, 100%, $E$9)</f>
        <v>4.1539000000000001</v>
      </c>
      <c r="T43" s="57">
        <f>((((430000*CHOOSE(CONTROL!$C$42, 0.4694, 0.4694)+(874000-430000)*CHOOSE(CONTROL!$C$42, 0.7185, 0.7185)+400000*CHOOSE(CONTROL!$C$42, 1.14, 1.14)+50000*0.98)*CHOOSE(CONTROL!$C$42, 31, 31))/1000000))+CHOOSE(CONTROL!$C$42, 0.1555, 0.1555)+CHOOSE(CONTROL!$C$42, 0.5217, 0.5217)</f>
        <v>32.478735999999998</v>
      </c>
      <c r="U43" s="56">
        <f>(1000*CHOOSE(CONTROL!$C$42, 695, 695)*CHOOSE(CONTROL!$C$42, 0.5599, 0.5599)*CHOOSE(CONTROL!$C$42, 31, 31))/1000000</f>
        <v>12.063045499999998</v>
      </c>
      <c r="V43" s="56">
        <f>(1000*CHOOSE(CONTROL!$C$42, 580, 580)*CHOOSE(CONTROL!$C$42, 0.275, 0.275)*CHOOSE(CONTROL!$C$42, 31, 31))/1000000</f>
        <v>4.9444999999999997</v>
      </c>
      <c r="W43" s="56">
        <f>(1000*CHOOSE(CONTROL!$C$42, 0.0916, 0.0916)*CHOOSE(CONTROL!$C$42, 200, 200)*CHOOSE(CONTROL!$C$42, 31, 31))/1000000</f>
        <v>0.56791999999999998</v>
      </c>
      <c r="X43" s="56">
        <f>(31*0.1790888*145000/1000000)+(31*0.2374*100000/1000000)</f>
        <v>1.5409441560000001</v>
      </c>
      <c r="Y43" s="56"/>
      <c r="Z43" s="17">
        <f>CHOOSE(CONTROL!$C$42, 4.2677, 4.2677) * CHOOSE(CONTROL!$C$21, $C$9, 100%, $E$9)</f>
        <v>4.2676999999999996</v>
      </c>
      <c r="AA43" s="55">
        <f>(131500*31*(6/31))/1000000</f>
        <v>0.78900000000000003</v>
      </c>
      <c r="AB43" s="48">
        <f>(B43*194.205+C43*267.466+D43*133.845+E43*153.484+F43*40+G43*85+H43*50+I43*100+J43*300)/(194.205+267.466+133.845+153.484+50+40+85+100+300)</f>
        <v>4.3715723729607259</v>
      </c>
      <c r="AC43" s="45">
        <f t="shared" si="2"/>
        <v>4.35053309352518</v>
      </c>
    </row>
    <row r="44" spans="1:29" ht="15.75" x14ac:dyDescent="0.25">
      <c r="A44" s="16">
        <v>42217</v>
      </c>
      <c r="B44" s="17">
        <f>CHOOSE(CONTROL!$C$42, 4.3132, 4.3132) * CHOOSE(CONTROL!$C$21, $C$9, 100%, $E$9)</f>
        <v>4.3132000000000001</v>
      </c>
      <c r="C44" s="17">
        <f>CHOOSE(CONTROL!$C$42, 4.3212, 4.3212) * CHOOSE(CONTROL!$C$21, $C$9, 100%, $E$9)</f>
        <v>4.3212000000000002</v>
      </c>
      <c r="D44" s="17">
        <f>CHOOSE(CONTROL!$C$42, 4.5656, 4.5656) * CHOOSE(CONTROL!$C$21, $C$9, 100%, $E$9)</f>
        <v>4.5655999999999999</v>
      </c>
      <c r="E44" s="17">
        <f>CHOOSE(CONTROL!$C$42, 4.5968, 4.5968) * CHOOSE(CONTROL!$C$21, $C$9, 100%, $E$9)</f>
        <v>4.5968</v>
      </c>
      <c r="F44" s="17">
        <f>CHOOSE(CONTROL!$C$42, 4.3248, 4.3248)*CHOOSE(CONTROL!$C$21, $C$9, 100%, $E$9)</f>
        <v>4.3247999999999998</v>
      </c>
      <c r="G44" s="17">
        <f>CHOOSE(CONTROL!$C$42, 4.3413, 4.3413)*CHOOSE(CONTROL!$C$21, $C$9, 100%, $E$9)</f>
        <v>4.3413000000000004</v>
      </c>
      <c r="H44" s="17">
        <f>CHOOSE(CONTROL!$C$42, 4.5851, 4.5851) * CHOOSE(CONTROL!$C$21, $C$9, 100%, $E$9)</f>
        <v>4.5850999999999997</v>
      </c>
      <c r="I44" s="17">
        <f>CHOOSE(CONTROL!$C$42, 4.3478, 4.3478)* CHOOSE(CONTROL!$C$21, $C$9, 100%, $E$9)</f>
        <v>4.3478000000000003</v>
      </c>
      <c r="J44" s="17">
        <f>CHOOSE(CONTROL!$C$42, 4.3174, 4.3174)* CHOOSE(CONTROL!$C$21, $C$9, 100%, $E$9)</f>
        <v>4.3174000000000001</v>
      </c>
      <c r="K44" s="52"/>
      <c r="L44" s="17">
        <f>CHOOSE(CONTROL!$C$42, 5.1721, 5.1721) * CHOOSE(CONTROL!$C$21, $C$9, 100%, $E$9)</f>
        <v>5.1721000000000004</v>
      </c>
      <c r="M44" s="17">
        <f>CHOOSE(CONTROL!$C$42, 4.2855, 4.2855) * CHOOSE(CONTROL!$C$21, $C$9, 100%, $E$9)</f>
        <v>4.2854999999999999</v>
      </c>
      <c r="N44" s="17">
        <f>CHOOSE(CONTROL!$C$42, 4.3019, 4.3019) * CHOOSE(CONTROL!$C$21, $C$9, 100%, $E$9)</f>
        <v>4.3018999999999998</v>
      </c>
      <c r="O44" s="17">
        <f>CHOOSE(CONTROL!$C$42, 4.5509, 4.5509) * CHOOSE(CONTROL!$C$21, $C$9, 100%, $E$9)</f>
        <v>4.5509000000000004</v>
      </c>
      <c r="P44" s="17">
        <f>CHOOSE(CONTROL!$C$42, 4.3157, 4.3157) * CHOOSE(CONTROL!$C$21, $C$9, 100%, $E$9)</f>
        <v>4.3156999999999996</v>
      </c>
      <c r="Q44" s="17">
        <f>CHOOSE(CONTROL!$C$42, 5.1456, 5.1456) * CHOOSE(CONTROL!$C$21, $C$9, 100%, $E$9)</f>
        <v>5.1456</v>
      </c>
      <c r="R44" s="17">
        <f>CHOOSE(CONTROL!$C$42, 5.7455, 5.7455) * CHOOSE(CONTROL!$C$21, $C$9, 100%, $E$9)</f>
        <v>5.7454999999999998</v>
      </c>
      <c r="S44" s="17">
        <f>CHOOSE(CONTROL!$C$42, 4.1709, 4.1709) * CHOOSE(CONTROL!$C$21, $C$9, 100%, $E$9)</f>
        <v>4.1708999999999996</v>
      </c>
      <c r="T44" s="57">
        <f>((((430000*CHOOSE(CONTROL!$C$42, 0.4694, 0.4694)+(874000-430000)*CHOOSE(CONTROL!$C$42, 0.7185, 0.7185)+400000*CHOOSE(CONTROL!$C$42, 1.14, 1.14)+50000*0.98)*CHOOSE(CONTROL!$C$42, 31, 31))/1000000))+CHOOSE(CONTROL!$C$42, 0.1911, 0.1911)+CHOOSE(CONTROL!$C$42, 0.5131, 0.5131)</f>
        <v>32.505735999999999</v>
      </c>
      <c r="U44" s="56">
        <f>(1000*CHOOSE(CONTROL!$C$42, 695, 695)*CHOOSE(CONTROL!$C$42, 0.5599, 0.5599)*CHOOSE(CONTROL!$C$42, 31, 31))/1000000</f>
        <v>12.063045499999998</v>
      </c>
      <c r="V44" s="56">
        <f>(1000*CHOOSE(CONTROL!$C$42, 580, 580)*CHOOSE(CONTROL!$C$42, 0.275, 0.275)*CHOOSE(CONTROL!$C$42, 31, 31))/1000000</f>
        <v>4.9444999999999997</v>
      </c>
      <c r="W44" s="56">
        <f>(1000*CHOOSE(CONTROL!$C$42, 0.0916, 0.0916)*CHOOSE(CONTROL!$C$42, 200, 200)*CHOOSE(CONTROL!$C$42, 31, 31))/1000000</f>
        <v>0.56791999999999998</v>
      </c>
      <c r="X44" s="56">
        <f>(31*0.1790888*145000/1000000)+(31*0.2374*100000/1000000)</f>
        <v>1.5409441560000001</v>
      </c>
      <c r="Y44" s="56"/>
      <c r="Z44" s="17">
        <f>CHOOSE(CONTROL!$C$42, 4.2851, 4.2851) * CHOOSE(CONTROL!$C$21, $C$9, 100%, $E$9)</f>
        <v>4.2850999999999999</v>
      </c>
      <c r="AA44" s="55">
        <f>(131500*31*(6/31))/1000000</f>
        <v>0.78900000000000003</v>
      </c>
      <c r="AB44" s="48">
        <f>(B44*194.205+C44*267.466+D44*133.845+E44*153.484+F44*40+G44*85+H44*50+I44*100+J44*300)/(194.205+267.466+133.845+153.484+50+40+85+100+300)</f>
        <v>4.3891952933534748</v>
      </c>
      <c r="AC44" s="45">
        <f t="shared" si="2"/>
        <v>4.3680856115107911</v>
      </c>
    </row>
    <row r="45" spans="1:29" ht="15.75" x14ac:dyDescent="0.25">
      <c r="A45" s="16">
        <v>42248</v>
      </c>
      <c r="B45" s="17">
        <f>CHOOSE(CONTROL!$C$42, 4.3161, 4.3161) * CHOOSE(CONTROL!$C$21, $C$9, 100%, $E$9)</f>
        <v>4.3160999999999996</v>
      </c>
      <c r="C45" s="17">
        <f>CHOOSE(CONTROL!$C$42, 4.324, 4.324) * CHOOSE(CONTROL!$C$21, $C$9, 100%, $E$9)</f>
        <v>4.3239999999999998</v>
      </c>
      <c r="D45" s="17">
        <f>CHOOSE(CONTROL!$C$42, 4.5685, 4.5685) * CHOOSE(CONTROL!$C$21, $C$9, 100%, $E$9)</f>
        <v>4.5685000000000002</v>
      </c>
      <c r="E45" s="17">
        <f>CHOOSE(CONTROL!$C$42, 4.5997, 4.5997) * CHOOSE(CONTROL!$C$21, $C$9, 100%, $E$9)</f>
        <v>4.5997000000000003</v>
      </c>
      <c r="F45" s="17">
        <f>CHOOSE(CONTROL!$C$42, 4.3277, 4.3277)*CHOOSE(CONTROL!$C$21, $C$9, 100%, $E$9)</f>
        <v>4.3277000000000001</v>
      </c>
      <c r="G45" s="17">
        <f>CHOOSE(CONTROL!$C$42, 4.3442, 4.3442)*CHOOSE(CONTROL!$C$21, $C$9, 100%, $E$9)</f>
        <v>4.3441999999999998</v>
      </c>
      <c r="H45" s="17">
        <f>CHOOSE(CONTROL!$C$42, 4.588, 4.588) * CHOOSE(CONTROL!$C$21, $C$9, 100%, $E$9)</f>
        <v>4.5880000000000001</v>
      </c>
      <c r="I45" s="17">
        <f>CHOOSE(CONTROL!$C$42, 4.3507, 4.3507)* CHOOSE(CONTROL!$C$21, $C$9, 100%, $E$9)</f>
        <v>4.3506999999999998</v>
      </c>
      <c r="J45" s="17">
        <f>CHOOSE(CONTROL!$C$42, 4.3203, 4.3203)* CHOOSE(CONTROL!$C$21, $C$9, 100%, $E$9)</f>
        <v>4.3202999999999996</v>
      </c>
      <c r="K45" s="52"/>
      <c r="L45" s="17">
        <f>CHOOSE(CONTROL!$C$42, 5.175, 5.175) * CHOOSE(CONTROL!$C$21, $C$9, 100%, $E$9)</f>
        <v>5.1749999999999998</v>
      </c>
      <c r="M45" s="17">
        <f>CHOOSE(CONTROL!$C$42, 4.2884, 4.2884) * CHOOSE(CONTROL!$C$21, $C$9, 100%, $E$9)</f>
        <v>4.2884000000000002</v>
      </c>
      <c r="N45" s="17">
        <f>CHOOSE(CONTROL!$C$42, 4.3048, 4.3048) * CHOOSE(CONTROL!$C$21, $C$9, 100%, $E$9)</f>
        <v>4.3048000000000002</v>
      </c>
      <c r="O45" s="17">
        <f>CHOOSE(CONTROL!$C$42, 4.5538, 4.5538) * CHOOSE(CONTROL!$C$21, $C$9, 100%, $E$9)</f>
        <v>4.5537999999999998</v>
      </c>
      <c r="P45" s="17">
        <f>CHOOSE(CONTROL!$C$42, 4.3185, 4.3185) * CHOOSE(CONTROL!$C$21, $C$9, 100%, $E$9)</f>
        <v>4.3185000000000002</v>
      </c>
      <c r="Q45" s="17">
        <f>CHOOSE(CONTROL!$C$42, 5.1485, 5.1485) * CHOOSE(CONTROL!$C$21, $C$9, 100%, $E$9)</f>
        <v>5.1485000000000003</v>
      </c>
      <c r="R45" s="17">
        <f>CHOOSE(CONTROL!$C$42, 5.7483, 5.7483) * CHOOSE(CONTROL!$C$21, $C$9, 100%, $E$9)</f>
        <v>5.7483000000000004</v>
      </c>
      <c r="S45" s="17">
        <f>CHOOSE(CONTROL!$C$42, 4.1737, 4.1737) * CHOOSE(CONTROL!$C$21, $C$9, 100%, $E$9)</f>
        <v>4.1737000000000002</v>
      </c>
      <c r="T45" s="57">
        <f>((((430000*CHOOSE(CONTROL!$C$42, 0.4694, 0.4694)+(874000-430000)*CHOOSE(CONTROL!$C$42, 0.7185, 0.7185)+400000*CHOOSE(CONTROL!$C$42, 1.14, 1.14)+50000*0.98)*CHOOSE(CONTROL!$C$42, 30, 30))/1000000))+CHOOSE(CONTROL!$C$42, 0.1717, 0.1717)+CHOOSE(CONTROL!$C$42, 0.4923, 0.4923)</f>
        <v>31.439680000000003</v>
      </c>
      <c r="U45" s="56">
        <f>(1000*CHOOSE(CONTROL!$C$42, 695, 695)*CHOOSE(CONTROL!$C$42, 0.5599, 0.5599)*CHOOSE(CONTROL!$C$42, 30, 30))/1000000</f>
        <v>11.673914999999997</v>
      </c>
      <c r="V45" s="56">
        <f>(1000*CHOOSE(CONTROL!$C$42, 580, 580)*CHOOSE(CONTROL!$C$42, 0.275, 0.275)*CHOOSE(CONTROL!$C$42, 30, 30))/1000000</f>
        <v>4.7850000000000001</v>
      </c>
      <c r="W45" s="56">
        <f>(1000*CHOOSE(CONTROL!$C$42, 0.0916, 0.0916)*CHOOSE(CONTROL!$C$42, 200, 200)*CHOOSE(CONTROL!$C$42, 30, 30))/1000000</f>
        <v>0.54959999999999998</v>
      </c>
      <c r="X45" s="56">
        <f>(30*0.1790888*145000/1000000)+(30*0.2374*100000/1000000)</f>
        <v>1.4912362799999999</v>
      </c>
      <c r="Y45" s="56"/>
      <c r="Z45" s="17">
        <f>CHOOSE(CONTROL!$C$42, 4.2879, 4.2879) * CHOOSE(CONTROL!$C$21, $C$9, 100%, $E$9)</f>
        <v>4.2878999999999996</v>
      </c>
      <c r="AA45" s="55">
        <f>(131500*30*(6/30))/1000000</f>
        <v>0.78900000000000003</v>
      </c>
      <c r="AB45" s="48">
        <f>(B45*194.205+C45*267.466+D45*133.845+E45*153.484+F45*40+G45*85+H45*50+I45*100+J45*300)/(194.205+267.466+133.845+153.484+50+40+85+100+300)</f>
        <v>4.3920750919939584</v>
      </c>
      <c r="AC45" s="45">
        <f t="shared" si="2"/>
        <v>4.3709712230215834</v>
      </c>
    </row>
    <row r="46" spans="1:29" ht="15.75" x14ac:dyDescent="0.25">
      <c r="A46" s="16">
        <v>42278</v>
      </c>
      <c r="B46" s="17">
        <f>CHOOSE(CONTROL!$C$42, 4.3494, 4.3494) * CHOOSE(CONTROL!$C$21, $C$9, 100%, $E$9)</f>
        <v>4.3494000000000002</v>
      </c>
      <c r="C46" s="17">
        <f>CHOOSE(CONTROL!$C$42, 4.3547, 4.3547) * CHOOSE(CONTROL!$C$21, $C$9, 100%, $E$9)</f>
        <v>4.3547000000000002</v>
      </c>
      <c r="D46" s="17">
        <f>CHOOSE(CONTROL!$C$42, 4.6041, 4.6041) * CHOOSE(CONTROL!$C$21, $C$9, 100%, $E$9)</f>
        <v>4.6040999999999999</v>
      </c>
      <c r="E46" s="17">
        <f>CHOOSE(CONTROL!$C$42, 4.633, 4.633) * CHOOSE(CONTROL!$C$21, $C$9, 100%, $E$9)</f>
        <v>4.633</v>
      </c>
      <c r="F46" s="17">
        <f>CHOOSE(CONTROL!$C$42, 4.3632, 4.3632)*CHOOSE(CONTROL!$C$21, $C$9, 100%, $E$9)</f>
        <v>4.3632</v>
      </c>
      <c r="G46" s="17">
        <f>CHOOSE(CONTROL!$C$42, 4.3796, 4.3796)*CHOOSE(CONTROL!$C$21, $C$9, 100%, $E$9)</f>
        <v>4.3795999999999999</v>
      </c>
      <c r="H46" s="17">
        <f>CHOOSE(CONTROL!$C$42, 4.6231, 4.6231) * CHOOSE(CONTROL!$C$21, $C$9, 100%, $E$9)</f>
        <v>4.6231</v>
      </c>
      <c r="I46" s="17">
        <f>CHOOSE(CONTROL!$C$42, 4.3859, 4.3859)* CHOOSE(CONTROL!$C$21, $C$9, 100%, $E$9)</f>
        <v>4.3859000000000004</v>
      </c>
      <c r="J46" s="17">
        <f>CHOOSE(CONTROL!$C$42, 4.3558, 4.3558)* CHOOSE(CONTROL!$C$21, $C$9, 100%, $E$9)</f>
        <v>4.3558000000000003</v>
      </c>
      <c r="K46" s="52"/>
      <c r="L46" s="17">
        <f>CHOOSE(CONTROL!$C$42, 5.2101, 5.2101) * CHOOSE(CONTROL!$C$21, $C$9, 100%, $E$9)</f>
        <v>5.2100999999999997</v>
      </c>
      <c r="M46" s="17">
        <f>CHOOSE(CONTROL!$C$42, 4.3236, 4.3236) * CHOOSE(CONTROL!$C$21, $C$9, 100%, $E$9)</f>
        <v>4.3235999999999999</v>
      </c>
      <c r="N46" s="17">
        <f>CHOOSE(CONTROL!$C$42, 4.3399, 4.3399) * CHOOSE(CONTROL!$C$21, $C$9, 100%, $E$9)</f>
        <v>4.3399000000000001</v>
      </c>
      <c r="O46" s="17">
        <f>CHOOSE(CONTROL!$C$42, 4.5885, 4.5885) * CHOOSE(CONTROL!$C$21, $C$9, 100%, $E$9)</f>
        <v>4.5884999999999998</v>
      </c>
      <c r="P46" s="17">
        <f>CHOOSE(CONTROL!$C$42, 4.3534, 4.3534) * CHOOSE(CONTROL!$C$21, $C$9, 100%, $E$9)</f>
        <v>4.3533999999999997</v>
      </c>
      <c r="Q46" s="17">
        <f>CHOOSE(CONTROL!$C$42, 5.1832, 5.1832) * CHOOSE(CONTROL!$C$21, $C$9, 100%, $E$9)</f>
        <v>5.1832000000000003</v>
      </c>
      <c r="R46" s="17">
        <f>CHOOSE(CONTROL!$C$42, 5.7832, 5.7832) * CHOOSE(CONTROL!$C$21, $C$9, 100%, $E$9)</f>
        <v>5.7831999999999999</v>
      </c>
      <c r="S46" s="17">
        <f>CHOOSE(CONTROL!$C$42, 4.2077, 4.2077) * CHOOSE(CONTROL!$C$21, $C$9, 100%, $E$9)</f>
        <v>4.2077</v>
      </c>
      <c r="T4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6" s="56">
        <f>(1000*CHOOSE(CONTROL!$C$42, 695, 695)*CHOOSE(CONTROL!$C$42, 0.5599, 0.5599)*CHOOSE(CONTROL!$C$42, 31, 31))/1000000</f>
        <v>12.063045499999998</v>
      </c>
      <c r="V46" s="56">
        <f>(1000*CHOOSE(CONTROL!$C$42, 580, 580)*CHOOSE(CONTROL!$C$42, 0.275, 0.275)*CHOOSE(CONTROL!$C$42, 31, 31))/1000000</f>
        <v>4.9444999999999997</v>
      </c>
      <c r="W46" s="56">
        <f>(1000*CHOOSE(CONTROL!$C$42, 0.0916, 0.0916)*CHOOSE(CONTROL!$C$42, 200, 200)*CHOOSE(CONTROL!$C$42, 31, 31))/1000000</f>
        <v>0.56791999999999998</v>
      </c>
      <c r="X46" s="56">
        <f>(31*0.1790888*145000/1000000)+(31*0.2374*100000/1000000)</f>
        <v>1.5409441560000001</v>
      </c>
      <c r="Y46" s="56"/>
      <c r="Z46" s="17">
        <f>CHOOSE(CONTROL!$C$42, 4.3227, 4.3227) * CHOOSE(CONTROL!$C$21, $C$9, 100%, $E$9)</f>
        <v>4.3227000000000002</v>
      </c>
      <c r="AA46" s="55">
        <f>(131500*31*(6/31))/1000000</f>
        <v>0.78900000000000003</v>
      </c>
      <c r="AB46" s="48">
        <f>(B46*131.881+C46*277.167+D46*79.08+E46*225.872+F46*40+G46*85+H46*0+I46*100+J46*300)/(131.881+277.167+79.08+225.872+0+40+85+100+300)</f>
        <v>4.4255557387409201</v>
      </c>
      <c r="AC46" s="45">
        <f t="shared" si="2"/>
        <v>4.4059647482014386</v>
      </c>
    </row>
    <row r="47" spans="1:29" ht="15.75" x14ac:dyDescent="0.25">
      <c r="A47" s="16">
        <v>42309</v>
      </c>
      <c r="B47" s="17">
        <f>CHOOSE(CONTROL!$C$42, 4.4367, 4.4367) * CHOOSE(CONTROL!$C$21, $C$9, 100%, $E$9)</f>
        <v>4.4367000000000001</v>
      </c>
      <c r="C47" s="17">
        <f>CHOOSE(CONTROL!$C$42, 4.4417, 4.4417) * CHOOSE(CONTROL!$C$21, $C$9, 100%, $E$9)</f>
        <v>4.4417</v>
      </c>
      <c r="D47" s="17">
        <f>CHOOSE(CONTROL!$C$42, 4.5231, 4.5231) * CHOOSE(CONTROL!$C$21, $C$9, 100%, $E$9)</f>
        <v>4.5231000000000003</v>
      </c>
      <c r="E47" s="17">
        <f>CHOOSE(CONTROL!$C$42, 4.5569, 4.5569) * CHOOSE(CONTROL!$C$21, $C$9, 100%, $E$9)</f>
        <v>4.5568999999999997</v>
      </c>
      <c r="F47" s="17">
        <f>CHOOSE(CONTROL!$C$42, 4.4546, 4.4546)*CHOOSE(CONTROL!$C$21, $C$9, 100%, $E$9)</f>
        <v>4.4546000000000001</v>
      </c>
      <c r="G47" s="17">
        <f>CHOOSE(CONTROL!$C$42, 4.4713, 4.4713)*CHOOSE(CONTROL!$C$21, $C$9, 100%, $E$9)</f>
        <v>4.4713000000000003</v>
      </c>
      <c r="H47" s="17">
        <f>CHOOSE(CONTROL!$C$42, 4.5457, 4.5457) * CHOOSE(CONTROL!$C$21, $C$9, 100%, $E$9)</f>
        <v>4.5457000000000001</v>
      </c>
      <c r="I47" s="17">
        <f>CHOOSE(CONTROL!$C$42, 4.4754, 4.4754)* CHOOSE(CONTROL!$C$21, $C$9, 100%, $E$9)</f>
        <v>4.4753999999999996</v>
      </c>
      <c r="J47" s="17">
        <f>CHOOSE(CONTROL!$C$42, 4.4472, 4.4472)* CHOOSE(CONTROL!$C$21, $C$9, 100%, $E$9)</f>
        <v>4.4471999999999996</v>
      </c>
      <c r="K47" s="52"/>
      <c r="L47" s="17">
        <f>CHOOSE(CONTROL!$C$42, 5.1327, 5.1327) * CHOOSE(CONTROL!$C$21, $C$9, 100%, $E$9)</f>
        <v>5.1326999999999998</v>
      </c>
      <c r="M47" s="17">
        <f>CHOOSE(CONTROL!$C$42, 4.4142, 4.4142) * CHOOSE(CONTROL!$C$21, $C$9, 100%, $E$9)</f>
        <v>4.4142000000000001</v>
      </c>
      <c r="N47" s="17">
        <f>CHOOSE(CONTROL!$C$42, 4.4308, 4.4308) * CHOOSE(CONTROL!$C$21, $C$9, 100%, $E$9)</f>
        <v>4.4307999999999996</v>
      </c>
      <c r="O47" s="17">
        <f>CHOOSE(CONTROL!$C$42, 4.5119, 4.5119) * CHOOSE(CONTROL!$C$21, $C$9, 100%, $E$9)</f>
        <v>4.5118999999999998</v>
      </c>
      <c r="P47" s="17">
        <f>CHOOSE(CONTROL!$C$42, 4.4421, 4.4421) * CHOOSE(CONTROL!$C$21, $C$9, 100%, $E$9)</f>
        <v>4.4420999999999999</v>
      </c>
      <c r="Q47" s="17">
        <f>CHOOSE(CONTROL!$C$42, 5.1066, 5.1066) * CHOOSE(CONTROL!$C$21, $C$9, 100%, $E$9)</f>
        <v>5.1066000000000003</v>
      </c>
      <c r="R47" s="17">
        <f>CHOOSE(CONTROL!$C$42, 5.7063, 5.7063) * CHOOSE(CONTROL!$C$21, $C$9, 100%, $E$9)</f>
        <v>5.7062999999999997</v>
      </c>
      <c r="S47" s="17">
        <f>CHOOSE(CONTROL!$C$42, 4.2927, 4.2927) * CHOOSE(CONTROL!$C$21, $C$9, 100%, $E$9)</f>
        <v>4.2927</v>
      </c>
      <c r="T4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7" s="56">
        <f>(1000*CHOOSE(CONTROL!$C$42, 695, 695)*CHOOSE(CONTROL!$C$42, 0.5599, 0.5599)*CHOOSE(CONTROL!$C$42, 30, 30))/1000000</f>
        <v>11.673914999999997</v>
      </c>
      <c r="V47" s="56">
        <f>(1000*CHOOSE(CONTROL!$C$42, 580, 580)*CHOOSE(CONTROL!$C$42, 0.275, 0.275)*CHOOSE(CONTROL!$C$42, 30, 30))/1000000</f>
        <v>4.7850000000000001</v>
      </c>
      <c r="W47" s="56">
        <f>(1000*CHOOSE(CONTROL!$C$42, 0.0916, 0.0916)*CHOOSE(CONTROL!$C$42, 200, 200)*CHOOSE(CONTROL!$C$42, 30, 30))/1000000</f>
        <v>0.54959999999999998</v>
      </c>
      <c r="X47" s="56">
        <f>(30*0.2374*100000/1000000)</f>
        <v>0.71220000000000006</v>
      </c>
      <c r="Y47" s="56"/>
      <c r="Z47" s="17">
        <f>CHOOSE(CONTROL!$C$42, 4.4184, 4.4184) * CHOOSE(CONTROL!$C$21, $C$9, 100%, $E$9)</f>
        <v>4.4184000000000001</v>
      </c>
      <c r="AA47" s="55">
        <f>(131500*30*(6/30))/1000000</f>
        <v>0.78900000000000003</v>
      </c>
      <c r="AB47" s="48">
        <f>(B47*122.58+C47*297.941+D47*89.177+E47*140.302+F47*40+G47*60+H47*0+I47*100+J47*300)/(122.58+297.941+89.177+140.302+0+40+60+100+300)</f>
        <v>4.4678920853913038</v>
      </c>
      <c r="AC47" s="45">
        <f>(M47*240+N47*40+O47*315+P47*100)/(240+40+315+100)</f>
        <v>4.463451079136691</v>
      </c>
    </row>
    <row r="48" spans="1:29" ht="15.75" x14ac:dyDescent="0.25">
      <c r="A48" s="16">
        <v>42339</v>
      </c>
      <c r="B48" s="17">
        <f>CHOOSE(CONTROL!$C$42, 4.6326, 4.6326) * CHOOSE(CONTROL!$C$21, $C$9, 100%, $E$9)</f>
        <v>4.6326000000000001</v>
      </c>
      <c r="C48" s="17">
        <f>CHOOSE(CONTROL!$C$42, 4.6377, 4.6377) * CHOOSE(CONTROL!$C$21, $C$9, 100%, $E$9)</f>
        <v>4.6376999999999997</v>
      </c>
      <c r="D48" s="17">
        <f>CHOOSE(CONTROL!$C$42, 4.719, 4.719) * CHOOSE(CONTROL!$C$21, $C$9, 100%, $E$9)</f>
        <v>4.7190000000000003</v>
      </c>
      <c r="E48" s="17">
        <f>CHOOSE(CONTROL!$C$42, 4.7528, 4.7528) * CHOOSE(CONTROL!$C$21, $C$9, 100%, $E$9)</f>
        <v>4.7527999999999997</v>
      </c>
      <c r="F48" s="17">
        <f>CHOOSE(CONTROL!$C$42, 4.6529, 4.6529)*CHOOSE(CONTROL!$C$21, $C$9, 100%, $E$9)</f>
        <v>4.6528999999999998</v>
      </c>
      <c r="G48" s="17">
        <f>CHOOSE(CONTROL!$C$42, 4.6703, 4.6703)*CHOOSE(CONTROL!$C$21, $C$9, 100%, $E$9)</f>
        <v>4.6703000000000001</v>
      </c>
      <c r="H48" s="17">
        <f>CHOOSE(CONTROL!$C$42, 4.7417, 4.7417) * CHOOSE(CONTROL!$C$21, $C$9, 100%, $E$9)</f>
        <v>4.7416999999999998</v>
      </c>
      <c r="I48" s="17">
        <f>CHOOSE(CONTROL!$C$42, 4.6719, 4.6719)* CHOOSE(CONTROL!$C$21, $C$9, 100%, $E$9)</f>
        <v>4.6718999999999999</v>
      </c>
      <c r="J48" s="17">
        <f>CHOOSE(CONTROL!$C$42, 4.6455, 4.6455)* CHOOSE(CONTROL!$C$21, $C$9, 100%, $E$9)</f>
        <v>4.6455000000000002</v>
      </c>
      <c r="K48" s="52"/>
      <c r="L48" s="17">
        <f>CHOOSE(CONTROL!$C$42, 5.3287, 5.3287) * CHOOSE(CONTROL!$C$21, $C$9, 100%, $E$9)</f>
        <v>5.3287000000000004</v>
      </c>
      <c r="M48" s="17">
        <f>CHOOSE(CONTROL!$C$42, 4.6107, 4.6107) * CHOOSE(CONTROL!$C$21, $C$9, 100%, $E$9)</f>
        <v>4.6106999999999996</v>
      </c>
      <c r="N48" s="17">
        <f>CHOOSE(CONTROL!$C$42, 4.6279, 4.6279) * CHOOSE(CONTROL!$C$21, $C$9, 100%, $E$9)</f>
        <v>4.6279000000000003</v>
      </c>
      <c r="O48" s="17">
        <f>CHOOSE(CONTROL!$C$42, 4.706, 4.706) * CHOOSE(CONTROL!$C$21, $C$9, 100%, $E$9)</f>
        <v>4.7060000000000004</v>
      </c>
      <c r="P48" s="17">
        <f>CHOOSE(CONTROL!$C$42, 4.6368, 4.6368) * CHOOSE(CONTROL!$C$21, $C$9, 100%, $E$9)</f>
        <v>4.6368</v>
      </c>
      <c r="Q48" s="17">
        <f>CHOOSE(CONTROL!$C$42, 5.3007, 5.3007) * CHOOSE(CONTROL!$C$21, $C$9, 100%, $E$9)</f>
        <v>5.3007</v>
      </c>
      <c r="R48" s="17">
        <f>CHOOSE(CONTROL!$C$42, 5.901, 5.901) * CHOOSE(CONTROL!$C$21, $C$9, 100%, $E$9)</f>
        <v>5.9009999999999998</v>
      </c>
      <c r="S48" s="17">
        <f>CHOOSE(CONTROL!$C$42, 4.4827, 4.4827) * CHOOSE(CONTROL!$C$21, $C$9, 100%, $E$9)</f>
        <v>4.4827000000000004</v>
      </c>
      <c r="T4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8" s="56">
        <f>(1000*CHOOSE(CONTROL!$C$42, 695, 695)*CHOOSE(CONTROL!$C$42, 0.5599, 0.5599)*CHOOSE(CONTROL!$C$42, 31, 31))/1000000</f>
        <v>12.063045499999998</v>
      </c>
      <c r="V48" s="56">
        <f>(1000*CHOOSE(CONTROL!$C$42, 580, 580)*CHOOSE(CONTROL!$C$42, 0.275, 0.275)*CHOOSE(CONTROL!$C$42, 31, 31))/1000000</f>
        <v>4.9444999999999997</v>
      </c>
      <c r="W48" s="56">
        <f>(1000*CHOOSE(CONTROL!$C$42, 0.0916, 0.0916)*CHOOSE(CONTROL!$C$42, 200, 200)*CHOOSE(CONTROL!$C$42, 31, 31))/1000000</f>
        <v>0.56791999999999998</v>
      </c>
      <c r="X48" s="56">
        <f>(31*0.2374*100000/1000000)</f>
        <v>0.73594000000000004</v>
      </c>
      <c r="Y48" s="56"/>
      <c r="Z48" s="17">
        <f>CHOOSE(CONTROL!$C$42, 4.6129, 4.6129) * CHOOSE(CONTROL!$C$21, $C$9, 100%, $E$9)</f>
        <v>4.6128999999999998</v>
      </c>
      <c r="AA48" s="55">
        <f>(131500*31*(6/31))/1000000</f>
        <v>0.78900000000000003</v>
      </c>
      <c r="AB48" s="48">
        <f>(B48*122.58+C48*297.941+D48*89.177+E48*140.302+F48*40+G48*60+H48*0+I48*100+J48*300)/(122.58+297.941+89.177+140.302+0+40+60+100+300)</f>
        <v>4.6647414715652165</v>
      </c>
      <c r="AC48" s="45">
        <f>(M48*240+N48*40+O48*315+P48*100)/(240+40+315+100)</f>
        <v>4.6586388489208632</v>
      </c>
    </row>
    <row r="49" spans="1:29" ht="15.75" x14ac:dyDescent="0.25">
      <c r="A49" s="16">
        <v>42370</v>
      </c>
      <c r="B49" s="17">
        <f>CHOOSE(CONTROL!$C$42, 4.7386, 4.7386) * CHOOSE(CONTROL!$C$21, $C$9, 100%, $E$9)</f>
        <v>4.7385999999999999</v>
      </c>
      <c r="C49" s="17">
        <f>CHOOSE(CONTROL!$C$42, 4.7436, 4.7436) * CHOOSE(CONTROL!$C$21, $C$9, 100%, $E$9)</f>
        <v>4.7435999999999998</v>
      </c>
      <c r="D49" s="17">
        <f>CHOOSE(CONTROL!$C$42, 4.8405, 4.8405) * CHOOSE(CONTROL!$C$21, $C$9, 100%, $E$9)</f>
        <v>4.8404999999999996</v>
      </c>
      <c r="E49" s="17">
        <f>CHOOSE(CONTROL!$C$42, 4.8742, 4.8742) * CHOOSE(CONTROL!$C$21, $C$9, 100%, $E$9)</f>
        <v>4.8742000000000001</v>
      </c>
      <c r="F49" s="17">
        <f>CHOOSE(CONTROL!$C$42, 4.7528, 4.7528)*CHOOSE(CONTROL!$C$21, $C$9, 100%, $E$9)</f>
        <v>4.7527999999999997</v>
      </c>
      <c r="G49" s="17">
        <f>CHOOSE(CONTROL!$C$42, 4.7692, 4.7692)*CHOOSE(CONTROL!$C$21, $C$9, 100%, $E$9)</f>
        <v>4.7691999999999997</v>
      </c>
      <c r="H49" s="17">
        <f>CHOOSE(CONTROL!$C$42, 4.8631, 4.8631) * CHOOSE(CONTROL!$C$21, $C$9, 100%, $E$9)</f>
        <v>4.8631000000000002</v>
      </c>
      <c r="I49" s="17">
        <f>CHOOSE(CONTROL!$C$42, 4.7782, 4.7782)* CHOOSE(CONTROL!$C$21, $C$9, 100%, $E$9)</f>
        <v>4.7782</v>
      </c>
      <c r="J49" s="17">
        <f>CHOOSE(CONTROL!$C$42, 4.7454, 4.7454)* CHOOSE(CONTROL!$C$21, $C$9, 100%, $E$9)</f>
        <v>4.7454000000000001</v>
      </c>
      <c r="K49" s="52"/>
      <c r="L49" s="17">
        <f>CHOOSE(CONTROL!$C$42, 5.4501, 5.4501) * CHOOSE(CONTROL!$C$21, $C$9, 100%, $E$9)</f>
        <v>5.4500999999999999</v>
      </c>
      <c r="M49" s="17">
        <f>CHOOSE(CONTROL!$C$42, 4.7097, 4.7097) * CHOOSE(CONTROL!$C$21, $C$9, 100%, $E$9)</f>
        <v>4.7096999999999998</v>
      </c>
      <c r="N49" s="17">
        <f>CHOOSE(CONTROL!$C$42, 4.726, 4.726) * CHOOSE(CONTROL!$C$21, $C$9, 100%, $E$9)</f>
        <v>4.726</v>
      </c>
      <c r="O49" s="17">
        <f>CHOOSE(CONTROL!$C$42, 4.8264, 4.8264) * CHOOSE(CONTROL!$C$21, $C$9, 100%, $E$9)</f>
        <v>4.8263999999999996</v>
      </c>
      <c r="P49" s="17">
        <f>CHOOSE(CONTROL!$C$42, 4.7422, 4.7422) * CHOOSE(CONTROL!$C$21, $C$9, 100%, $E$9)</f>
        <v>4.7422000000000004</v>
      </c>
      <c r="Q49" s="17">
        <f>CHOOSE(CONTROL!$C$42, 5.4211, 5.4211) * CHOOSE(CONTROL!$C$21, $C$9, 100%, $E$9)</f>
        <v>5.4211</v>
      </c>
      <c r="R49" s="17">
        <f>CHOOSE(CONTROL!$C$42, 6.0216, 6.0216) * CHOOSE(CONTROL!$C$21, $C$9, 100%, $E$9)</f>
        <v>6.0216000000000003</v>
      </c>
      <c r="S49" s="17">
        <f>CHOOSE(CONTROL!$C$42, 4.5855, 4.5855) * CHOOSE(CONTROL!$C$21, $C$9, 100%, $E$9)</f>
        <v>4.5854999999999997</v>
      </c>
      <c r="T4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9" s="56">
        <f>(1000*CHOOSE(CONTROL!$C$42, 695, 695)*CHOOSE(CONTROL!$C$42, 0.5599, 0.5599)*CHOOSE(CONTROL!$C$42, 31, 31))/1000000</f>
        <v>12.063045499999998</v>
      </c>
      <c r="V49" s="56">
        <f>(1000*CHOOSE(CONTROL!$C$42, 580, 580)*CHOOSE(CONTROL!$C$42, 0.275, 0.275)*CHOOSE(CONTROL!$C$42, 31, 31))/1000000</f>
        <v>4.9444999999999997</v>
      </c>
      <c r="W49" s="56">
        <f>(1000*CHOOSE(CONTROL!$C$42, 0.0916, 0.0916)*CHOOSE(CONTROL!$C$42, 200, 200)*CHOOSE(CONTROL!$C$42, 31, 31))/1000000</f>
        <v>0.56791999999999998</v>
      </c>
      <c r="X49" s="56">
        <f>(31*0.2374*100000/1000000)</f>
        <v>0.73594000000000004</v>
      </c>
      <c r="Y49" s="56"/>
      <c r="Z49" s="17"/>
      <c r="AA49" s="55"/>
      <c r="AB49" s="48">
        <f>(B49*122.58+C49*297.941+D49*89.177+E49*140.302+F49*40+G49*60+H49*0+I49*100+J49*300)/(122.58+297.941+89.177+140.302+0+40+60+100+300)</f>
        <v>4.7716485152173913</v>
      </c>
      <c r="AC49" s="45">
        <f>(M49*'RAP TEMPLATE-GAS AVAILABILITY'!O48+N49*'RAP TEMPLATE-GAS AVAILABILITY'!P48+O49*'RAP TEMPLATE-GAS AVAILABILITY'!Q48+P49*'RAP TEMPLATE-GAS AVAILABILITY'!R48)/('RAP TEMPLATE-GAS AVAILABILITY'!O48+'RAP TEMPLATE-GAS AVAILABILITY'!P48+'RAP TEMPLATE-GAS AVAILABILITY'!Q48+'RAP TEMPLATE-GAS AVAILABILITY'!R48)</f>
        <v>4.7682071942446038</v>
      </c>
    </row>
    <row r="50" spans="1:29" ht="15.75" x14ac:dyDescent="0.25">
      <c r="A50" s="16">
        <v>42401</v>
      </c>
      <c r="B50" s="17">
        <f>CHOOSE(CONTROL!$C$42, 4.8326, 4.8326) * CHOOSE(CONTROL!$C$21, $C$9, 100%, $E$9)</f>
        <v>4.8326000000000002</v>
      </c>
      <c r="C50" s="17">
        <f>CHOOSE(CONTROL!$C$42, 4.8377, 4.8377) * CHOOSE(CONTROL!$C$21, $C$9, 100%, $E$9)</f>
        <v>4.8376999999999999</v>
      </c>
      <c r="D50" s="17">
        <f>CHOOSE(CONTROL!$C$42, 4.9346, 4.9346) * CHOOSE(CONTROL!$C$21, $C$9, 100%, $E$9)</f>
        <v>4.9345999999999997</v>
      </c>
      <c r="E50" s="17">
        <f>CHOOSE(CONTROL!$C$42, 4.9683, 4.9683) * CHOOSE(CONTROL!$C$21, $C$9, 100%, $E$9)</f>
        <v>4.9683000000000002</v>
      </c>
      <c r="F50" s="17">
        <f>CHOOSE(CONTROL!$C$42, 4.8469, 4.8469)*CHOOSE(CONTROL!$C$21, $C$9, 100%, $E$9)</f>
        <v>4.8468999999999998</v>
      </c>
      <c r="G50" s="17">
        <f>CHOOSE(CONTROL!$C$42, 4.8633, 4.8633)*CHOOSE(CONTROL!$C$21, $C$9, 100%, $E$9)</f>
        <v>4.8632999999999997</v>
      </c>
      <c r="H50" s="17">
        <f>CHOOSE(CONTROL!$C$42, 4.9572, 4.9572) * CHOOSE(CONTROL!$C$21, $C$9, 100%, $E$9)</f>
        <v>4.9572000000000003</v>
      </c>
      <c r="I50" s="17">
        <f>CHOOSE(CONTROL!$C$42, 4.8726, 4.8726)* CHOOSE(CONTROL!$C$21, $C$9, 100%, $E$9)</f>
        <v>4.8726000000000003</v>
      </c>
      <c r="J50" s="17">
        <f>CHOOSE(CONTROL!$C$42, 4.8395, 4.8395)* CHOOSE(CONTROL!$C$21, $C$9, 100%, $E$9)</f>
        <v>4.8395000000000001</v>
      </c>
      <c r="K50" s="52"/>
      <c r="L50" s="17">
        <f>CHOOSE(CONTROL!$C$42, 5.5442, 5.5442) * CHOOSE(CONTROL!$C$21, $C$9, 100%, $E$9)</f>
        <v>5.5442</v>
      </c>
      <c r="M50" s="17">
        <f>CHOOSE(CONTROL!$C$42, 4.803, 4.803) * CHOOSE(CONTROL!$C$21, $C$9, 100%, $E$9)</f>
        <v>4.8029999999999999</v>
      </c>
      <c r="N50" s="17">
        <f>CHOOSE(CONTROL!$C$42, 4.8192, 4.8192) * CHOOSE(CONTROL!$C$21, $C$9, 100%, $E$9)</f>
        <v>4.8192000000000004</v>
      </c>
      <c r="O50" s="17">
        <f>CHOOSE(CONTROL!$C$42, 4.9196, 4.9196) * CHOOSE(CONTROL!$C$21, $C$9, 100%, $E$9)</f>
        <v>4.9196</v>
      </c>
      <c r="P50" s="17">
        <f>CHOOSE(CONTROL!$C$42, 4.8357, 4.8357) * CHOOSE(CONTROL!$C$21, $C$9, 100%, $E$9)</f>
        <v>4.8357000000000001</v>
      </c>
      <c r="Q50" s="17">
        <f>CHOOSE(CONTROL!$C$42, 5.5143, 5.5143) * CHOOSE(CONTROL!$C$21, $C$9, 100%, $E$9)</f>
        <v>5.5143000000000004</v>
      </c>
      <c r="R50" s="17">
        <f>CHOOSE(CONTROL!$C$42, 6.1151, 6.1151) * CHOOSE(CONTROL!$C$21, $C$9, 100%, $E$9)</f>
        <v>6.1151</v>
      </c>
      <c r="S50" s="17">
        <f>CHOOSE(CONTROL!$C$42, 4.6767, 4.6767) * CHOOSE(CONTROL!$C$21, $C$9, 100%, $E$9)</f>
        <v>4.6767000000000003</v>
      </c>
      <c r="T50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0" s="56">
        <f>(1000*CHOOSE(CONTROL!$C$42, 695, 695)*CHOOSE(CONTROL!$C$42, 0.5599, 0.5599)*CHOOSE(CONTROL!$C$42, 29, 29))/1000000</f>
        <v>11.284784499999999</v>
      </c>
      <c r="V50" s="56">
        <f>(1000*CHOOSE(CONTROL!$C$42, 580, 580)*CHOOSE(CONTROL!$C$42, 0.275, 0.275)*CHOOSE(CONTROL!$C$42, 29, 29))/1000000</f>
        <v>4.6254999999999997</v>
      </c>
      <c r="W50" s="56">
        <f>(1000*CHOOSE(CONTROL!$C$42, 0.0916, 0.0916)*CHOOSE(CONTROL!$C$42, 200, 200)*CHOOSE(CONTROL!$C$42, 29, 29))/1000000</f>
        <v>0.53127999999999997</v>
      </c>
      <c r="X50" s="56">
        <f>(29*0.2374*100000/1000000)</f>
        <v>0.68845999999999996</v>
      </c>
      <c r="Y50" s="56"/>
      <c r="Z50" s="17"/>
      <c r="AA50" s="55"/>
      <c r="AB50" s="48">
        <f>(B50*122.58+C50*297.941+D50*89.177+E50*140.302+F50*40+G50*60+H50*0+I50*100+J50*300)/(122.58+297.941+89.177+140.302+0+40+60+100+300)</f>
        <v>4.8657639430434791</v>
      </c>
      <c r="AC50" s="45">
        <f>(M50*'RAP TEMPLATE-GAS AVAILABILITY'!O49+N50*'RAP TEMPLATE-GAS AVAILABILITY'!P49+O50*'RAP TEMPLATE-GAS AVAILABILITY'!Q49+P50*'RAP TEMPLATE-GAS AVAILABILITY'!R49)/('RAP TEMPLATE-GAS AVAILABILITY'!O49+'RAP TEMPLATE-GAS AVAILABILITY'!P49+'RAP TEMPLATE-GAS AVAILABILITY'!Q49+'RAP TEMPLATE-GAS AVAILABILITY'!R49)</f>
        <v>4.8614848920863318</v>
      </c>
    </row>
    <row r="51" spans="1:29" ht="15.75" x14ac:dyDescent="0.25">
      <c r="A51" s="16">
        <v>42430</v>
      </c>
      <c r="B51" s="17">
        <f>CHOOSE(CONTROL!$C$42, 4.7054, 4.7054) * CHOOSE(CONTROL!$C$21, $C$9, 100%, $E$9)</f>
        <v>4.7054</v>
      </c>
      <c r="C51" s="17">
        <f>CHOOSE(CONTROL!$C$42, 4.7105, 4.7105) * CHOOSE(CONTROL!$C$21, $C$9, 100%, $E$9)</f>
        <v>4.7104999999999997</v>
      </c>
      <c r="D51" s="17">
        <f>CHOOSE(CONTROL!$C$42, 4.8073, 4.8073) * CHOOSE(CONTROL!$C$21, $C$9, 100%, $E$9)</f>
        <v>4.8072999999999997</v>
      </c>
      <c r="E51" s="17">
        <f>CHOOSE(CONTROL!$C$42, 4.8411, 4.8411) * CHOOSE(CONTROL!$C$21, $C$9, 100%, $E$9)</f>
        <v>4.8411</v>
      </c>
      <c r="F51" s="17">
        <f>CHOOSE(CONTROL!$C$42, 4.719, 4.719)*CHOOSE(CONTROL!$C$21, $C$9, 100%, $E$9)</f>
        <v>4.7190000000000003</v>
      </c>
      <c r="G51" s="17">
        <f>CHOOSE(CONTROL!$C$42, 4.7353, 4.7353)*CHOOSE(CONTROL!$C$21, $C$9, 100%, $E$9)</f>
        <v>4.7352999999999996</v>
      </c>
      <c r="H51" s="17">
        <f>CHOOSE(CONTROL!$C$42, 4.8299, 4.8299) * CHOOSE(CONTROL!$C$21, $C$9, 100%, $E$9)</f>
        <v>4.8299000000000003</v>
      </c>
      <c r="I51" s="17">
        <f>CHOOSE(CONTROL!$C$42, 4.7449, 4.7449)* CHOOSE(CONTROL!$C$21, $C$9, 100%, $E$9)</f>
        <v>4.7449000000000003</v>
      </c>
      <c r="J51" s="17">
        <f>CHOOSE(CONTROL!$C$42, 4.7116, 4.7116)* CHOOSE(CONTROL!$C$21, $C$9, 100%, $E$9)</f>
        <v>4.7115999999999998</v>
      </c>
      <c r="K51" s="52"/>
      <c r="L51" s="17">
        <f>CHOOSE(CONTROL!$C$42, 5.4169, 5.4169) * CHOOSE(CONTROL!$C$21, $C$9, 100%, $E$9)</f>
        <v>5.4169</v>
      </c>
      <c r="M51" s="17">
        <f>CHOOSE(CONTROL!$C$42, 4.6762, 4.6762) * CHOOSE(CONTROL!$C$21, $C$9, 100%, $E$9)</f>
        <v>4.6761999999999997</v>
      </c>
      <c r="N51" s="17">
        <f>CHOOSE(CONTROL!$C$42, 4.6923, 4.6923) * CHOOSE(CONTROL!$C$21, $C$9, 100%, $E$9)</f>
        <v>4.6923000000000004</v>
      </c>
      <c r="O51" s="17">
        <f>CHOOSE(CONTROL!$C$42, 4.7935, 4.7935) * CHOOSE(CONTROL!$C$21, $C$9, 100%, $E$9)</f>
        <v>4.7934999999999999</v>
      </c>
      <c r="P51" s="17">
        <f>CHOOSE(CONTROL!$C$42, 4.7092, 4.7092) * CHOOSE(CONTROL!$C$21, $C$9, 100%, $E$9)</f>
        <v>4.7092000000000001</v>
      </c>
      <c r="Q51" s="17">
        <f>CHOOSE(CONTROL!$C$42, 5.3882, 5.3882) * CHOOSE(CONTROL!$C$21, $C$9, 100%, $E$9)</f>
        <v>5.3882000000000003</v>
      </c>
      <c r="R51" s="17">
        <f>CHOOSE(CONTROL!$C$42, 5.9887, 5.9887) * CHOOSE(CONTROL!$C$21, $C$9, 100%, $E$9)</f>
        <v>5.9886999999999997</v>
      </c>
      <c r="S51" s="17">
        <f>CHOOSE(CONTROL!$C$42, 4.5533, 4.5533) * CHOOSE(CONTROL!$C$21, $C$9, 100%, $E$9)</f>
        <v>4.5533000000000001</v>
      </c>
      <c r="T5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1" s="56">
        <f>(1000*CHOOSE(CONTROL!$C$42, 695, 695)*CHOOSE(CONTROL!$C$42, 0.5599, 0.5599)*CHOOSE(CONTROL!$C$42, 31, 31))/1000000</f>
        <v>12.063045499999998</v>
      </c>
      <c r="V51" s="56">
        <f>(1000*CHOOSE(CONTROL!$C$42, 580, 580)*CHOOSE(CONTROL!$C$42, 0.275, 0.275)*CHOOSE(CONTROL!$C$42, 31, 31))/1000000</f>
        <v>4.9444999999999997</v>
      </c>
      <c r="W51" s="56">
        <f>(1000*CHOOSE(CONTROL!$C$42, 0.0916, 0.0916)*CHOOSE(CONTROL!$C$42, 200, 200)*CHOOSE(CONTROL!$C$42, 31, 31))/1000000</f>
        <v>0.56791999999999998</v>
      </c>
      <c r="X51" s="56">
        <f>(31*0.2374*100000/1000000)</f>
        <v>0.73594000000000004</v>
      </c>
      <c r="Y51" s="56"/>
      <c r="Z51" s="17"/>
      <c r="AA51" s="55"/>
      <c r="AB51" s="48">
        <f>(B51*122.58+C51*297.941+D51*89.177+E51*140.302+F51*40+G51*60+H51*0+I51*100+J51*300)/(122.58+297.941+89.177+140.302+0+40+60+100+300)</f>
        <v>4.7382640146086965</v>
      </c>
      <c r="AC51" s="45">
        <f>(M51*'RAP TEMPLATE-GAS AVAILABILITY'!O50+N51*'RAP TEMPLATE-GAS AVAILABILITY'!P50+O51*'RAP TEMPLATE-GAS AVAILABILITY'!Q50+P51*'RAP TEMPLATE-GAS AVAILABILITY'!R50)/('RAP TEMPLATE-GAS AVAILABILITY'!O50+'RAP TEMPLATE-GAS AVAILABILITY'!P50+'RAP TEMPLATE-GAS AVAILABILITY'!Q50+'RAP TEMPLATE-GAS AVAILABILITY'!R50)</f>
        <v>4.7350395683453232</v>
      </c>
    </row>
    <row r="52" spans="1:29" ht="15.75" x14ac:dyDescent="0.25">
      <c r="A52" s="16">
        <v>42461</v>
      </c>
      <c r="B52" s="17">
        <f>CHOOSE(CONTROL!$C$42, 4.702, 4.702) * CHOOSE(CONTROL!$C$21, $C$9, 100%, $E$9)</f>
        <v>4.702</v>
      </c>
      <c r="C52" s="17">
        <f>CHOOSE(CONTROL!$C$42, 4.7065, 4.7065) * CHOOSE(CONTROL!$C$21, $C$9, 100%, $E$9)</f>
        <v>4.7065000000000001</v>
      </c>
      <c r="D52" s="17">
        <f>CHOOSE(CONTROL!$C$42, 4.954, 4.954) * CHOOSE(CONTROL!$C$21, $C$9, 100%, $E$9)</f>
        <v>4.9539999999999997</v>
      </c>
      <c r="E52" s="17">
        <f>CHOOSE(CONTROL!$C$42, 4.9858, 4.9858) * CHOOSE(CONTROL!$C$21, $C$9, 100%, $E$9)</f>
        <v>4.9858000000000002</v>
      </c>
      <c r="F52" s="17">
        <f>CHOOSE(CONTROL!$C$42, 4.7136, 4.7136)*CHOOSE(CONTROL!$C$21, $C$9, 100%, $E$9)</f>
        <v>4.7135999999999996</v>
      </c>
      <c r="G52" s="17">
        <f>CHOOSE(CONTROL!$C$42, 4.7295, 4.7295)*CHOOSE(CONTROL!$C$21, $C$9, 100%, $E$9)</f>
        <v>4.7294999999999998</v>
      </c>
      <c r="H52" s="17">
        <f>CHOOSE(CONTROL!$C$42, 4.9753, 4.9753) * CHOOSE(CONTROL!$C$21, $C$9, 100%, $E$9)</f>
        <v>4.9752999999999998</v>
      </c>
      <c r="I52" s="17">
        <f>CHOOSE(CONTROL!$C$42, 4.7392, 4.7392)* CHOOSE(CONTROL!$C$21, $C$9, 100%, $E$9)</f>
        <v>4.7392000000000003</v>
      </c>
      <c r="J52" s="17">
        <f>CHOOSE(CONTROL!$C$42, 4.7062, 4.7062)* CHOOSE(CONTROL!$C$21, $C$9, 100%, $E$9)</f>
        <v>4.7061999999999999</v>
      </c>
      <c r="K52" s="52"/>
      <c r="L52" s="17">
        <f>CHOOSE(CONTROL!$C$42, 5.5623, 5.5623) * CHOOSE(CONTROL!$C$21, $C$9, 100%, $E$9)</f>
        <v>5.5622999999999996</v>
      </c>
      <c r="M52" s="17">
        <f>CHOOSE(CONTROL!$C$42, 4.6709, 4.6709) * CHOOSE(CONTROL!$C$21, $C$9, 100%, $E$9)</f>
        <v>4.6708999999999996</v>
      </c>
      <c r="N52" s="17">
        <f>CHOOSE(CONTROL!$C$42, 4.6867, 4.6867) * CHOOSE(CONTROL!$C$21, $C$9, 100%, $E$9)</f>
        <v>4.6867000000000001</v>
      </c>
      <c r="O52" s="17">
        <f>CHOOSE(CONTROL!$C$42, 4.9375, 4.9375) * CHOOSE(CONTROL!$C$21, $C$9, 100%, $E$9)</f>
        <v>4.9375</v>
      </c>
      <c r="P52" s="17">
        <f>CHOOSE(CONTROL!$C$42, 4.7035, 4.7035) * CHOOSE(CONTROL!$C$21, $C$9, 100%, $E$9)</f>
        <v>4.7035</v>
      </c>
      <c r="Q52" s="17">
        <f>CHOOSE(CONTROL!$C$42, 5.5322, 5.5322) * CHOOSE(CONTROL!$C$21, $C$9, 100%, $E$9)</f>
        <v>5.5321999999999996</v>
      </c>
      <c r="R52" s="17">
        <f>CHOOSE(CONTROL!$C$42, 6.1331, 6.1331) * CHOOSE(CONTROL!$C$21, $C$9, 100%, $E$9)</f>
        <v>6.1330999999999998</v>
      </c>
      <c r="S52" s="17">
        <f>CHOOSE(CONTROL!$C$42, 4.5492, 4.5492) * CHOOSE(CONTROL!$C$21, $C$9, 100%, $E$9)</f>
        <v>4.5491999999999999</v>
      </c>
      <c r="T5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2" s="56">
        <f>(1000*CHOOSE(CONTROL!$C$42, 695, 695)*CHOOSE(CONTROL!$C$42, 0.5599, 0.5599)*CHOOSE(CONTROL!$C$42, 30, 30))/1000000</f>
        <v>11.673914999999997</v>
      </c>
      <c r="V52" s="56">
        <f>(1000*CHOOSE(CONTROL!$C$42, 580, 580)*CHOOSE(CONTROL!$C$42, 0.275, 0.275)*CHOOSE(CONTROL!$C$42, 30, 30))/1000000</f>
        <v>4.7850000000000001</v>
      </c>
      <c r="W52" s="56">
        <f>(1000*CHOOSE(CONTROL!$C$42, 0.0916, 0.0916)*CHOOSE(CONTROL!$C$42, 200, 200)*CHOOSE(CONTROL!$C$42, 30, 30))/1000000</f>
        <v>0.54959999999999998</v>
      </c>
      <c r="X52" s="56">
        <f>(30*0.1790888*145000/1000000)+(30*0.2374*100000/1000000)</f>
        <v>1.4912362799999999</v>
      </c>
      <c r="Y52" s="56"/>
      <c r="Z52" s="17"/>
      <c r="AA52" s="55"/>
      <c r="AB52" s="48">
        <f>(B52*141.293+C52*267.993+D52*115.016+E52*189.698+F52*40+G52*85+H52*0+I52*100+J52*300)/(141.293+267.993+115.016+189.698+0+40+85+100+300)</f>
        <v>4.7760982993543175</v>
      </c>
      <c r="AC52" s="45">
        <f>(M52*'RAP TEMPLATE-GAS AVAILABILITY'!O51+N52*'RAP TEMPLATE-GAS AVAILABILITY'!P51+O52*'RAP TEMPLATE-GAS AVAILABILITY'!Q51+P52*'RAP TEMPLATE-GAS AVAILABILITY'!R51)/('RAP TEMPLATE-GAS AVAILABILITY'!O51+'RAP TEMPLATE-GAS AVAILABILITY'!P51+'RAP TEMPLATE-GAS AVAILABILITY'!Q51+'RAP TEMPLATE-GAS AVAILABILITY'!R51)</f>
        <v>4.7540294964028771</v>
      </c>
    </row>
    <row r="53" spans="1:29" ht="15.75" x14ac:dyDescent="0.25">
      <c r="A53" s="16">
        <v>42491</v>
      </c>
      <c r="B53" s="17">
        <f>CHOOSE(CONTROL!$C$42, 4.7545, 4.7545) * CHOOSE(CONTROL!$C$21, $C$9, 100%, $E$9)</f>
        <v>4.7545000000000002</v>
      </c>
      <c r="C53" s="17">
        <f>CHOOSE(CONTROL!$C$42, 4.7625, 4.7625) * CHOOSE(CONTROL!$C$21, $C$9, 100%, $E$9)</f>
        <v>4.7625000000000002</v>
      </c>
      <c r="D53" s="17">
        <f>CHOOSE(CONTROL!$C$42, 5.0069, 5.0069) * CHOOSE(CONTROL!$C$21, $C$9, 100%, $E$9)</f>
        <v>5.0068999999999999</v>
      </c>
      <c r="E53" s="17">
        <f>CHOOSE(CONTROL!$C$42, 5.0381, 5.0381) * CHOOSE(CONTROL!$C$21, $C$9, 100%, $E$9)</f>
        <v>5.0381</v>
      </c>
      <c r="F53" s="17">
        <f>CHOOSE(CONTROL!$C$42, 4.765, 4.765)*CHOOSE(CONTROL!$C$21, $C$9, 100%, $E$9)</f>
        <v>4.7649999999999997</v>
      </c>
      <c r="G53" s="17">
        <f>CHOOSE(CONTROL!$C$42, 4.7812, 4.7812)*CHOOSE(CONTROL!$C$21, $C$9, 100%, $E$9)</f>
        <v>4.7812000000000001</v>
      </c>
      <c r="H53" s="17">
        <f>CHOOSE(CONTROL!$C$42, 5.0264, 5.0264) * CHOOSE(CONTROL!$C$21, $C$9, 100%, $E$9)</f>
        <v>5.0263999999999998</v>
      </c>
      <c r="I53" s="17">
        <f>CHOOSE(CONTROL!$C$42, 4.7905, 4.7905)* CHOOSE(CONTROL!$C$21, $C$9, 100%, $E$9)</f>
        <v>4.7904999999999998</v>
      </c>
      <c r="J53" s="17">
        <f>CHOOSE(CONTROL!$C$42, 4.7576, 4.7576)* CHOOSE(CONTROL!$C$21, $C$9, 100%, $E$9)</f>
        <v>4.7576000000000001</v>
      </c>
      <c r="K53" s="52"/>
      <c r="L53" s="17">
        <f>CHOOSE(CONTROL!$C$42, 5.6134, 5.6134) * CHOOSE(CONTROL!$C$21, $C$9, 100%, $E$9)</f>
        <v>5.6134000000000004</v>
      </c>
      <c r="M53" s="17">
        <f>CHOOSE(CONTROL!$C$42, 4.7218, 4.7218) * CHOOSE(CONTROL!$C$21, $C$9, 100%, $E$9)</f>
        <v>4.7218</v>
      </c>
      <c r="N53" s="17">
        <f>CHOOSE(CONTROL!$C$42, 4.7379, 4.7379) * CHOOSE(CONTROL!$C$21, $C$9, 100%, $E$9)</f>
        <v>4.7378999999999998</v>
      </c>
      <c r="O53" s="17">
        <f>CHOOSE(CONTROL!$C$42, 4.9882, 4.9882) * CHOOSE(CONTROL!$C$21, $C$9, 100%, $E$9)</f>
        <v>4.9882</v>
      </c>
      <c r="P53" s="17">
        <f>CHOOSE(CONTROL!$C$42, 4.7543, 4.7543) * CHOOSE(CONTROL!$C$21, $C$9, 100%, $E$9)</f>
        <v>4.7542999999999997</v>
      </c>
      <c r="Q53" s="17">
        <f>CHOOSE(CONTROL!$C$42, 5.5829, 5.5829) * CHOOSE(CONTROL!$C$21, $C$9, 100%, $E$9)</f>
        <v>5.5829000000000004</v>
      </c>
      <c r="R53" s="17">
        <f>CHOOSE(CONTROL!$C$42, 6.1839, 6.1839) * CHOOSE(CONTROL!$C$21, $C$9, 100%, $E$9)</f>
        <v>6.1839000000000004</v>
      </c>
      <c r="S53" s="17">
        <f>CHOOSE(CONTROL!$C$42, 4.5988, 4.5988) * CHOOSE(CONTROL!$C$21, $C$9, 100%, $E$9)</f>
        <v>4.5987999999999998</v>
      </c>
      <c r="T5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3" s="56">
        <f>(1000*CHOOSE(CONTROL!$C$42, 695, 695)*CHOOSE(CONTROL!$C$42, 0.5599, 0.5599)*CHOOSE(CONTROL!$C$42, 31, 31))/1000000</f>
        <v>12.063045499999998</v>
      </c>
      <c r="V53" s="56">
        <f>(1000*CHOOSE(CONTROL!$C$42, 580, 580)*CHOOSE(CONTROL!$C$42, 0.275, 0.275)*CHOOSE(CONTROL!$C$42, 31, 31))/1000000</f>
        <v>4.9444999999999997</v>
      </c>
      <c r="W53" s="56">
        <f>(1000*CHOOSE(CONTROL!$C$42, 0.0916, 0.0916)*CHOOSE(CONTROL!$C$42, 121.5, 121.5)*CHOOSE(CONTROL!$C$42, 31, 31))/1000000</f>
        <v>0.34501139999999997</v>
      </c>
      <c r="X53" s="56">
        <f>(31*0.1790888*145000/1000000)+(31*0.2374*100000/1000000)</f>
        <v>1.5409441560000001</v>
      </c>
      <c r="Y53" s="56"/>
      <c r="Z53" s="17"/>
      <c r="AA53" s="55"/>
      <c r="AB53" s="48">
        <f>(B53*194.205+C53*267.466+D53*133.845+E53*153.484+F53*40+G53*85+H53*0+I53*100+J53*300)/(194.205+267.466+133.845+153.484+0+40+85+100+300)</f>
        <v>4.8225296455259032</v>
      </c>
      <c r="AC53" s="45">
        <f>(M53*'RAP TEMPLATE-GAS AVAILABILITY'!O52+N53*'RAP TEMPLATE-GAS AVAILABILITY'!P52+O53*'RAP TEMPLATE-GAS AVAILABILITY'!Q52+P53*'RAP TEMPLATE-GAS AVAILABILITY'!R52)/('RAP TEMPLATE-GAS AVAILABILITY'!O52+'RAP TEMPLATE-GAS AVAILABILITY'!P52+'RAP TEMPLATE-GAS AVAILABILITY'!Q52+'RAP TEMPLATE-GAS AVAILABILITY'!R52)</f>
        <v>4.8049280575539566</v>
      </c>
    </row>
    <row r="54" spans="1:29" ht="15.75" x14ac:dyDescent="0.25">
      <c r="A54" s="16">
        <v>42522</v>
      </c>
      <c r="B54" s="17">
        <f>CHOOSE(CONTROL!$C$42, 4.899, 4.899) * CHOOSE(CONTROL!$C$21, $C$9, 100%, $E$9)</f>
        <v>4.899</v>
      </c>
      <c r="C54" s="17">
        <f>CHOOSE(CONTROL!$C$42, 4.907, 4.907) * CHOOSE(CONTROL!$C$21, $C$9, 100%, $E$9)</f>
        <v>4.907</v>
      </c>
      <c r="D54" s="17">
        <f>CHOOSE(CONTROL!$C$42, 5.1515, 5.1515) * CHOOSE(CONTROL!$C$21, $C$9, 100%, $E$9)</f>
        <v>5.1515000000000004</v>
      </c>
      <c r="E54" s="17">
        <f>CHOOSE(CONTROL!$C$42, 5.1826, 5.1826) * CHOOSE(CONTROL!$C$21, $C$9, 100%, $E$9)</f>
        <v>5.1825999999999999</v>
      </c>
      <c r="F54" s="17">
        <f>CHOOSE(CONTROL!$C$42, 4.9099, 4.9099)*CHOOSE(CONTROL!$C$21, $C$9, 100%, $E$9)</f>
        <v>4.9099000000000004</v>
      </c>
      <c r="G54" s="17">
        <f>CHOOSE(CONTROL!$C$42, 4.9262, 4.9262)*CHOOSE(CONTROL!$C$21, $C$9, 100%, $E$9)</f>
        <v>4.9261999999999997</v>
      </c>
      <c r="H54" s="17">
        <f>CHOOSE(CONTROL!$C$42, 5.171, 5.171) * CHOOSE(CONTROL!$C$21, $C$9, 100%, $E$9)</f>
        <v>5.1710000000000003</v>
      </c>
      <c r="I54" s="17">
        <f>CHOOSE(CONTROL!$C$42, 4.9355, 4.9355)* CHOOSE(CONTROL!$C$21, $C$9, 100%, $E$9)</f>
        <v>4.9355000000000002</v>
      </c>
      <c r="J54" s="17">
        <f>CHOOSE(CONTROL!$C$42, 4.9025, 4.9025)* CHOOSE(CONTROL!$C$21, $C$9, 100%, $E$9)</f>
        <v>4.9024999999999999</v>
      </c>
      <c r="K54" s="52"/>
      <c r="L54" s="17">
        <f>CHOOSE(CONTROL!$C$42, 5.758, 5.758) * CHOOSE(CONTROL!$C$21, $C$9, 100%, $E$9)</f>
        <v>5.758</v>
      </c>
      <c r="M54" s="17">
        <f>CHOOSE(CONTROL!$C$42, 4.8654, 4.8654) * CHOOSE(CONTROL!$C$21, $C$9, 100%, $E$9)</f>
        <v>4.8654000000000002</v>
      </c>
      <c r="N54" s="17">
        <f>CHOOSE(CONTROL!$C$42, 4.8816, 4.8816) * CHOOSE(CONTROL!$C$21, $C$9, 100%, $E$9)</f>
        <v>4.8815999999999997</v>
      </c>
      <c r="O54" s="17">
        <f>CHOOSE(CONTROL!$C$42, 5.1315, 5.1315) * CHOOSE(CONTROL!$C$21, $C$9, 100%, $E$9)</f>
        <v>5.1315</v>
      </c>
      <c r="P54" s="17">
        <f>CHOOSE(CONTROL!$C$42, 4.898, 4.898) * CHOOSE(CONTROL!$C$21, $C$9, 100%, $E$9)</f>
        <v>4.8979999999999997</v>
      </c>
      <c r="Q54" s="17">
        <f>CHOOSE(CONTROL!$C$42, 5.7262, 5.7262) * CHOOSE(CONTROL!$C$21, $C$9, 100%, $E$9)</f>
        <v>5.7262000000000004</v>
      </c>
      <c r="R54" s="17">
        <f>CHOOSE(CONTROL!$C$42, 6.3275, 6.3275) * CHOOSE(CONTROL!$C$21, $C$9, 100%, $E$9)</f>
        <v>6.3274999999999997</v>
      </c>
      <c r="S54" s="17">
        <f>CHOOSE(CONTROL!$C$42, 4.739, 4.739) * CHOOSE(CONTROL!$C$21, $C$9, 100%, $E$9)</f>
        <v>4.7389999999999999</v>
      </c>
      <c r="T5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4" s="56">
        <f>(1000*CHOOSE(CONTROL!$C$42, 695, 695)*CHOOSE(CONTROL!$C$42, 0.5599, 0.5599)*CHOOSE(CONTROL!$C$42, 30, 30))/1000000</f>
        <v>11.673914999999997</v>
      </c>
      <c r="V54" s="56">
        <f>(1000*CHOOSE(CONTROL!$C$42, 580, 580)*CHOOSE(CONTROL!$C$42, 0.275, 0.275)*CHOOSE(CONTROL!$C$42, 30, 30))/1000000</f>
        <v>4.7850000000000001</v>
      </c>
      <c r="W54" s="56">
        <f>(1000*CHOOSE(CONTROL!$C$42, 0.0916, 0.0916)*CHOOSE(CONTROL!$C$42, 121.5, 121.5)*CHOOSE(CONTROL!$C$42, 30, 30))/1000000</f>
        <v>0.33388200000000001</v>
      </c>
      <c r="X54" s="56">
        <f>(30*0.1790888*145000/1000000)+(30*0.2374*100000/1000000)</f>
        <v>1.4912362799999999</v>
      </c>
      <c r="Y54" s="56"/>
      <c r="Z54" s="17"/>
      <c r="AA54" s="55"/>
      <c r="AB54" s="48">
        <f>(B54*194.205+C54*267.466+D54*133.845+E54*153.484+F54*40+G54*85+H54*0+I54*100+J54*300)/(194.205+267.466+133.845+153.484+0+40+85+100+300)</f>
        <v>4.9672195077708006</v>
      </c>
      <c r="AC54" s="45">
        <f>(M54*'RAP TEMPLATE-GAS AVAILABILITY'!O53+N54*'RAP TEMPLATE-GAS AVAILABILITY'!P53+O54*'RAP TEMPLATE-GAS AVAILABILITY'!Q53+P54*'RAP TEMPLATE-GAS AVAILABILITY'!R53)/('RAP TEMPLATE-GAS AVAILABILITY'!O53+'RAP TEMPLATE-GAS AVAILABILITY'!P53+'RAP TEMPLATE-GAS AVAILABILITY'!Q53+'RAP TEMPLATE-GAS AVAILABILITY'!R53)</f>
        <v>4.9484812949640284</v>
      </c>
    </row>
    <row r="55" spans="1:29" ht="15.75" x14ac:dyDescent="0.25">
      <c r="A55" s="16">
        <v>42552</v>
      </c>
      <c r="B55" s="17">
        <f>CHOOSE(CONTROL!$C$42, 4.8152, 4.8152) * CHOOSE(CONTROL!$C$21, $C$9, 100%, $E$9)</f>
        <v>4.8151999999999999</v>
      </c>
      <c r="C55" s="17">
        <f>CHOOSE(CONTROL!$C$42, 4.8231, 4.8231) * CHOOSE(CONTROL!$C$21, $C$9, 100%, $E$9)</f>
        <v>4.8231000000000002</v>
      </c>
      <c r="D55" s="17">
        <f>CHOOSE(CONTROL!$C$42, 5.0676, 5.0676) * CHOOSE(CONTROL!$C$21, $C$9, 100%, $E$9)</f>
        <v>5.0675999999999997</v>
      </c>
      <c r="E55" s="17">
        <f>CHOOSE(CONTROL!$C$42, 5.0988, 5.0988) * CHOOSE(CONTROL!$C$21, $C$9, 100%, $E$9)</f>
        <v>5.0987999999999998</v>
      </c>
      <c r="F55" s="17">
        <f>CHOOSE(CONTROL!$C$42, 4.8265, 4.8265)*CHOOSE(CONTROL!$C$21, $C$9, 100%, $E$9)</f>
        <v>4.8265000000000002</v>
      </c>
      <c r="G55" s="17">
        <f>CHOOSE(CONTROL!$C$42, 4.8429, 4.8429)*CHOOSE(CONTROL!$C$21, $C$9, 100%, $E$9)</f>
        <v>4.8429000000000002</v>
      </c>
      <c r="H55" s="17">
        <f>CHOOSE(CONTROL!$C$42, 5.0871, 5.0871) * CHOOSE(CONTROL!$C$21, $C$9, 100%, $E$9)</f>
        <v>5.0871000000000004</v>
      </c>
      <c r="I55" s="17">
        <f>CHOOSE(CONTROL!$C$42, 4.8514, 4.8514)* CHOOSE(CONTROL!$C$21, $C$9, 100%, $E$9)</f>
        <v>4.8513999999999999</v>
      </c>
      <c r="J55" s="17">
        <f>CHOOSE(CONTROL!$C$42, 4.8191, 4.8191)* CHOOSE(CONTROL!$C$21, $C$9, 100%, $E$9)</f>
        <v>4.8190999999999997</v>
      </c>
      <c r="K55" s="52"/>
      <c r="L55" s="17">
        <f>CHOOSE(CONTROL!$C$42, 5.6741, 5.6741) * CHOOSE(CONTROL!$C$21, $C$9, 100%, $E$9)</f>
        <v>5.6741000000000001</v>
      </c>
      <c r="M55" s="17">
        <f>CHOOSE(CONTROL!$C$42, 4.7827, 4.7827) * CHOOSE(CONTROL!$C$21, $C$9, 100%, $E$9)</f>
        <v>4.7827000000000002</v>
      </c>
      <c r="N55" s="17">
        <f>CHOOSE(CONTROL!$C$42, 4.799, 4.799) * CHOOSE(CONTROL!$C$21, $C$9, 100%, $E$9)</f>
        <v>4.7990000000000004</v>
      </c>
      <c r="O55" s="17">
        <f>CHOOSE(CONTROL!$C$42, 5.0484, 5.0484) * CHOOSE(CONTROL!$C$21, $C$9, 100%, $E$9)</f>
        <v>5.0484</v>
      </c>
      <c r="P55" s="17">
        <f>CHOOSE(CONTROL!$C$42, 4.8146, 4.8146) * CHOOSE(CONTROL!$C$21, $C$9, 100%, $E$9)</f>
        <v>4.8146000000000004</v>
      </c>
      <c r="Q55" s="17">
        <f>CHOOSE(CONTROL!$C$42, 5.6431, 5.6431) * CHOOSE(CONTROL!$C$21, $C$9, 100%, $E$9)</f>
        <v>5.6430999999999996</v>
      </c>
      <c r="R55" s="17">
        <f>CHOOSE(CONTROL!$C$42, 6.2442, 6.2442) * CHOOSE(CONTROL!$C$21, $C$9, 100%, $E$9)</f>
        <v>6.2442000000000002</v>
      </c>
      <c r="S55" s="17">
        <f>CHOOSE(CONTROL!$C$42, 4.6577, 4.6577) * CHOOSE(CONTROL!$C$21, $C$9, 100%, $E$9)</f>
        <v>4.6577000000000002</v>
      </c>
      <c r="T5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5" s="56">
        <f>(1000*CHOOSE(CONTROL!$C$42, 695, 695)*CHOOSE(CONTROL!$C$42, 0.5599, 0.5599)*CHOOSE(CONTROL!$C$42, 31, 31))/1000000</f>
        <v>12.063045499999998</v>
      </c>
      <c r="V55" s="56">
        <f>(1000*CHOOSE(CONTROL!$C$42, 580, 580)*CHOOSE(CONTROL!$C$42, 0.275, 0.275)*CHOOSE(CONTROL!$C$42, 31, 31))/1000000</f>
        <v>4.9444999999999997</v>
      </c>
      <c r="W55" s="56">
        <f>(1000*CHOOSE(CONTROL!$C$42, 0.0916, 0.0916)*CHOOSE(CONTROL!$C$42, 121.5, 121.5)*CHOOSE(CONTROL!$C$42, 31, 31))/1000000</f>
        <v>0.34501139999999997</v>
      </c>
      <c r="X55" s="56">
        <f>(31*0.1790888*145000/1000000)+(31*0.2374*100000/1000000)</f>
        <v>1.5409441560000001</v>
      </c>
      <c r="Y55" s="56"/>
      <c r="Z55" s="17"/>
      <c r="AA55" s="55"/>
      <c r="AB55" s="48">
        <f>(B55*194.205+C55*267.466+D55*133.845+E55*153.484+F55*40+G55*85+H55*0+I55*100+J55*300)/(194.205+267.466+133.845+153.484+0+40+85+100+300)</f>
        <v>4.8835045697017279</v>
      </c>
      <c r="AC55" s="45">
        <f>(M55*'RAP TEMPLATE-GAS AVAILABILITY'!O54+N55*'RAP TEMPLATE-GAS AVAILABILITY'!P54+O55*'RAP TEMPLATE-GAS AVAILABILITY'!Q54+P55*'RAP TEMPLATE-GAS AVAILABILITY'!R54)/('RAP TEMPLATE-GAS AVAILABILITY'!O54+'RAP TEMPLATE-GAS AVAILABILITY'!P54+'RAP TEMPLATE-GAS AVAILABILITY'!Q54+'RAP TEMPLATE-GAS AVAILABILITY'!R54)</f>
        <v>4.8655913669064752</v>
      </c>
    </row>
    <row r="56" spans="1:29" ht="15.75" x14ac:dyDescent="0.25">
      <c r="A56" s="16">
        <v>42583</v>
      </c>
      <c r="B56" s="17">
        <f>CHOOSE(CONTROL!$C$42, 4.5873, 4.5873) * CHOOSE(CONTROL!$C$21, $C$9, 100%, $E$9)</f>
        <v>4.5872999999999999</v>
      </c>
      <c r="C56" s="17">
        <f>CHOOSE(CONTROL!$C$42, 4.5953, 4.5953) * CHOOSE(CONTROL!$C$21, $C$9, 100%, $E$9)</f>
        <v>4.5952999999999999</v>
      </c>
      <c r="D56" s="17">
        <f>CHOOSE(CONTROL!$C$42, 4.8398, 4.8398) * CHOOSE(CONTROL!$C$21, $C$9, 100%, $E$9)</f>
        <v>4.8398000000000003</v>
      </c>
      <c r="E56" s="17">
        <f>CHOOSE(CONTROL!$C$42, 4.871, 4.871) * CHOOSE(CONTROL!$C$21, $C$9, 100%, $E$9)</f>
        <v>4.8710000000000004</v>
      </c>
      <c r="F56" s="17">
        <f>CHOOSE(CONTROL!$C$42, 4.5989, 4.5989)*CHOOSE(CONTROL!$C$21, $C$9, 100%, $E$9)</f>
        <v>4.5989000000000004</v>
      </c>
      <c r="G56" s="17">
        <f>CHOOSE(CONTROL!$C$42, 4.6154, 4.6154)*CHOOSE(CONTROL!$C$21, $C$9, 100%, $E$9)</f>
        <v>4.6154000000000002</v>
      </c>
      <c r="H56" s="17">
        <f>CHOOSE(CONTROL!$C$42, 4.8593, 4.8593) * CHOOSE(CONTROL!$C$21, $C$9, 100%, $E$9)</f>
        <v>4.8593000000000002</v>
      </c>
      <c r="I56" s="17">
        <f>CHOOSE(CONTROL!$C$42, 4.6228, 4.6228)* CHOOSE(CONTROL!$C$21, $C$9, 100%, $E$9)</f>
        <v>4.6227999999999998</v>
      </c>
      <c r="J56" s="17">
        <f>CHOOSE(CONTROL!$C$42, 4.5915, 4.5915)* CHOOSE(CONTROL!$C$21, $C$9, 100%, $E$9)</f>
        <v>4.5914999999999999</v>
      </c>
      <c r="K56" s="52"/>
      <c r="L56" s="17">
        <f>CHOOSE(CONTROL!$C$42, 5.4463, 5.4463) * CHOOSE(CONTROL!$C$21, $C$9, 100%, $E$9)</f>
        <v>5.4462999999999999</v>
      </c>
      <c r="M56" s="17">
        <f>CHOOSE(CONTROL!$C$42, 4.5572, 4.5572) * CHOOSE(CONTROL!$C$21, $C$9, 100%, $E$9)</f>
        <v>4.5571999999999999</v>
      </c>
      <c r="N56" s="17">
        <f>CHOOSE(CONTROL!$C$42, 4.5736, 4.5736) * CHOOSE(CONTROL!$C$21, $C$9, 100%, $E$9)</f>
        <v>4.5735999999999999</v>
      </c>
      <c r="O56" s="17">
        <f>CHOOSE(CONTROL!$C$42, 4.8226, 4.8226) * CHOOSE(CONTROL!$C$21, $C$9, 100%, $E$9)</f>
        <v>4.8226000000000004</v>
      </c>
      <c r="P56" s="17">
        <f>CHOOSE(CONTROL!$C$42, 4.5882, 4.5882) * CHOOSE(CONTROL!$C$21, $C$9, 100%, $E$9)</f>
        <v>4.5881999999999996</v>
      </c>
      <c r="Q56" s="17">
        <f>CHOOSE(CONTROL!$C$42, 5.4173, 5.4173) * CHOOSE(CONTROL!$C$21, $C$9, 100%, $E$9)</f>
        <v>5.4173</v>
      </c>
      <c r="R56" s="17">
        <f>CHOOSE(CONTROL!$C$42, 6.0178, 6.0178) * CHOOSE(CONTROL!$C$21, $C$9, 100%, $E$9)</f>
        <v>6.0178000000000003</v>
      </c>
      <c r="S56" s="17">
        <f>CHOOSE(CONTROL!$C$42, 4.4368, 4.4368) * CHOOSE(CONTROL!$C$21, $C$9, 100%, $E$9)</f>
        <v>4.4367999999999999</v>
      </c>
      <c r="T5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6" s="56">
        <f>(1000*CHOOSE(CONTROL!$C$42, 695, 695)*CHOOSE(CONTROL!$C$42, 0.5599, 0.5599)*CHOOSE(CONTROL!$C$42, 31, 31))/1000000</f>
        <v>12.063045499999998</v>
      </c>
      <c r="V56" s="56">
        <f>(1000*CHOOSE(CONTROL!$C$42, 580, 580)*CHOOSE(CONTROL!$C$42, 0.275, 0.275)*CHOOSE(CONTROL!$C$42, 31, 31))/1000000</f>
        <v>4.9444999999999997</v>
      </c>
      <c r="W56" s="56">
        <f>(1000*CHOOSE(CONTROL!$C$42, 0.0916, 0.0916)*CHOOSE(CONTROL!$C$42, 121.5, 121.5)*CHOOSE(CONTROL!$C$42, 31, 31))/1000000</f>
        <v>0.34501139999999997</v>
      </c>
      <c r="X56" s="56">
        <f>(31*0.1790888*145000/1000000)+(31*0.2374*100000/1000000)</f>
        <v>1.5409441560000001</v>
      </c>
      <c r="Y56" s="56"/>
      <c r="Z56" s="17"/>
      <c r="AA56" s="55"/>
      <c r="AB56" s="48">
        <f>(B56*194.205+C56*267.466+D56*133.845+E56*153.484+F56*40+G56*85+H56*0+I56*100+J56*300)/(194.205+267.466+133.845+153.484+0+40+85+100+300)</f>
        <v>4.6556999225274724</v>
      </c>
      <c r="AC56" s="45">
        <f>(M56*'RAP TEMPLATE-GAS AVAILABILITY'!O55+N56*'RAP TEMPLATE-GAS AVAILABILITY'!P55+O56*'RAP TEMPLATE-GAS AVAILABILITY'!Q55+P56*'RAP TEMPLATE-GAS AVAILABILITY'!R55)/('RAP TEMPLATE-GAS AVAILABILITY'!O55+'RAP TEMPLATE-GAS AVAILABILITY'!P55+'RAP TEMPLATE-GAS AVAILABILITY'!Q55+'RAP TEMPLATE-GAS AVAILABILITY'!R55)</f>
        <v>4.6399007194244604</v>
      </c>
    </row>
    <row r="57" spans="1:29" ht="15.75" x14ac:dyDescent="0.25">
      <c r="A57" s="16">
        <v>42614</v>
      </c>
      <c r="B57" s="17">
        <f>CHOOSE(CONTROL!$C$42, 4.3055, 4.3055) * CHOOSE(CONTROL!$C$21, $C$9, 100%, $E$9)</f>
        <v>4.3055000000000003</v>
      </c>
      <c r="C57" s="17">
        <f>CHOOSE(CONTROL!$C$42, 4.3135, 4.3135) * CHOOSE(CONTROL!$C$21, $C$9, 100%, $E$9)</f>
        <v>4.3135000000000003</v>
      </c>
      <c r="D57" s="17">
        <f>CHOOSE(CONTROL!$C$42, 4.558, 4.558) * CHOOSE(CONTROL!$C$21, $C$9, 100%, $E$9)</f>
        <v>4.5579999999999998</v>
      </c>
      <c r="E57" s="17">
        <f>CHOOSE(CONTROL!$C$42, 4.5891, 4.5891) * CHOOSE(CONTROL!$C$21, $C$9, 100%, $E$9)</f>
        <v>4.5891000000000002</v>
      </c>
      <c r="F57" s="17">
        <f>CHOOSE(CONTROL!$C$42, 4.3171, 4.3171)*CHOOSE(CONTROL!$C$21, $C$9, 100%, $E$9)</f>
        <v>4.3170999999999999</v>
      </c>
      <c r="G57" s="17">
        <f>CHOOSE(CONTROL!$C$42, 4.3336, 4.3336)*CHOOSE(CONTROL!$C$21, $C$9, 100%, $E$9)</f>
        <v>4.3335999999999997</v>
      </c>
      <c r="H57" s="17">
        <f>CHOOSE(CONTROL!$C$42, 4.5775, 4.5775) * CHOOSE(CONTROL!$C$21, $C$9, 100%, $E$9)</f>
        <v>4.5774999999999997</v>
      </c>
      <c r="I57" s="17">
        <f>CHOOSE(CONTROL!$C$42, 4.3401, 4.3401)* CHOOSE(CONTROL!$C$21, $C$9, 100%, $E$9)</f>
        <v>4.3400999999999996</v>
      </c>
      <c r="J57" s="17">
        <f>CHOOSE(CONTROL!$C$42, 4.3097, 4.3097)* CHOOSE(CONTROL!$C$21, $C$9, 100%, $E$9)</f>
        <v>4.3097000000000003</v>
      </c>
      <c r="K57" s="52"/>
      <c r="L57" s="17">
        <f>CHOOSE(CONTROL!$C$42, 5.1645, 5.1645) * CHOOSE(CONTROL!$C$21, $C$9, 100%, $E$9)</f>
        <v>5.1645000000000003</v>
      </c>
      <c r="M57" s="17">
        <f>CHOOSE(CONTROL!$C$42, 4.278, 4.278) * CHOOSE(CONTROL!$C$21, $C$9, 100%, $E$9)</f>
        <v>4.2779999999999996</v>
      </c>
      <c r="N57" s="17">
        <f>CHOOSE(CONTROL!$C$42, 4.2943, 4.2943) * CHOOSE(CONTROL!$C$21, $C$9, 100%, $E$9)</f>
        <v>4.2942999999999998</v>
      </c>
      <c r="O57" s="17">
        <f>CHOOSE(CONTROL!$C$42, 4.5433, 4.5433) * CHOOSE(CONTROL!$C$21, $C$9, 100%, $E$9)</f>
        <v>4.5433000000000003</v>
      </c>
      <c r="P57" s="17">
        <f>CHOOSE(CONTROL!$C$42, 4.308, 4.308) * CHOOSE(CONTROL!$C$21, $C$9, 100%, $E$9)</f>
        <v>4.3079999999999998</v>
      </c>
      <c r="Q57" s="17">
        <f>CHOOSE(CONTROL!$C$42, 5.138, 5.138) * CHOOSE(CONTROL!$C$21, $C$9, 100%, $E$9)</f>
        <v>5.1379999999999999</v>
      </c>
      <c r="R57" s="17">
        <f>CHOOSE(CONTROL!$C$42, 5.7379, 5.7379) * CHOOSE(CONTROL!$C$21, $C$9, 100%, $E$9)</f>
        <v>5.7378999999999998</v>
      </c>
      <c r="S57" s="17">
        <f>CHOOSE(CONTROL!$C$42, 4.1635, 4.1635) * CHOOSE(CONTROL!$C$21, $C$9, 100%, $E$9)</f>
        <v>4.1635</v>
      </c>
      <c r="T5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7" s="56">
        <f>(1000*CHOOSE(CONTROL!$C$42, 695, 695)*CHOOSE(CONTROL!$C$42, 0.5599, 0.5599)*CHOOSE(CONTROL!$C$42, 30, 30))/1000000</f>
        <v>11.673914999999997</v>
      </c>
      <c r="V57" s="56">
        <f>(1000*CHOOSE(CONTROL!$C$42, 580, 580)*CHOOSE(CONTROL!$C$42, 0.275, 0.275)*CHOOSE(CONTROL!$C$42, 30, 30))/1000000</f>
        <v>4.7850000000000001</v>
      </c>
      <c r="W57" s="56">
        <f>(1000*CHOOSE(CONTROL!$C$42, 0.0916, 0.0916)*CHOOSE(CONTROL!$C$42, 121.5, 121.5)*CHOOSE(CONTROL!$C$42, 30, 30))/1000000</f>
        <v>0.33388200000000001</v>
      </c>
      <c r="X57" s="56">
        <f>(30*0.1790888*145000/1000000)+(30*0.2374*100000/1000000)</f>
        <v>1.4912362799999999</v>
      </c>
      <c r="Y57" s="56"/>
      <c r="Z57" s="17"/>
      <c r="AA57" s="55"/>
      <c r="AB57" s="48">
        <f>(B57*194.205+C57*267.466+D57*133.845+E57*153.484+F57*40+G57*85+H57*0+I57*100+J57*300)/(194.205+267.466+133.845+153.484+0+40+85+100+300)</f>
        <v>4.3738172314756678</v>
      </c>
      <c r="AC57" s="45">
        <f>(M57*'RAP TEMPLATE-GAS AVAILABILITY'!O56+N57*'RAP TEMPLATE-GAS AVAILABILITY'!P56+O57*'RAP TEMPLATE-GAS AVAILABILITY'!Q56+P57*'RAP TEMPLATE-GAS AVAILABILITY'!R56)/('RAP TEMPLATE-GAS AVAILABILITY'!O56+'RAP TEMPLATE-GAS AVAILABILITY'!P56+'RAP TEMPLATE-GAS AVAILABILITY'!Q56+'RAP TEMPLATE-GAS AVAILABILITY'!R56)</f>
        <v>4.3605057553956827</v>
      </c>
    </row>
    <row r="58" spans="1:29" ht="15.75" x14ac:dyDescent="0.25">
      <c r="A58" s="16">
        <v>42644</v>
      </c>
      <c r="B58" s="17">
        <f>CHOOSE(CONTROL!$C$42, 4.2253, 4.2253) * CHOOSE(CONTROL!$C$21, $C$9, 100%, $E$9)</f>
        <v>4.2252999999999998</v>
      </c>
      <c r="C58" s="17">
        <f>CHOOSE(CONTROL!$C$42, 4.2306, 4.2306) * CHOOSE(CONTROL!$C$21, $C$9, 100%, $E$9)</f>
        <v>4.2305999999999999</v>
      </c>
      <c r="D58" s="17">
        <f>CHOOSE(CONTROL!$C$42, 4.48, 4.48) * CHOOSE(CONTROL!$C$21, $C$9, 100%, $E$9)</f>
        <v>4.4800000000000004</v>
      </c>
      <c r="E58" s="17">
        <f>CHOOSE(CONTROL!$C$42, 4.5089, 4.5089) * CHOOSE(CONTROL!$C$21, $C$9, 100%, $E$9)</f>
        <v>4.5088999999999997</v>
      </c>
      <c r="F58" s="17">
        <f>CHOOSE(CONTROL!$C$42, 4.2391, 4.2391)*CHOOSE(CONTROL!$C$21, $C$9, 100%, $E$9)</f>
        <v>4.2390999999999996</v>
      </c>
      <c r="G58" s="17">
        <f>CHOOSE(CONTROL!$C$42, 4.2555, 4.2555)*CHOOSE(CONTROL!$C$21, $C$9, 100%, $E$9)</f>
        <v>4.2554999999999996</v>
      </c>
      <c r="H58" s="17">
        <f>CHOOSE(CONTROL!$C$42, 4.499, 4.499) * CHOOSE(CONTROL!$C$21, $C$9, 100%, $E$9)</f>
        <v>4.4989999999999997</v>
      </c>
      <c r="I58" s="17">
        <f>CHOOSE(CONTROL!$C$42, 4.2614, 4.2614)* CHOOSE(CONTROL!$C$21, $C$9, 100%, $E$9)</f>
        <v>4.2614000000000001</v>
      </c>
      <c r="J58" s="17">
        <f>CHOOSE(CONTROL!$C$42, 4.2317, 4.2317)* CHOOSE(CONTROL!$C$21, $C$9, 100%, $E$9)</f>
        <v>4.2317</v>
      </c>
      <c r="K58" s="52"/>
      <c r="L58" s="17">
        <f>CHOOSE(CONTROL!$C$42, 5.086, 5.086) * CHOOSE(CONTROL!$C$21, $C$9, 100%, $E$9)</f>
        <v>5.0860000000000003</v>
      </c>
      <c r="M58" s="17">
        <f>CHOOSE(CONTROL!$C$42, 4.2006, 4.2006) * CHOOSE(CONTROL!$C$21, $C$9, 100%, $E$9)</f>
        <v>4.2005999999999997</v>
      </c>
      <c r="N58" s="17">
        <f>CHOOSE(CONTROL!$C$42, 4.2169, 4.2169) * CHOOSE(CONTROL!$C$21, $C$9, 100%, $E$9)</f>
        <v>4.2168999999999999</v>
      </c>
      <c r="O58" s="17">
        <f>CHOOSE(CONTROL!$C$42, 4.4655, 4.4655) * CHOOSE(CONTROL!$C$21, $C$9, 100%, $E$9)</f>
        <v>4.4654999999999996</v>
      </c>
      <c r="P58" s="17">
        <f>CHOOSE(CONTROL!$C$42, 4.23, 4.23) * CHOOSE(CONTROL!$C$21, $C$9, 100%, $E$9)</f>
        <v>4.2300000000000004</v>
      </c>
      <c r="Q58" s="17">
        <f>CHOOSE(CONTROL!$C$42, 5.0602, 5.0602) * CHOOSE(CONTROL!$C$21, $C$9, 100%, $E$9)</f>
        <v>5.0602</v>
      </c>
      <c r="R58" s="17">
        <f>CHOOSE(CONTROL!$C$42, 5.6599, 5.6599) * CHOOSE(CONTROL!$C$21, $C$9, 100%, $E$9)</f>
        <v>5.6599000000000004</v>
      </c>
      <c r="S58" s="17">
        <f>CHOOSE(CONTROL!$C$42, 4.0874, 4.0874) * CHOOSE(CONTROL!$C$21, $C$9, 100%, $E$9)</f>
        <v>4.0873999999999997</v>
      </c>
      <c r="T5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8" s="56">
        <f>(1000*CHOOSE(CONTROL!$C$42, 695, 695)*CHOOSE(CONTROL!$C$42, 0.5599, 0.5599)*CHOOSE(CONTROL!$C$42, 31, 31))/1000000</f>
        <v>12.063045499999998</v>
      </c>
      <c r="V58" s="56">
        <f>(1000*CHOOSE(CONTROL!$C$42, 580, 580)*CHOOSE(CONTROL!$C$42, 0.275, 0.275)*CHOOSE(CONTROL!$C$42, 31, 31))/1000000</f>
        <v>4.9444999999999997</v>
      </c>
      <c r="W58" s="56">
        <f>(1000*CHOOSE(CONTROL!$C$42, 0.0916, 0.0916)*CHOOSE(CONTROL!$C$42, 121.5, 121.5)*CHOOSE(CONTROL!$C$42, 31, 31))/1000000</f>
        <v>0.34501139999999997</v>
      </c>
      <c r="X58" s="56">
        <f>(31*0.1790888*145000/1000000)+(31*0.2374*100000/1000000)</f>
        <v>1.5409441560000001</v>
      </c>
      <c r="Y58" s="56"/>
      <c r="Z58" s="17"/>
      <c r="AA58" s="55"/>
      <c r="AB58" s="48">
        <f>(B58*131.881+C58*277.167+D58*79.08+E58*225.872+F58*40+G58*85+H58*0+I58*100+J58*300)/(131.881+277.167+79.08+225.872+0+40+85+100+300)</f>
        <v>4.3014234546408394</v>
      </c>
      <c r="AC58" s="45">
        <f>(M58*'RAP TEMPLATE-GAS AVAILABILITY'!O57+N58*'RAP TEMPLATE-GAS AVAILABILITY'!P57+O58*'RAP TEMPLATE-GAS AVAILABILITY'!Q57+P58*'RAP TEMPLATE-GAS AVAILABILITY'!R57)/('RAP TEMPLATE-GAS AVAILABILITY'!O57+'RAP TEMPLATE-GAS AVAILABILITY'!P57+'RAP TEMPLATE-GAS AVAILABILITY'!Q57+'RAP TEMPLATE-GAS AVAILABILITY'!R57)</f>
        <v>4.2829071942446042</v>
      </c>
    </row>
    <row r="59" spans="1:29" ht="15.75" x14ac:dyDescent="0.25">
      <c r="A59" s="16">
        <v>42675</v>
      </c>
      <c r="B59" s="17">
        <f>CHOOSE(CONTROL!$C$42, 4.3448, 4.3448) * CHOOSE(CONTROL!$C$21, $C$9, 100%, $E$9)</f>
        <v>4.3448000000000002</v>
      </c>
      <c r="C59" s="17">
        <f>CHOOSE(CONTROL!$C$42, 4.3499, 4.3499) * CHOOSE(CONTROL!$C$21, $C$9, 100%, $E$9)</f>
        <v>4.3498999999999999</v>
      </c>
      <c r="D59" s="17">
        <f>CHOOSE(CONTROL!$C$42, 4.4313, 4.4313) * CHOOSE(CONTROL!$C$21, $C$9, 100%, $E$9)</f>
        <v>4.4313000000000002</v>
      </c>
      <c r="E59" s="17">
        <f>CHOOSE(CONTROL!$C$42, 4.465, 4.465) * CHOOSE(CONTROL!$C$21, $C$9, 100%, $E$9)</f>
        <v>4.4649999999999999</v>
      </c>
      <c r="F59" s="17">
        <f>CHOOSE(CONTROL!$C$42, 4.3628, 4.3628)*CHOOSE(CONTROL!$C$21, $C$9, 100%, $E$9)</f>
        <v>4.3628</v>
      </c>
      <c r="G59" s="17">
        <f>CHOOSE(CONTROL!$C$42, 4.3795, 4.3795)*CHOOSE(CONTROL!$C$21, $C$9, 100%, $E$9)</f>
        <v>4.3795000000000002</v>
      </c>
      <c r="H59" s="17">
        <f>CHOOSE(CONTROL!$C$42, 4.4539, 4.4539) * CHOOSE(CONTROL!$C$21, $C$9, 100%, $E$9)</f>
        <v>4.4539</v>
      </c>
      <c r="I59" s="17">
        <f>CHOOSE(CONTROL!$C$42, 4.3833, 4.3833)* CHOOSE(CONTROL!$C$21, $C$9, 100%, $E$9)</f>
        <v>4.3833000000000002</v>
      </c>
      <c r="J59" s="17">
        <f>CHOOSE(CONTROL!$C$42, 4.3554, 4.3554)* CHOOSE(CONTROL!$C$21, $C$9, 100%, $E$9)</f>
        <v>4.3554000000000004</v>
      </c>
      <c r="K59" s="52"/>
      <c r="L59" s="17">
        <f>CHOOSE(CONTROL!$C$42, 5.0409, 5.0409) * CHOOSE(CONTROL!$C$21, $C$9, 100%, $E$9)</f>
        <v>5.0408999999999997</v>
      </c>
      <c r="M59" s="17">
        <f>CHOOSE(CONTROL!$C$42, 4.3232, 4.3232) * CHOOSE(CONTROL!$C$21, $C$9, 100%, $E$9)</f>
        <v>4.3231999999999999</v>
      </c>
      <c r="N59" s="17">
        <f>CHOOSE(CONTROL!$C$42, 4.3398, 4.3398) * CHOOSE(CONTROL!$C$21, $C$9, 100%, $E$9)</f>
        <v>4.3398000000000003</v>
      </c>
      <c r="O59" s="17">
        <f>CHOOSE(CONTROL!$C$42, 4.4209, 4.4209) * CHOOSE(CONTROL!$C$21, $C$9, 100%, $E$9)</f>
        <v>4.4208999999999996</v>
      </c>
      <c r="P59" s="17">
        <f>CHOOSE(CONTROL!$C$42, 4.3508, 4.3508) * CHOOSE(CONTROL!$C$21, $C$9, 100%, $E$9)</f>
        <v>4.3507999999999996</v>
      </c>
      <c r="Q59" s="17">
        <f>CHOOSE(CONTROL!$C$42, 5.0156, 5.0156) * CHOOSE(CONTROL!$C$21, $C$9, 100%, $E$9)</f>
        <v>5.0156000000000001</v>
      </c>
      <c r="R59" s="17">
        <f>CHOOSE(CONTROL!$C$42, 5.6151, 5.6151) * CHOOSE(CONTROL!$C$21, $C$9, 100%, $E$9)</f>
        <v>5.6151</v>
      </c>
      <c r="S59" s="17">
        <f>CHOOSE(CONTROL!$C$42, 4.2037, 4.2037) * CHOOSE(CONTROL!$C$21, $C$9, 100%, $E$9)</f>
        <v>4.2037000000000004</v>
      </c>
      <c r="T5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9" s="56">
        <f>(1000*CHOOSE(CONTROL!$C$42, 695, 695)*CHOOSE(CONTROL!$C$42, 0.5599, 0.5599)*CHOOSE(CONTROL!$C$42, 30, 30))/1000000</f>
        <v>11.673914999999997</v>
      </c>
      <c r="V59" s="56">
        <f>(1000*CHOOSE(CONTROL!$C$42, 580, 580)*CHOOSE(CONTROL!$C$42, 0.275, 0.275)*CHOOSE(CONTROL!$C$42, 30, 30))/1000000</f>
        <v>4.7850000000000001</v>
      </c>
      <c r="W59" s="56">
        <f>(1000*CHOOSE(CONTROL!$C$42, 0.0916, 0.0916)*CHOOSE(CONTROL!$C$42, 121.5, 121.5)*CHOOSE(CONTROL!$C$42, 30, 30))/1000000</f>
        <v>0.33388200000000001</v>
      </c>
      <c r="X59" s="56">
        <f>(30*0.2374*100000/1000000)</f>
        <v>0.71220000000000006</v>
      </c>
      <c r="Y59" s="56"/>
      <c r="Z59" s="17"/>
      <c r="AA59" s="55"/>
      <c r="AB59" s="48">
        <f>(B59*122.58+C59*297.941+D59*89.177+E59*140.302+F59*40+G59*60+H59*0+I59*100+J59*300)/(122.58+297.941+89.177+140.302+0+40+60+100+300)</f>
        <v>4.3760431391304353</v>
      </c>
      <c r="AC59" s="45">
        <f>(M59*'RAP TEMPLATE-GAS AVAILABILITY'!O58+N59*'RAP TEMPLATE-GAS AVAILABILITY'!P58+O59*'RAP TEMPLATE-GAS AVAILABILITY'!Q58+P59*'RAP TEMPLATE-GAS AVAILABILITY'!R58)/('RAP TEMPLATE-GAS AVAILABILITY'!O58+'RAP TEMPLATE-GAS AVAILABILITY'!P58+'RAP TEMPLATE-GAS AVAILABILITY'!Q58+'RAP TEMPLATE-GAS AVAILABILITY'!R58)</f>
        <v>4.3724079136690648</v>
      </c>
    </row>
    <row r="60" spans="1:29" ht="15.75" x14ac:dyDescent="0.25">
      <c r="A60" s="16">
        <v>42705</v>
      </c>
      <c r="B60" s="17">
        <f>CHOOSE(CONTROL!$C$42, 4.6499, 4.6499) * CHOOSE(CONTROL!$C$21, $C$9, 100%, $E$9)</f>
        <v>4.6498999999999997</v>
      </c>
      <c r="C60" s="17">
        <f>CHOOSE(CONTROL!$C$42, 4.655, 4.655) * CHOOSE(CONTROL!$C$21, $C$9, 100%, $E$9)</f>
        <v>4.6550000000000002</v>
      </c>
      <c r="D60" s="17">
        <f>CHOOSE(CONTROL!$C$42, 4.7363, 4.7363) * CHOOSE(CONTROL!$C$21, $C$9, 100%, $E$9)</f>
        <v>4.7363</v>
      </c>
      <c r="E60" s="17">
        <f>CHOOSE(CONTROL!$C$42, 4.7701, 4.7701) * CHOOSE(CONTROL!$C$21, $C$9, 100%, $E$9)</f>
        <v>4.7701000000000002</v>
      </c>
      <c r="F60" s="17">
        <f>CHOOSE(CONTROL!$C$42, 4.6702, 4.6702)*CHOOSE(CONTROL!$C$21, $C$9, 100%, $E$9)</f>
        <v>4.6702000000000004</v>
      </c>
      <c r="G60" s="17">
        <f>CHOOSE(CONTROL!$C$42, 4.6875, 4.6875)*CHOOSE(CONTROL!$C$21, $C$9, 100%, $E$9)</f>
        <v>4.6875</v>
      </c>
      <c r="H60" s="17">
        <f>CHOOSE(CONTROL!$C$42, 4.759, 4.759) * CHOOSE(CONTROL!$C$21, $C$9, 100%, $E$9)</f>
        <v>4.7590000000000003</v>
      </c>
      <c r="I60" s="17">
        <f>CHOOSE(CONTROL!$C$42, 4.6893, 4.6893)* CHOOSE(CONTROL!$C$21, $C$9, 100%, $E$9)</f>
        <v>4.6893000000000002</v>
      </c>
      <c r="J60" s="17">
        <f>CHOOSE(CONTROL!$C$42, 4.6628, 4.6628)* CHOOSE(CONTROL!$C$21, $C$9, 100%, $E$9)</f>
        <v>4.6627999999999998</v>
      </c>
      <c r="K60" s="52"/>
      <c r="L60" s="17">
        <f>CHOOSE(CONTROL!$C$42, 5.346, 5.346) * CHOOSE(CONTROL!$C$21, $C$9, 100%, $E$9)</f>
        <v>5.3460000000000001</v>
      </c>
      <c r="M60" s="17">
        <f>CHOOSE(CONTROL!$C$42, 4.6279, 4.6279) * CHOOSE(CONTROL!$C$21, $C$9, 100%, $E$9)</f>
        <v>4.6279000000000003</v>
      </c>
      <c r="N60" s="17">
        <f>CHOOSE(CONTROL!$C$42, 4.6451, 4.6451) * CHOOSE(CONTROL!$C$21, $C$9, 100%, $E$9)</f>
        <v>4.6451000000000002</v>
      </c>
      <c r="O60" s="17">
        <f>CHOOSE(CONTROL!$C$42, 4.7232, 4.7232) * CHOOSE(CONTROL!$C$21, $C$9, 100%, $E$9)</f>
        <v>4.7232000000000003</v>
      </c>
      <c r="P60" s="17">
        <f>CHOOSE(CONTROL!$C$42, 4.654, 4.654) * CHOOSE(CONTROL!$C$21, $C$9, 100%, $E$9)</f>
        <v>4.6539999999999999</v>
      </c>
      <c r="Q60" s="17">
        <f>CHOOSE(CONTROL!$C$42, 5.3179, 5.3179) * CHOOSE(CONTROL!$C$21, $C$9, 100%, $E$9)</f>
        <v>5.3178999999999998</v>
      </c>
      <c r="R60" s="17">
        <f>CHOOSE(CONTROL!$C$42, 5.9182, 5.9182) * CHOOSE(CONTROL!$C$21, $C$9, 100%, $E$9)</f>
        <v>5.9181999999999997</v>
      </c>
      <c r="S60" s="17">
        <f>CHOOSE(CONTROL!$C$42, 4.4995, 4.4995) * CHOOSE(CONTROL!$C$21, $C$9, 100%, $E$9)</f>
        <v>4.4995000000000003</v>
      </c>
      <c r="T6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0" s="56">
        <f>(1000*CHOOSE(CONTROL!$C$42, 695, 695)*CHOOSE(CONTROL!$C$42, 0.5599, 0.5599)*CHOOSE(CONTROL!$C$42, 31, 31))/1000000</f>
        <v>12.063045499999998</v>
      </c>
      <c r="V60" s="56">
        <f>(1000*CHOOSE(CONTROL!$C$42, 580, 580)*CHOOSE(CONTROL!$C$42, 0.275, 0.275)*CHOOSE(CONTROL!$C$42, 31, 31))/1000000</f>
        <v>4.9444999999999997</v>
      </c>
      <c r="W60" s="56">
        <f>(1000*CHOOSE(CONTROL!$C$42, 0.0916, 0.0916)*CHOOSE(CONTROL!$C$42, 121.5, 121.5)*CHOOSE(CONTROL!$C$42, 31, 31))/1000000</f>
        <v>0.34501139999999997</v>
      </c>
      <c r="X60" s="56">
        <f>(31*0.2374*100000/1000000)</f>
        <v>0.73594000000000004</v>
      </c>
      <c r="Y60" s="56"/>
      <c r="Z60" s="17"/>
      <c r="AA60" s="55"/>
      <c r="AB60" s="48">
        <f>(B60*122.58+C60*297.941+D60*89.177+E60*140.302+F60*40+G60*60+H60*0+I60*100+J60*300)/(122.58+297.941+89.177+140.302+0+40+60+100+300)</f>
        <v>4.6820449498260857</v>
      </c>
      <c r="AC60" s="45">
        <f>(M60*'RAP TEMPLATE-GAS AVAILABILITY'!O59+N60*'RAP TEMPLATE-GAS AVAILABILITY'!P59+O60*'RAP TEMPLATE-GAS AVAILABILITY'!Q59+P60*'RAP TEMPLATE-GAS AVAILABILITY'!R59)/('RAP TEMPLATE-GAS AVAILABILITY'!O59+'RAP TEMPLATE-GAS AVAILABILITY'!P59+'RAP TEMPLATE-GAS AVAILABILITY'!Q59+'RAP TEMPLATE-GAS AVAILABILITY'!R59)</f>
        <v>4.6758388489208631</v>
      </c>
    </row>
    <row r="61" spans="1:29" ht="15.75" x14ac:dyDescent="0.25">
      <c r="A61" s="16">
        <v>42736</v>
      </c>
      <c r="B61" s="17">
        <f>CHOOSE(CONTROL!$C$42, 5.1004, 5.1004) * CHOOSE(CONTROL!$C$21, $C$9, 100%, $E$9)</f>
        <v>5.1003999999999996</v>
      </c>
      <c r="C61" s="17">
        <f>CHOOSE(CONTROL!$C$42, 5.1054, 5.1054) * CHOOSE(CONTROL!$C$21, $C$9, 100%, $E$9)</f>
        <v>5.1054000000000004</v>
      </c>
      <c r="D61" s="17">
        <f>CHOOSE(CONTROL!$C$42, 5.2023, 5.2023) * CHOOSE(CONTROL!$C$21, $C$9, 100%, $E$9)</f>
        <v>5.2023000000000001</v>
      </c>
      <c r="E61" s="17">
        <f>CHOOSE(CONTROL!$C$42, 5.236, 5.236) * CHOOSE(CONTROL!$C$21, $C$9, 100%, $E$9)</f>
        <v>5.2359999999999998</v>
      </c>
      <c r="F61" s="17">
        <f>CHOOSE(CONTROL!$C$42, 5.1146, 5.1146)*CHOOSE(CONTROL!$C$21, $C$9, 100%, $E$9)</f>
        <v>5.1146000000000003</v>
      </c>
      <c r="G61" s="17">
        <f>CHOOSE(CONTROL!$C$42, 5.131, 5.131)*CHOOSE(CONTROL!$C$21, $C$9, 100%, $E$9)</f>
        <v>5.1310000000000002</v>
      </c>
      <c r="H61" s="17">
        <f>CHOOSE(CONTROL!$C$42, 5.2249, 5.2249) * CHOOSE(CONTROL!$C$21, $C$9, 100%, $E$9)</f>
        <v>5.2248999999999999</v>
      </c>
      <c r="I61" s="17">
        <f>CHOOSE(CONTROL!$C$42, 5.1411, 5.1411)* CHOOSE(CONTROL!$C$21, $C$9, 100%, $E$9)</f>
        <v>5.1410999999999998</v>
      </c>
      <c r="J61" s="17">
        <f>CHOOSE(CONTROL!$C$42, 5.1072, 5.1072)* CHOOSE(CONTROL!$C$21, $C$9, 100%, $E$9)</f>
        <v>5.1071999999999997</v>
      </c>
      <c r="K61" s="52"/>
      <c r="L61" s="17">
        <f>CHOOSE(CONTROL!$C$42, 5.8119, 5.8119) * CHOOSE(CONTROL!$C$21, $C$9, 100%, $E$9)</f>
        <v>5.8118999999999996</v>
      </c>
      <c r="M61" s="17">
        <f>CHOOSE(CONTROL!$C$42, 5.0683, 5.0683) * CHOOSE(CONTROL!$C$21, $C$9, 100%, $E$9)</f>
        <v>5.0682999999999998</v>
      </c>
      <c r="N61" s="17">
        <f>CHOOSE(CONTROL!$C$42, 5.0846, 5.0846) * CHOOSE(CONTROL!$C$21, $C$9, 100%, $E$9)</f>
        <v>5.0846</v>
      </c>
      <c r="O61" s="17">
        <f>CHOOSE(CONTROL!$C$42, 5.1849, 5.1849) * CHOOSE(CONTROL!$C$21, $C$9, 100%, $E$9)</f>
        <v>5.1848999999999998</v>
      </c>
      <c r="P61" s="17">
        <f>CHOOSE(CONTROL!$C$42, 5.1018, 5.1018) * CHOOSE(CONTROL!$C$21, $C$9, 100%, $E$9)</f>
        <v>5.1017999999999999</v>
      </c>
      <c r="Q61" s="17">
        <f>CHOOSE(CONTROL!$C$42, 5.7796, 5.7796) * CHOOSE(CONTROL!$C$21, $C$9, 100%, $E$9)</f>
        <v>5.7796000000000003</v>
      </c>
      <c r="R61" s="17">
        <f>CHOOSE(CONTROL!$C$42, 6.3811, 6.3811) * CHOOSE(CONTROL!$C$21, $C$9, 100%, $E$9)</f>
        <v>6.3811</v>
      </c>
      <c r="S61" s="17">
        <f>CHOOSE(CONTROL!$C$42, 4.9363, 4.9363) * CHOOSE(CONTROL!$C$21, $C$9, 100%, $E$9)</f>
        <v>4.9363000000000001</v>
      </c>
      <c r="T6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61" s="56">
        <f>(1000*CHOOSE(CONTROL!$C$42, 695, 695)*CHOOSE(CONTROL!$C$42, 0.5599, 0.5599)*CHOOSE(CONTROL!$C$42, 31, 31))/1000000</f>
        <v>12.063045499999998</v>
      </c>
      <c r="V61" s="56">
        <f>(1000*CHOOSE(CONTROL!$C$42, 580, 580)*CHOOSE(CONTROL!$C$42, 0.275, 0.275)*CHOOSE(CONTROL!$C$42, 31, 31))/1000000</f>
        <v>4.9444999999999997</v>
      </c>
      <c r="W61" s="56">
        <f>(1000*CHOOSE(CONTROL!$C$42, 0.0916, 0.0916)*CHOOSE(CONTROL!$C$42, 121.5, 121.5)*CHOOSE(CONTROL!$C$42, 31, 31))/1000000</f>
        <v>0.34501139999999997</v>
      </c>
      <c r="X61" s="56">
        <f>(31*0.2374*100000/1000000)</f>
        <v>0.73594000000000004</v>
      </c>
      <c r="Y61" s="56"/>
      <c r="Z61" s="17"/>
      <c r="AA61" s="55"/>
      <c r="AB61" s="48">
        <f>(B61*122.58+C61*297.941+D61*89.177+E61*140.302+F61*40+G61*60+H61*0+I61*100+J61*300)/(122.58+297.941+89.177+140.302+0+40+60+100+300)</f>
        <v>5.133544167391304</v>
      </c>
      <c r="AC61" s="45">
        <f>(M61*'RAP TEMPLATE-GAS AVAILABILITY'!O60+N61*'RAP TEMPLATE-GAS AVAILABILITY'!P60+O61*'RAP TEMPLATE-GAS AVAILABILITY'!Q60+P61*'RAP TEMPLATE-GAS AVAILABILITY'!R60)/('RAP TEMPLATE-GAS AVAILABILITY'!O60+'RAP TEMPLATE-GAS AVAILABILITY'!P60+'RAP TEMPLATE-GAS AVAILABILITY'!Q60+'RAP TEMPLATE-GAS AVAILABILITY'!R60)</f>
        <v>5.1269057553956836</v>
      </c>
    </row>
    <row r="62" spans="1:29" ht="15.75" x14ac:dyDescent="0.25">
      <c r="A62" s="16">
        <v>42767</v>
      </c>
      <c r="B62" s="17">
        <f>CHOOSE(CONTROL!$C$42, 5.2016, 5.2016) * CHOOSE(CONTROL!$C$21, $C$9, 100%, $E$9)</f>
        <v>5.2016</v>
      </c>
      <c r="C62" s="17">
        <f>CHOOSE(CONTROL!$C$42, 5.2067, 5.2067) * CHOOSE(CONTROL!$C$21, $C$9, 100%, $E$9)</f>
        <v>5.2066999999999997</v>
      </c>
      <c r="D62" s="17">
        <f>CHOOSE(CONTROL!$C$42, 5.3035, 5.3035) * CHOOSE(CONTROL!$C$21, $C$9, 100%, $E$9)</f>
        <v>5.3034999999999997</v>
      </c>
      <c r="E62" s="17">
        <f>CHOOSE(CONTROL!$C$42, 5.3373, 5.3373) * CHOOSE(CONTROL!$C$21, $C$9, 100%, $E$9)</f>
        <v>5.3372999999999999</v>
      </c>
      <c r="F62" s="17">
        <f>CHOOSE(CONTROL!$C$42, 5.2159, 5.2159)*CHOOSE(CONTROL!$C$21, $C$9, 100%, $E$9)</f>
        <v>5.2159000000000004</v>
      </c>
      <c r="G62" s="17">
        <f>CHOOSE(CONTROL!$C$42, 5.2323, 5.2323)*CHOOSE(CONTROL!$C$21, $C$9, 100%, $E$9)</f>
        <v>5.2323000000000004</v>
      </c>
      <c r="H62" s="17">
        <f>CHOOSE(CONTROL!$C$42, 5.3262, 5.3262) * CHOOSE(CONTROL!$C$21, $C$9, 100%, $E$9)</f>
        <v>5.3262</v>
      </c>
      <c r="I62" s="17">
        <f>CHOOSE(CONTROL!$C$42, 5.2427, 5.2427)* CHOOSE(CONTROL!$C$21, $C$9, 100%, $E$9)</f>
        <v>5.2427000000000001</v>
      </c>
      <c r="J62" s="17">
        <f>CHOOSE(CONTROL!$C$42, 5.2085, 5.2085)* CHOOSE(CONTROL!$C$21, $C$9, 100%, $E$9)</f>
        <v>5.2084999999999999</v>
      </c>
      <c r="K62" s="52"/>
      <c r="L62" s="17">
        <f>CHOOSE(CONTROL!$C$42, 5.9132, 5.9132) * CHOOSE(CONTROL!$C$21, $C$9, 100%, $E$9)</f>
        <v>5.9131999999999998</v>
      </c>
      <c r="M62" s="17">
        <f>CHOOSE(CONTROL!$C$42, 5.1686, 5.1686) * CHOOSE(CONTROL!$C$21, $C$9, 100%, $E$9)</f>
        <v>5.1685999999999996</v>
      </c>
      <c r="N62" s="17">
        <f>CHOOSE(CONTROL!$C$42, 5.1849, 5.1849) * CHOOSE(CONTROL!$C$21, $C$9, 100%, $E$9)</f>
        <v>5.1848999999999998</v>
      </c>
      <c r="O62" s="17">
        <f>CHOOSE(CONTROL!$C$42, 5.2853, 5.2853) * CHOOSE(CONTROL!$C$21, $C$9, 100%, $E$9)</f>
        <v>5.2853000000000003</v>
      </c>
      <c r="P62" s="17">
        <f>CHOOSE(CONTROL!$C$42, 5.2025, 5.2025) * CHOOSE(CONTROL!$C$21, $C$9, 100%, $E$9)</f>
        <v>5.2024999999999997</v>
      </c>
      <c r="Q62" s="17">
        <f>CHOOSE(CONTROL!$C$42, 5.88, 5.88) * CHOOSE(CONTROL!$C$21, $C$9, 100%, $E$9)</f>
        <v>5.88</v>
      </c>
      <c r="R62" s="17">
        <f>CHOOSE(CONTROL!$C$42, 6.4817, 6.4817) * CHOOSE(CONTROL!$C$21, $C$9, 100%, $E$9)</f>
        <v>6.4817</v>
      </c>
      <c r="S62" s="17">
        <f>CHOOSE(CONTROL!$C$42, 5.0345, 5.0345) * CHOOSE(CONTROL!$C$21, $C$9, 100%, $E$9)</f>
        <v>5.0345000000000004</v>
      </c>
      <c r="T6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62" s="56">
        <f>(1000*CHOOSE(CONTROL!$C$42, 695, 695)*CHOOSE(CONTROL!$C$42, 0.5599, 0.5599)*CHOOSE(CONTROL!$C$42, 28, 28))/1000000</f>
        <v>10.895653999999999</v>
      </c>
      <c r="V62" s="56">
        <f>(1000*CHOOSE(CONTROL!$C$42, 580, 580)*CHOOSE(CONTROL!$C$42, 0.275, 0.275)*CHOOSE(CONTROL!$C$42, 28, 28))/1000000</f>
        <v>4.4660000000000002</v>
      </c>
      <c r="W62" s="56">
        <f>(1000*CHOOSE(CONTROL!$C$42, 0.0916, 0.0916)*CHOOSE(CONTROL!$C$42, 121.5, 121.5)*CHOOSE(CONTROL!$C$42, 28, 28))/1000000</f>
        <v>0.31162319999999999</v>
      </c>
      <c r="X62" s="56">
        <f>(28*0.2374*100000/1000000)</f>
        <v>0.66471999999999998</v>
      </c>
      <c r="Y62" s="56"/>
      <c r="Z62" s="17"/>
      <c r="AA62" s="55"/>
      <c r="AB62" s="48">
        <f>(B62*122.58+C62*297.941+D62*89.177+E62*140.302+F62*40+G62*60+H62*0+I62*100+J62*300)/(122.58+297.941+89.177+140.302+0+40+60+100+300)</f>
        <v>5.2348518406956517</v>
      </c>
      <c r="AC62" s="45">
        <f>(M62*'RAP TEMPLATE-GAS AVAILABILITY'!O61+N62*'RAP TEMPLATE-GAS AVAILABILITY'!P61+O62*'RAP TEMPLATE-GAS AVAILABILITY'!Q61+P62*'RAP TEMPLATE-GAS AVAILABILITY'!R61)/('RAP TEMPLATE-GAS AVAILABILITY'!O61+'RAP TEMPLATE-GAS AVAILABILITY'!P61+'RAP TEMPLATE-GAS AVAILABILITY'!Q61+'RAP TEMPLATE-GAS AVAILABILITY'!R61)</f>
        <v>5.227308633093525</v>
      </c>
    </row>
    <row r="63" spans="1:29" ht="15.75" x14ac:dyDescent="0.25">
      <c r="A63" s="16">
        <v>42795</v>
      </c>
      <c r="B63" s="17">
        <f>CHOOSE(CONTROL!$C$42, 5.0646, 5.0646) * CHOOSE(CONTROL!$C$21, $C$9, 100%, $E$9)</f>
        <v>5.0646000000000004</v>
      </c>
      <c r="C63" s="17">
        <f>CHOOSE(CONTROL!$C$42, 5.0697, 5.0697) * CHOOSE(CONTROL!$C$21, $C$9, 100%, $E$9)</f>
        <v>5.0697000000000001</v>
      </c>
      <c r="D63" s="17">
        <f>CHOOSE(CONTROL!$C$42, 5.1666, 5.1666) * CHOOSE(CONTROL!$C$21, $C$9, 100%, $E$9)</f>
        <v>5.1665999999999999</v>
      </c>
      <c r="E63" s="17">
        <f>CHOOSE(CONTROL!$C$42, 5.2003, 5.2003) * CHOOSE(CONTROL!$C$21, $C$9, 100%, $E$9)</f>
        <v>5.2003000000000004</v>
      </c>
      <c r="F63" s="17">
        <f>CHOOSE(CONTROL!$C$42, 5.0783, 5.0783)*CHOOSE(CONTROL!$C$21, $C$9, 100%, $E$9)</f>
        <v>5.0782999999999996</v>
      </c>
      <c r="G63" s="17">
        <f>CHOOSE(CONTROL!$C$42, 5.0945, 5.0945)*CHOOSE(CONTROL!$C$21, $C$9, 100%, $E$9)</f>
        <v>5.0945</v>
      </c>
      <c r="H63" s="17">
        <f>CHOOSE(CONTROL!$C$42, 5.1892, 5.1892) * CHOOSE(CONTROL!$C$21, $C$9, 100%, $E$9)</f>
        <v>5.1891999999999996</v>
      </c>
      <c r="I63" s="17">
        <f>CHOOSE(CONTROL!$C$42, 5.1053, 5.1053)* CHOOSE(CONTROL!$C$21, $C$9, 100%, $E$9)</f>
        <v>5.1052999999999997</v>
      </c>
      <c r="J63" s="17">
        <f>CHOOSE(CONTROL!$C$42, 5.0709, 5.0709)* CHOOSE(CONTROL!$C$21, $C$9, 100%, $E$9)</f>
        <v>5.0709</v>
      </c>
      <c r="K63" s="52"/>
      <c r="L63" s="17">
        <f>CHOOSE(CONTROL!$C$42, 5.7762, 5.7762) * CHOOSE(CONTROL!$C$21, $C$9, 100%, $E$9)</f>
        <v>5.7762000000000002</v>
      </c>
      <c r="M63" s="17">
        <f>CHOOSE(CONTROL!$C$42, 5.0323, 5.0323) * CHOOSE(CONTROL!$C$21, $C$9, 100%, $E$9)</f>
        <v>5.0323000000000002</v>
      </c>
      <c r="N63" s="17">
        <f>CHOOSE(CONTROL!$C$42, 5.0484, 5.0484) * CHOOSE(CONTROL!$C$21, $C$9, 100%, $E$9)</f>
        <v>5.0484</v>
      </c>
      <c r="O63" s="17">
        <f>CHOOSE(CONTROL!$C$42, 5.1495, 5.1495) * CHOOSE(CONTROL!$C$21, $C$9, 100%, $E$9)</f>
        <v>5.1494999999999997</v>
      </c>
      <c r="P63" s="17">
        <f>CHOOSE(CONTROL!$C$42, 5.0663, 5.0663) * CHOOSE(CONTROL!$C$21, $C$9, 100%, $E$9)</f>
        <v>5.0663</v>
      </c>
      <c r="Q63" s="17">
        <f>CHOOSE(CONTROL!$C$42, 5.7442, 5.7442) * CHOOSE(CONTROL!$C$21, $C$9, 100%, $E$9)</f>
        <v>5.7442000000000002</v>
      </c>
      <c r="R63" s="17">
        <f>CHOOSE(CONTROL!$C$42, 6.3456, 6.3456) * CHOOSE(CONTROL!$C$21, $C$9, 100%, $E$9)</f>
        <v>6.3456000000000001</v>
      </c>
      <c r="S63" s="17">
        <f>CHOOSE(CONTROL!$C$42, 4.9017, 4.9017) * CHOOSE(CONTROL!$C$21, $C$9, 100%, $E$9)</f>
        <v>4.9016999999999999</v>
      </c>
      <c r="T6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63" s="56">
        <f>(1000*CHOOSE(CONTROL!$C$42, 695, 695)*CHOOSE(CONTROL!$C$42, 0.5599, 0.5599)*CHOOSE(CONTROL!$C$42, 31, 31))/1000000</f>
        <v>12.063045499999998</v>
      </c>
      <c r="V63" s="56">
        <f>(1000*CHOOSE(CONTROL!$C$42, 580, 580)*CHOOSE(CONTROL!$C$42, 0.275, 0.275)*CHOOSE(CONTROL!$C$42, 31, 31))/1000000</f>
        <v>4.9444999999999997</v>
      </c>
      <c r="W63" s="56">
        <f>(1000*CHOOSE(CONTROL!$C$42, 0.0916, 0.0916)*CHOOSE(CONTROL!$C$42, 121.5, 121.5)*CHOOSE(CONTROL!$C$42, 31, 31))/1000000</f>
        <v>0.34501139999999997</v>
      </c>
      <c r="X63" s="56">
        <f>(31*0.2374*100000/1000000)</f>
        <v>0.73594000000000004</v>
      </c>
      <c r="Y63" s="56"/>
      <c r="Z63" s="17"/>
      <c r="AA63" s="55"/>
      <c r="AB63" s="48">
        <f>(B63*122.58+C63*297.941+D63*89.177+E63*140.302+F63*40+G63*60+H63*0+I63*100+J63*300)/(122.58+297.941+89.177+140.302+0+40+60+100+300)</f>
        <v>5.0976056821739135</v>
      </c>
      <c r="AC63" s="45">
        <f>(M63*'RAP TEMPLATE-GAS AVAILABILITY'!O62+N63*'RAP TEMPLATE-GAS AVAILABILITY'!P62+O63*'RAP TEMPLATE-GAS AVAILABILITY'!Q62+P63*'RAP TEMPLATE-GAS AVAILABILITY'!R62)/('RAP TEMPLATE-GAS AVAILABILITY'!O62+'RAP TEMPLATE-GAS AVAILABILITY'!P62+'RAP TEMPLATE-GAS AVAILABILITY'!Q62+'RAP TEMPLATE-GAS AVAILABILITY'!R62)</f>
        <v>5.0912381294964026</v>
      </c>
    </row>
    <row r="64" spans="1:29" ht="15.75" x14ac:dyDescent="0.25">
      <c r="A64" s="16">
        <v>42826</v>
      </c>
      <c r="B64" s="17">
        <f>CHOOSE(CONTROL!$C$42, 5.0609, 5.0609) * CHOOSE(CONTROL!$C$21, $C$9, 100%, $E$9)</f>
        <v>5.0609000000000002</v>
      </c>
      <c r="C64" s="17">
        <f>CHOOSE(CONTROL!$C$42, 5.0654, 5.0654) * CHOOSE(CONTROL!$C$21, $C$9, 100%, $E$9)</f>
        <v>5.0654000000000003</v>
      </c>
      <c r="D64" s="17">
        <f>CHOOSE(CONTROL!$C$42, 5.3129, 5.3129) * CHOOSE(CONTROL!$C$21, $C$9, 100%, $E$9)</f>
        <v>5.3129</v>
      </c>
      <c r="E64" s="17">
        <f>CHOOSE(CONTROL!$C$42, 5.3447, 5.3447) * CHOOSE(CONTROL!$C$21, $C$9, 100%, $E$9)</f>
        <v>5.3446999999999996</v>
      </c>
      <c r="F64" s="17">
        <f>CHOOSE(CONTROL!$C$42, 5.0725, 5.0725)*CHOOSE(CONTROL!$C$21, $C$9, 100%, $E$9)</f>
        <v>5.0724999999999998</v>
      </c>
      <c r="G64" s="17">
        <f>CHOOSE(CONTROL!$C$42, 5.0885, 5.0885)*CHOOSE(CONTROL!$C$21, $C$9, 100%, $E$9)</f>
        <v>5.0884999999999998</v>
      </c>
      <c r="H64" s="17">
        <f>CHOOSE(CONTROL!$C$42, 5.3342, 5.3342) * CHOOSE(CONTROL!$C$21, $C$9, 100%, $E$9)</f>
        <v>5.3342000000000001</v>
      </c>
      <c r="I64" s="17">
        <f>CHOOSE(CONTROL!$C$42, 5.0992, 5.0992)* CHOOSE(CONTROL!$C$21, $C$9, 100%, $E$9)</f>
        <v>5.0991999999999997</v>
      </c>
      <c r="J64" s="17">
        <f>CHOOSE(CONTROL!$C$42, 5.0651, 5.0651)* CHOOSE(CONTROL!$C$21, $C$9, 100%, $E$9)</f>
        <v>5.0651000000000002</v>
      </c>
      <c r="K64" s="52"/>
      <c r="L64" s="17">
        <f>CHOOSE(CONTROL!$C$42, 5.9212, 5.9212) * CHOOSE(CONTROL!$C$21, $C$9, 100%, $E$9)</f>
        <v>5.9211999999999998</v>
      </c>
      <c r="M64" s="17">
        <f>CHOOSE(CONTROL!$C$42, 5.0266, 5.0266) * CHOOSE(CONTROL!$C$21, $C$9, 100%, $E$9)</f>
        <v>5.0266000000000002</v>
      </c>
      <c r="N64" s="17">
        <f>CHOOSE(CONTROL!$C$42, 5.0424, 5.0424) * CHOOSE(CONTROL!$C$21, $C$9, 100%, $E$9)</f>
        <v>5.0423999999999998</v>
      </c>
      <c r="O64" s="17">
        <f>CHOOSE(CONTROL!$C$42, 5.2932, 5.2932) * CHOOSE(CONTROL!$C$21, $C$9, 100%, $E$9)</f>
        <v>5.2931999999999997</v>
      </c>
      <c r="P64" s="17">
        <f>CHOOSE(CONTROL!$C$42, 5.0603, 5.0603) * CHOOSE(CONTROL!$C$21, $C$9, 100%, $E$9)</f>
        <v>5.0602999999999998</v>
      </c>
      <c r="Q64" s="17">
        <f>CHOOSE(CONTROL!$C$42, 5.8879, 5.8879) * CHOOSE(CONTROL!$C$21, $C$9, 100%, $E$9)</f>
        <v>5.8879000000000001</v>
      </c>
      <c r="R64" s="17">
        <f>CHOOSE(CONTROL!$C$42, 6.4896, 6.4896) * CHOOSE(CONTROL!$C$21, $C$9, 100%, $E$9)</f>
        <v>6.4896000000000003</v>
      </c>
      <c r="S64" s="17">
        <f>CHOOSE(CONTROL!$C$42, 4.8973, 4.8973) * CHOOSE(CONTROL!$C$21, $C$9, 100%, $E$9)</f>
        <v>4.8973000000000004</v>
      </c>
      <c r="T6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64" s="56">
        <f>(1000*CHOOSE(CONTROL!$C$42, 695, 695)*CHOOSE(CONTROL!$C$42, 0.5599, 0.5599)*CHOOSE(CONTROL!$C$42, 30, 30))/1000000</f>
        <v>11.673914999999997</v>
      </c>
      <c r="V64" s="56">
        <f>(1000*CHOOSE(CONTROL!$C$42, 580, 580)*CHOOSE(CONTROL!$C$42, 0.275, 0.275)*CHOOSE(CONTROL!$C$42, 30, 30))/1000000</f>
        <v>4.7850000000000001</v>
      </c>
      <c r="W64" s="56">
        <f>(1000*CHOOSE(CONTROL!$C$42, 0.0916, 0.0916)*CHOOSE(CONTROL!$C$42, 121.5, 121.5)*CHOOSE(CONTROL!$C$42, 30, 30))/1000000</f>
        <v>0.33388200000000001</v>
      </c>
      <c r="X64" s="56">
        <f>(30*0.1790888*145000/1000000)+(30*0.2374*100000/1000000)</f>
        <v>1.4912362799999999</v>
      </c>
      <c r="Y64" s="56"/>
      <c r="Z64" s="17"/>
      <c r="AA64" s="55"/>
      <c r="AB64" s="48">
        <f>(B64*141.293+C64*267.993+D64*115.016+E64*189.698+F64*40+G64*85+H64*0+I64*100+J64*300)/(141.293+267.993+115.016+189.698+0+40+85+100+300)</f>
        <v>5.1350939410008065</v>
      </c>
      <c r="AC64" s="45">
        <f>(M64*'RAP TEMPLATE-GAS AVAILABILITY'!O63+N64*'RAP TEMPLATE-GAS AVAILABILITY'!P63+O64*'RAP TEMPLATE-GAS AVAILABILITY'!Q63+P64*'RAP TEMPLATE-GAS AVAILABILITY'!R63)/('RAP TEMPLATE-GAS AVAILABILITY'!O63+'RAP TEMPLATE-GAS AVAILABILITY'!P63+'RAP TEMPLATE-GAS AVAILABILITY'!Q63+'RAP TEMPLATE-GAS AVAILABILITY'!R63)</f>
        <v>5.1098877697841729</v>
      </c>
    </row>
    <row r="65" spans="1:29" ht="15.75" x14ac:dyDescent="0.25">
      <c r="A65" s="16">
        <v>42856</v>
      </c>
      <c r="B65" s="17">
        <f>CHOOSE(CONTROL!$C$42, 5.1173, 5.1173) * CHOOSE(CONTROL!$C$21, $C$9, 100%, $E$9)</f>
        <v>5.1173000000000002</v>
      </c>
      <c r="C65" s="17">
        <f>CHOOSE(CONTROL!$C$42, 5.1253, 5.1253) * CHOOSE(CONTROL!$C$21, $C$9, 100%, $E$9)</f>
        <v>5.1253000000000002</v>
      </c>
      <c r="D65" s="17">
        <f>CHOOSE(CONTROL!$C$42, 5.3698, 5.3698) * CHOOSE(CONTROL!$C$21, $C$9, 100%, $E$9)</f>
        <v>5.3697999999999997</v>
      </c>
      <c r="E65" s="17">
        <f>CHOOSE(CONTROL!$C$42, 5.4009, 5.4009) * CHOOSE(CONTROL!$C$21, $C$9, 100%, $E$9)</f>
        <v>5.4009</v>
      </c>
      <c r="F65" s="17">
        <f>CHOOSE(CONTROL!$C$42, 5.1278, 5.1278)*CHOOSE(CONTROL!$C$21, $C$9, 100%, $E$9)</f>
        <v>5.1277999999999997</v>
      </c>
      <c r="G65" s="17">
        <f>CHOOSE(CONTROL!$C$42, 5.1441, 5.1441)*CHOOSE(CONTROL!$C$21, $C$9, 100%, $E$9)</f>
        <v>5.1440999999999999</v>
      </c>
      <c r="H65" s="17">
        <f>CHOOSE(CONTROL!$C$42, 5.3893, 5.3893) * CHOOSE(CONTROL!$C$21, $C$9, 100%, $E$9)</f>
        <v>5.3893000000000004</v>
      </c>
      <c r="I65" s="17">
        <f>CHOOSE(CONTROL!$C$42, 5.1544, 5.1544)* CHOOSE(CONTROL!$C$21, $C$9, 100%, $E$9)</f>
        <v>5.1543999999999999</v>
      </c>
      <c r="J65" s="17">
        <f>CHOOSE(CONTROL!$C$42, 5.1204, 5.1204)* CHOOSE(CONTROL!$C$21, $C$9, 100%, $E$9)</f>
        <v>5.1204000000000001</v>
      </c>
      <c r="K65" s="52">
        <f>CHOOSE(CONTROL!$C$42, 5.1484, 5.1484) * CHOOSE(CONTROL!$C$21, $C$9, 100%, $E$9)</f>
        <v>5.1483999999999996</v>
      </c>
      <c r="L65" s="17">
        <f>CHOOSE(CONTROL!$C$42, 5.9763, 5.9763) * CHOOSE(CONTROL!$C$21, $C$9, 100%, $E$9)</f>
        <v>5.9763000000000002</v>
      </c>
      <c r="M65" s="17">
        <f>CHOOSE(CONTROL!$C$42, 5.0814, 5.0814) * CHOOSE(CONTROL!$C$21, $C$9, 100%, $E$9)</f>
        <v>5.0814000000000004</v>
      </c>
      <c r="N65" s="17">
        <f>CHOOSE(CONTROL!$C$42, 5.0975, 5.0975) * CHOOSE(CONTROL!$C$21, $C$9, 100%, $E$9)</f>
        <v>5.0975000000000001</v>
      </c>
      <c r="O65" s="17">
        <f>CHOOSE(CONTROL!$C$42, 5.3478, 5.3478) * CHOOSE(CONTROL!$C$21, $C$9, 100%, $E$9)</f>
        <v>5.3478000000000003</v>
      </c>
      <c r="P65" s="17">
        <f>CHOOSE(CONTROL!$C$42, 5.115, 5.115) * CHOOSE(CONTROL!$C$21, $C$9, 100%, $E$9)</f>
        <v>5.1150000000000002</v>
      </c>
      <c r="Q65" s="17">
        <f>CHOOSE(CONTROL!$C$42, 5.9425, 5.9425) * CHOOSE(CONTROL!$C$21, $C$9, 100%, $E$9)</f>
        <v>5.9424999999999999</v>
      </c>
      <c r="R65" s="17">
        <f>CHOOSE(CONTROL!$C$42, 6.5443, 6.5443) * CHOOSE(CONTROL!$C$21, $C$9, 100%, $E$9)</f>
        <v>6.5442999999999998</v>
      </c>
      <c r="S65" s="17">
        <f>CHOOSE(CONTROL!$C$42, 4.9507, 4.9507) * CHOOSE(CONTROL!$C$21, $C$9, 100%, $E$9)</f>
        <v>4.9507000000000003</v>
      </c>
      <c r="T6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65" s="56">
        <f>(1000*CHOOSE(CONTROL!$C$42, 695, 695)*CHOOSE(CONTROL!$C$42, 0.5599, 0.5599)*CHOOSE(CONTROL!$C$42, 31, 31))/1000000</f>
        <v>12.063045499999998</v>
      </c>
      <c r="V65" s="56">
        <f>(1000*CHOOSE(CONTROL!$C$42, 580, 580)*CHOOSE(CONTROL!$C$42, 0.275, 0.275)*CHOOSE(CONTROL!$C$42, 31, 31))/1000000</f>
        <v>4.9444999999999997</v>
      </c>
      <c r="W65" s="56">
        <f>(1000*CHOOSE(CONTROL!$C$42, 0.0916, 0.0916)*CHOOSE(CONTROL!$C$42, 121.5, 121.5)*CHOOSE(CONTROL!$C$42, 31, 31))/1000000</f>
        <v>0.34501139999999997</v>
      </c>
      <c r="X65" s="56">
        <f>(31*0.1790888*145000/1000000)+(31*0.2374*100000/1000000)</f>
        <v>1.5409441560000001</v>
      </c>
      <c r="Y65" s="56"/>
      <c r="Z65" s="17"/>
      <c r="AA65" s="55"/>
      <c r="AB65" s="48">
        <f>(B65*194.205+C65*267.466+D65*133.845+E65*153.484+F65*40+G65*85+H65*0+I65*100+J65*300)/(194.205+267.466+133.845+153.484+0+40+85+100+300)</f>
        <v>5.1854331655416006</v>
      </c>
      <c r="AC65" s="45">
        <f>(M65*'RAP TEMPLATE-GAS AVAILABILITY'!O64+N65*'RAP TEMPLATE-GAS AVAILABILITY'!P64+O65*'RAP TEMPLATE-GAS AVAILABILITY'!Q64+P65*'RAP TEMPLATE-GAS AVAILABILITY'!R64)/('RAP TEMPLATE-GAS AVAILABILITY'!O64+'RAP TEMPLATE-GAS AVAILABILITY'!P64+'RAP TEMPLATE-GAS AVAILABILITY'!Q64+'RAP TEMPLATE-GAS AVAILABILITY'!R64)</f>
        <v>5.1646863309352522</v>
      </c>
    </row>
    <row r="66" spans="1:29" ht="15.75" x14ac:dyDescent="0.25">
      <c r="A66" s="16">
        <v>42887</v>
      </c>
      <c r="B66" s="17">
        <f>CHOOSE(CONTROL!$C$42, 5.2729, 5.2729) * CHOOSE(CONTROL!$C$21, $C$9, 100%, $E$9)</f>
        <v>5.2728999999999999</v>
      </c>
      <c r="C66" s="17">
        <f>CHOOSE(CONTROL!$C$42, 5.2809, 5.2809) * CHOOSE(CONTROL!$C$21, $C$9, 100%, $E$9)</f>
        <v>5.2808999999999999</v>
      </c>
      <c r="D66" s="17">
        <f>CHOOSE(CONTROL!$C$42, 5.5254, 5.5254) * CHOOSE(CONTROL!$C$21, $C$9, 100%, $E$9)</f>
        <v>5.5254000000000003</v>
      </c>
      <c r="E66" s="17">
        <f>CHOOSE(CONTROL!$C$42, 5.5565, 5.5565) * CHOOSE(CONTROL!$C$21, $C$9, 100%, $E$9)</f>
        <v>5.5564999999999998</v>
      </c>
      <c r="F66" s="17">
        <f>CHOOSE(CONTROL!$C$42, 5.2838, 5.2838)*CHOOSE(CONTROL!$C$21, $C$9, 100%, $E$9)</f>
        <v>5.2838000000000003</v>
      </c>
      <c r="G66" s="17">
        <f>CHOOSE(CONTROL!$C$42, 5.3001, 5.3001)*CHOOSE(CONTROL!$C$21, $C$9, 100%, $E$9)</f>
        <v>5.3000999999999996</v>
      </c>
      <c r="H66" s="17">
        <f>CHOOSE(CONTROL!$C$42, 5.5449, 5.5449) * CHOOSE(CONTROL!$C$21, $C$9, 100%, $E$9)</f>
        <v>5.5449000000000002</v>
      </c>
      <c r="I66" s="17">
        <f>CHOOSE(CONTROL!$C$42, 5.3105, 5.3105)* CHOOSE(CONTROL!$C$21, $C$9, 100%, $E$9)</f>
        <v>5.3105000000000002</v>
      </c>
      <c r="J66" s="17">
        <f>CHOOSE(CONTROL!$C$42, 5.2764, 5.2764)* CHOOSE(CONTROL!$C$21, $C$9, 100%, $E$9)</f>
        <v>5.2763999999999998</v>
      </c>
      <c r="K66" s="52">
        <f>CHOOSE(CONTROL!$C$42, 5.3045, 5.3045) * CHOOSE(CONTROL!$C$21, $C$9, 100%, $E$9)</f>
        <v>5.3045</v>
      </c>
      <c r="L66" s="17">
        <f>CHOOSE(CONTROL!$C$42, 6.1319, 6.1319) * CHOOSE(CONTROL!$C$21, $C$9, 100%, $E$9)</f>
        <v>6.1318999999999999</v>
      </c>
      <c r="M66" s="17">
        <f>CHOOSE(CONTROL!$C$42, 5.2359, 5.2359) * CHOOSE(CONTROL!$C$21, $C$9, 100%, $E$9)</f>
        <v>5.2359</v>
      </c>
      <c r="N66" s="17">
        <f>CHOOSE(CONTROL!$C$42, 5.2521, 5.2521) * CHOOSE(CONTROL!$C$21, $C$9, 100%, $E$9)</f>
        <v>5.2521000000000004</v>
      </c>
      <c r="O66" s="17">
        <f>CHOOSE(CONTROL!$C$42, 5.502, 5.502) * CHOOSE(CONTROL!$C$21, $C$9, 100%, $E$9)</f>
        <v>5.5019999999999998</v>
      </c>
      <c r="P66" s="17">
        <f>CHOOSE(CONTROL!$C$42, 5.2697, 5.2697) * CHOOSE(CONTROL!$C$21, $C$9, 100%, $E$9)</f>
        <v>5.2697000000000003</v>
      </c>
      <c r="Q66" s="17">
        <f>CHOOSE(CONTROL!$C$42, 6.0967, 6.0967) * CHOOSE(CONTROL!$C$21, $C$9, 100%, $E$9)</f>
        <v>6.0967000000000002</v>
      </c>
      <c r="R66" s="17">
        <f>CHOOSE(CONTROL!$C$42, 6.6989, 6.6989) * CHOOSE(CONTROL!$C$21, $C$9, 100%, $E$9)</f>
        <v>6.6989000000000001</v>
      </c>
      <c r="S66" s="17">
        <f>CHOOSE(CONTROL!$C$42, 5.1016, 5.1016) * CHOOSE(CONTROL!$C$21, $C$9, 100%, $E$9)</f>
        <v>5.1016000000000004</v>
      </c>
      <c r="T6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66" s="56">
        <f>(1000*CHOOSE(CONTROL!$C$42, 695, 695)*CHOOSE(CONTROL!$C$42, 0.5599, 0.5599)*CHOOSE(CONTROL!$C$42, 30, 30))/1000000</f>
        <v>11.673914999999997</v>
      </c>
      <c r="V66" s="56">
        <f>(1000*CHOOSE(CONTROL!$C$42, 580, 580)*CHOOSE(CONTROL!$C$42, 0.275, 0.275)*CHOOSE(CONTROL!$C$42, 30, 30))/1000000</f>
        <v>4.7850000000000001</v>
      </c>
      <c r="W66" s="56">
        <f>(1000*CHOOSE(CONTROL!$C$42, 0.0916, 0.0916)*CHOOSE(CONTROL!$C$42, 121.5, 121.5)*CHOOSE(CONTROL!$C$42, 30, 30))/1000000</f>
        <v>0.33388200000000001</v>
      </c>
      <c r="X66" s="56">
        <f>(30*0.1790888*145000/1000000)+(30*0.2374*100000/1000000)</f>
        <v>1.4912362799999999</v>
      </c>
      <c r="Y66" s="56"/>
      <c r="Z66" s="17"/>
      <c r="AA66" s="55"/>
      <c r="AB66" s="48">
        <f>(B66*194.205+C66*267.466+D66*133.845+E66*153.484+F66*40+G66*85+H66*0+I66*100+J66*300)/(194.205+267.466+133.845+153.484+0+40+85+100+300)</f>
        <v>5.3412058500000006</v>
      </c>
      <c r="AC66" s="45">
        <f>(M66*'RAP TEMPLATE-GAS AVAILABILITY'!O65+N66*'RAP TEMPLATE-GAS AVAILABILITY'!P65+O66*'RAP TEMPLATE-GAS AVAILABILITY'!Q65+P66*'RAP TEMPLATE-GAS AVAILABILITY'!R65)/('RAP TEMPLATE-GAS AVAILABILITY'!O65+'RAP TEMPLATE-GAS AVAILABILITY'!P65+'RAP TEMPLATE-GAS AVAILABILITY'!Q65+'RAP TEMPLATE-GAS AVAILABILITY'!R65)</f>
        <v>5.3191539568345325</v>
      </c>
    </row>
    <row r="67" spans="1:29" ht="15.75" x14ac:dyDescent="0.25">
      <c r="A67" s="16">
        <v>42917</v>
      </c>
      <c r="B67" s="17">
        <f>CHOOSE(CONTROL!$C$42, 5.1826, 5.1826) * CHOOSE(CONTROL!$C$21, $C$9, 100%, $E$9)</f>
        <v>5.1825999999999999</v>
      </c>
      <c r="C67" s="17">
        <f>CHOOSE(CONTROL!$C$42, 5.1906, 5.1906) * CHOOSE(CONTROL!$C$21, $C$9, 100%, $E$9)</f>
        <v>5.1905999999999999</v>
      </c>
      <c r="D67" s="17">
        <f>CHOOSE(CONTROL!$C$42, 5.4351, 5.4351) * CHOOSE(CONTROL!$C$21, $C$9, 100%, $E$9)</f>
        <v>5.4351000000000003</v>
      </c>
      <c r="E67" s="17">
        <f>CHOOSE(CONTROL!$C$42, 5.4663, 5.4663) * CHOOSE(CONTROL!$C$21, $C$9, 100%, $E$9)</f>
        <v>5.4663000000000004</v>
      </c>
      <c r="F67" s="17">
        <f>CHOOSE(CONTROL!$C$42, 5.1939, 5.1939)*CHOOSE(CONTROL!$C$21, $C$9, 100%, $E$9)</f>
        <v>5.1939000000000002</v>
      </c>
      <c r="G67" s="17">
        <f>CHOOSE(CONTROL!$C$42, 5.2104, 5.2104)*CHOOSE(CONTROL!$C$21, $C$9, 100%, $E$9)</f>
        <v>5.2103999999999999</v>
      </c>
      <c r="H67" s="17">
        <f>CHOOSE(CONTROL!$C$42, 5.4546, 5.4546) * CHOOSE(CONTROL!$C$21, $C$9, 100%, $E$9)</f>
        <v>5.4546000000000001</v>
      </c>
      <c r="I67" s="17">
        <f>CHOOSE(CONTROL!$C$42, 5.22, 5.22)* CHOOSE(CONTROL!$C$21, $C$9, 100%, $E$9)</f>
        <v>5.22</v>
      </c>
      <c r="J67" s="17">
        <f>CHOOSE(CONTROL!$C$42, 5.1865, 5.1865)* CHOOSE(CONTROL!$C$21, $C$9, 100%, $E$9)</f>
        <v>5.1864999999999997</v>
      </c>
      <c r="K67" s="52">
        <f>CHOOSE(CONTROL!$C$42, 5.2139, 5.2139) * CHOOSE(CONTROL!$C$21, $C$9, 100%, $E$9)</f>
        <v>5.2138999999999998</v>
      </c>
      <c r="L67" s="17">
        <f>CHOOSE(CONTROL!$C$42, 6.0416, 6.0416) * CHOOSE(CONTROL!$C$21, $C$9, 100%, $E$9)</f>
        <v>6.0415999999999999</v>
      </c>
      <c r="M67" s="17">
        <f>CHOOSE(CONTROL!$C$42, 5.1469, 5.1469) * CHOOSE(CONTROL!$C$21, $C$9, 100%, $E$9)</f>
        <v>5.1468999999999996</v>
      </c>
      <c r="N67" s="17">
        <f>CHOOSE(CONTROL!$C$42, 5.1632, 5.1632) * CHOOSE(CONTROL!$C$21, $C$9, 100%, $E$9)</f>
        <v>5.1631999999999998</v>
      </c>
      <c r="O67" s="17">
        <f>CHOOSE(CONTROL!$C$42, 5.4125, 5.4125) * CHOOSE(CONTROL!$C$21, $C$9, 100%, $E$9)</f>
        <v>5.4124999999999996</v>
      </c>
      <c r="P67" s="17">
        <f>CHOOSE(CONTROL!$C$42, 5.1799, 5.1799) * CHOOSE(CONTROL!$C$21, $C$9, 100%, $E$9)</f>
        <v>5.1798999999999999</v>
      </c>
      <c r="Q67" s="17">
        <f>CHOOSE(CONTROL!$C$42, 6.0072, 6.0072) * CHOOSE(CONTROL!$C$21, $C$9, 100%, $E$9)</f>
        <v>6.0072000000000001</v>
      </c>
      <c r="R67" s="17">
        <f>CHOOSE(CONTROL!$C$42, 6.6092, 6.6092) * CHOOSE(CONTROL!$C$21, $C$9, 100%, $E$9)</f>
        <v>6.6092000000000004</v>
      </c>
      <c r="S67" s="17">
        <f>CHOOSE(CONTROL!$C$42, 5.014, 5.014) * CHOOSE(CONTROL!$C$21, $C$9, 100%, $E$9)</f>
        <v>5.0140000000000002</v>
      </c>
      <c r="T6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67" s="56">
        <f>(1000*CHOOSE(CONTROL!$C$42, 695, 695)*CHOOSE(CONTROL!$C$42, 0.5599, 0.5599)*CHOOSE(CONTROL!$C$42, 31, 31))/1000000</f>
        <v>12.063045499999998</v>
      </c>
      <c r="V67" s="56">
        <f>(1000*CHOOSE(CONTROL!$C$42, 580, 580)*CHOOSE(CONTROL!$C$42, 0.275, 0.275)*CHOOSE(CONTROL!$C$42, 31, 31))/1000000</f>
        <v>4.9444999999999997</v>
      </c>
      <c r="W67" s="56">
        <f>(1000*CHOOSE(CONTROL!$C$42, 0.0916, 0.0916)*CHOOSE(CONTROL!$C$42, 121.5, 121.5)*CHOOSE(CONTROL!$C$42, 31, 31))/1000000</f>
        <v>0.34501139999999997</v>
      </c>
      <c r="X67" s="56">
        <f>(31*0.1790888*145000/1000000)+(31*0.2374*100000/1000000)</f>
        <v>1.5409441560000001</v>
      </c>
      <c r="Y67" s="56"/>
      <c r="Z67" s="17"/>
      <c r="AA67" s="55"/>
      <c r="AB67" s="48">
        <f>(B67*194.205+C67*267.466+D67*133.845+E67*153.484+F67*40+G67*85+H67*0+I67*100+J67*300)/(194.205+267.466+133.845+153.484+0+40+85+100+300)</f>
        <v>5.2510489806122447</v>
      </c>
      <c r="AC67" s="45">
        <f>(M67*'RAP TEMPLATE-GAS AVAILABILITY'!O66+N67*'RAP TEMPLATE-GAS AVAILABILITY'!P66+O67*'RAP TEMPLATE-GAS AVAILABILITY'!Q66+P67*'RAP TEMPLATE-GAS AVAILABILITY'!R66)/('RAP TEMPLATE-GAS AVAILABILITY'!O66+'RAP TEMPLATE-GAS AVAILABILITY'!P66+'RAP TEMPLATE-GAS AVAILABILITY'!Q66+'RAP TEMPLATE-GAS AVAILABILITY'!R66)</f>
        <v>5.2299215827338132</v>
      </c>
    </row>
    <row r="68" spans="1:29" ht="15.75" x14ac:dyDescent="0.25">
      <c r="A68" s="16">
        <v>42948</v>
      </c>
      <c r="B68" s="17">
        <f>CHOOSE(CONTROL!$C$42, 4.9374, 4.9374) * CHOOSE(CONTROL!$C$21, $C$9, 100%, $E$9)</f>
        <v>4.9374000000000002</v>
      </c>
      <c r="C68" s="17">
        <f>CHOOSE(CONTROL!$C$42, 4.9454, 4.9454) * CHOOSE(CONTROL!$C$21, $C$9, 100%, $E$9)</f>
        <v>4.9454000000000002</v>
      </c>
      <c r="D68" s="17">
        <f>CHOOSE(CONTROL!$C$42, 5.1898, 5.1898) * CHOOSE(CONTROL!$C$21, $C$9, 100%, $E$9)</f>
        <v>5.1898</v>
      </c>
      <c r="E68" s="17">
        <f>CHOOSE(CONTROL!$C$42, 5.221, 5.221) * CHOOSE(CONTROL!$C$21, $C$9, 100%, $E$9)</f>
        <v>5.2210000000000001</v>
      </c>
      <c r="F68" s="17">
        <f>CHOOSE(CONTROL!$C$42, 4.9489, 4.9489)*CHOOSE(CONTROL!$C$21, $C$9, 100%, $E$9)</f>
        <v>4.9489000000000001</v>
      </c>
      <c r="G68" s="17">
        <f>CHOOSE(CONTROL!$C$42, 4.9654, 4.9654)*CHOOSE(CONTROL!$C$21, $C$9, 100%, $E$9)</f>
        <v>4.9653999999999998</v>
      </c>
      <c r="H68" s="17">
        <f>CHOOSE(CONTROL!$C$42, 5.2093, 5.2093) * CHOOSE(CONTROL!$C$21, $C$9, 100%, $E$9)</f>
        <v>5.2092999999999998</v>
      </c>
      <c r="I68" s="17">
        <f>CHOOSE(CONTROL!$C$42, 4.974, 4.974)* CHOOSE(CONTROL!$C$21, $C$9, 100%, $E$9)</f>
        <v>4.9740000000000002</v>
      </c>
      <c r="J68" s="17">
        <f>CHOOSE(CONTROL!$C$42, 4.9415, 4.9415)* CHOOSE(CONTROL!$C$21, $C$9, 100%, $E$9)</f>
        <v>4.9414999999999996</v>
      </c>
      <c r="K68" s="52">
        <f>CHOOSE(CONTROL!$C$42, 4.9679, 4.9679) * CHOOSE(CONTROL!$C$21, $C$9, 100%, $E$9)</f>
        <v>4.9679000000000002</v>
      </c>
      <c r="L68" s="17">
        <f>CHOOSE(CONTROL!$C$42, 5.7963, 5.7963) * CHOOSE(CONTROL!$C$21, $C$9, 100%, $E$9)</f>
        <v>5.7962999999999996</v>
      </c>
      <c r="M68" s="17">
        <f>CHOOSE(CONTROL!$C$42, 4.9041, 4.9041) * CHOOSE(CONTROL!$C$21, $C$9, 100%, $E$9)</f>
        <v>4.9040999999999997</v>
      </c>
      <c r="N68" s="17">
        <f>CHOOSE(CONTROL!$C$42, 4.9205, 4.9205) * CHOOSE(CONTROL!$C$21, $C$9, 100%, $E$9)</f>
        <v>4.9204999999999997</v>
      </c>
      <c r="O68" s="17">
        <f>CHOOSE(CONTROL!$C$42, 5.1695, 5.1695) * CHOOSE(CONTROL!$C$21, $C$9, 100%, $E$9)</f>
        <v>5.1695000000000002</v>
      </c>
      <c r="P68" s="17">
        <f>CHOOSE(CONTROL!$C$42, 4.9362, 4.9362) * CHOOSE(CONTROL!$C$21, $C$9, 100%, $E$9)</f>
        <v>4.9362000000000004</v>
      </c>
      <c r="Q68" s="17">
        <f>CHOOSE(CONTROL!$C$42, 5.7642, 5.7642) * CHOOSE(CONTROL!$C$21, $C$9, 100%, $E$9)</f>
        <v>5.7641999999999998</v>
      </c>
      <c r="R68" s="17">
        <f>CHOOSE(CONTROL!$C$42, 6.3656, 6.3656) * CHOOSE(CONTROL!$C$21, $C$9, 100%, $E$9)</f>
        <v>6.3655999999999997</v>
      </c>
      <c r="S68" s="17">
        <f>CHOOSE(CONTROL!$C$42, 4.7762, 4.7762) * CHOOSE(CONTROL!$C$21, $C$9, 100%, $E$9)</f>
        <v>4.7762000000000002</v>
      </c>
      <c r="T6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68" s="56">
        <f>(1000*CHOOSE(CONTROL!$C$42, 695, 695)*CHOOSE(CONTROL!$C$42, 0.5599, 0.5599)*CHOOSE(CONTROL!$C$42, 31, 31))/1000000</f>
        <v>12.063045499999998</v>
      </c>
      <c r="V68" s="56">
        <f>(1000*CHOOSE(CONTROL!$C$42, 580, 580)*CHOOSE(CONTROL!$C$42, 0.275, 0.275)*CHOOSE(CONTROL!$C$42, 31, 31))/1000000</f>
        <v>4.9444999999999997</v>
      </c>
      <c r="W68" s="56">
        <f>(1000*CHOOSE(CONTROL!$C$42, 0.0916, 0.0916)*CHOOSE(CONTROL!$C$42, 121.5, 121.5)*CHOOSE(CONTROL!$C$42, 31, 31))/1000000</f>
        <v>0.34501139999999997</v>
      </c>
      <c r="X68" s="56">
        <f>(31*0.1790888*145000/1000000)+(31*0.2374*100000/1000000)</f>
        <v>1.5409441560000001</v>
      </c>
      <c r="Y68" s="56"/>
      <c r="Z68" s="17"/>
      <c r="AA68" s="55"/>
      <c r="AB68" s="48">
        <f>(B68*194.205+C68*267.466+D68*133.845+E68*153.484+F68*40+G68*85+H68*0+I68*100+J68*300)/(194.205+267.466+133.845+153.484+0+40+85+100+300)</f>
        <v>5.0058303519623237</v>
      </c>
      <c r="AC68" s="45">
        <f>(M68*'RAP TEMPLATE-GAS AVAILABILITY'!O67+N68*'RAP TEMPLATE-GAS AVAILABILITY'!P67+O68*'RAP TEMPLATE-GAS AVAILABILITY'!Q67+P68*'RAP TEMPLATE-GAS AVAILABILITY'!R67)/('RAP TEMPLATE-GAS AVAILABILITY'!O67+'RAP TEMPLATE-GAS AVAILABILITY'!P67+'RAP TEMPLATE-GAS AVAILABILITY'!Q67+'RAP TEMPLATE-GAS AVAILABILITY'!R67)</f>
        <v>4.9869589928057554</v>
      </c>
    </row>
    <row r="69" spans="1:29" ht="15.75" x14ac:dyDescent="0.25">
      <c r="A69" s="16">
        <v>42979</v>
      </c>
      <c r="B69" s="17">
        <f>CHOOSE(CONTROL!$C$42, 4.634, 4.634) * CHOOSE(CONTROL!$C$21, $C$9, 100%, $E$9)</f>
        <v>4.6340000000000003</v>
      </c>
      <c r="C69" s="17">
        <f>CHOOSE(CONTROL!$C$42, 4.642, 4.642) * CHOOSE(CONTROL!$C$21, $C$9, 100%, $E$9)</f>
        <v>4.6420000000000003</v>
      </c>
      <c r="D69" s="17">
        <f>CHOOSE(CONTROL!$C$42, 4.8865, 4.8865) * CHOOSE(CONTROL!$C$21, $C$9, 100%, $E$9)</f>
        <v>4.8864999999999998</v>
      </c>
      <c r="E69" s="17">
        <f>CHOOSE(CONTROL!$C$42, 4.9176, 4.9176) * CHOOSE(CONTROL!$C$21, $C$9, 100%, $E$9)</f>
        <v>4.9176000000000002</v>
      </c>
      <c r="F69" s="17">
        <f>CHOOSE(CONTROL!$C$42, 4.6456, 4.6456)*CHOOSE(CONTROL!$C$21, $C$9, 100%, $E$9)</f>
        <v>4.6456</v>
      </c>
      <c r="G69" s="17">
        <f>CHOOSE(CONTROL!$C$42, 4.6621, 4.6621)*CHOOSE(CONTROL!$C$21, $C$9, 100%, $E$9)</f>
        <v>4.6620999999999997</v>
      </c>
      <c r="H69" s="17">
        <f>CHOOSE(CONTROL!$C$42, 4.906, 4.906) * CHOOSE(CONTROL!$C$21, $C$9, 100%, $E$9)</f>
        <v>4.9059999999999997</v>
      </c>
      <c r="I69" s="17">
        <f>CHOOSE(CONTROL!$C$42, 4.6697, 4.6697)* CHOOSE(CONTROL!$C$21, $C$9, 100%, $E$9)</f>
        <v>4.6696999999999997</v>
      </c>
      <c r="J69" s="17">
        <f>CHOOSE(CONTROL!$C$42, 4.6382, 4.6382)* CHOOSE(CONTROL!$C$21, $C$9, 100%, $E$9)</f>
        <v>4.6382000000000003</v>
      </c>
      <c r="K69" s="52">
        <f>CHOOSE(CONTROL!$C$42, 4.6636, 4.6636) * CHOOSE(CONTROL!$C$21, $C$9, 100%, $E$9)</f>
        <v>4.6635999999999997</v>
      </c>
      <c r="L69" s="17">
        <f>CHOOSE(CONTROL!$C$42, 5.493, 5.493) * CHOOSE(CONTROL!$C$21, $C$9, 100%, $E$9)</f>
        <v>5.4930000000000003</v>
      </c>
      <c r="M69" s="17">
        <f>CHOOSE(CONTROL!$C$42, 4.6035, 4.6035) * CHOOSE(CONTROL!$C$21, $C$9, 100%, $E$9)</f>
        <v>4.6035000000000004</v>
      </c>
      <c r="N69" s="17">
        <f>CHOOSE(CONTROL!$C$42, 4.6199, 4.6199) * CHOOSE(CONTROL!$C$21, $C$9, 100%, $E$9)</f>
        <v>4.6199000000000003</v>
      </c>
      <c r="O69" s="17">
        <f>CHOOSE(CONTROL!$C$42, 4.8688, 4.8688) * CHOOSE(CONTROL!$C$21, $C$9, 100%, $E$9)</f>
        <v>4.8688000000000002</v>
      </c>
      <c r="P69" s="17">
        <f>CHOOSE(CONTROL!$C$42, 4.6346, 4.6346) * CHOOSE(CONTROL!$C$21, $C$9, 100%, $E$9)</f>
        <v>4.6345999999999998</v>
      </c>
      <c r="Q69" s="17">
        <f>CHOOSE(CONTROL!$C$42, 5.4635, 5.4635) * CHOOSE(CONTROL!$C$21, $C$9, 100%, $E$9)</f>
        <v>5.4634999999999998</v>
      </c>
      <c r="R69" s="17">
        <f>CHOOSE(CONTROL!$C$42, 6.0642, 6.0642) * CHOOSE(CONTROL!$C$21, $C$9, 100%, $E$9)</f>
        <v>6.0641999999999996</v>
      </c>
      <c r="S69" s="17">
        <f>CHOOSE(CONTROL!$C$42, 4.482, 4.482) * CHOOSE(CONTROL!$C$21, $C$9, 100%, $E$9)</f>
        <v>4.4820000000000002</v>
      </c>
      <c r="T6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69" s="56">
        <f>(1000*CHOOSE(CONTROL!$C$42, 695, 695)*CHOOSE(CONTROL!$C$42, 0.5599, 0.5599)*CHOOSE(CONTROL!$C$42, 30, 30))/1000000</f>
        <v>11.673914999999997</v>
      </c>
      <c r="V69" s="56">
        <f>(1000*CHOOSE(CONTROL!$C$42, 580, 580)*CHOOSE(CONTROL!$C$42, 0.275, 0.275)*CHOOSE(CONTROL!$C$42, 30, 30))/1000000</f>
        <v>4.7850000000000001</v>
      </c>
      <c r="W69" s="56">
        <f>(1000*CHOOSE(CONTROL!$C$42, 0.0916, 0.0916)*CHOOSE(CONTROL!$C$42, 121.5, 121.5)*CHOOSE(CONTROL!$C$42, 30, 30))/1000000</f>
        <v>0.33388200000000001</v>
      </c>
      <c r="X69" s="56">
        <f>(30*0.1790888*145000/1000000)+(30*0.2374*100000/1000000)</f>
        <v>1.4912362799999999</v>
      </c>
      <c r="Y69" s="56"/>
      <c r="Z69" s="17"/>
      <c r="AA69" s="55"/>
      <c r="AB69" s="48">
        <f>(B69*194.205+C69*267.466+D69*133.845+E69*153.484+F69*40+G69*85+H69*0+I69*100+J69*300)/(194.205+267.466+133.845+153.484+0+40+85+100+300)</f>
        <v>4.7024035737048671</v>
      </c>
      <c r="AC69" s="45">
        <f>(M69*'RAP TEMPLATE-GAS AVAILABILITY'!O68+N69*'RAP TEMPLATE-GAS AVAILABILITY'!P68+O69*'RAP TEMPLATE-GAS AVAILABILITY'!Q68+P69*'RAP TEMPLATE-GAS AVAILABILITY'!R68)/('RAP TEMPLATE-GAS AVAILABILITY'!O68+'RAP TEMPLATE-GAS AVAILABILITY'!P68+'RAP TEMPLATE-GAS AVAILABILITY'!Q68+'RAP TEMPLATE-GAS AVAILABILITY'!R68)</f>
        <v>4.6861870503597132</v>
      </c>
    </row>
    <row r="70" spans="1:29" ht="15.75" x14ac:dyDescent="0.25">
      <c r="A70" s="16">
        <v>43009</v>
      </c>
      <c r="B70" s="17">
        <f>CHOOSE(CONTROL!$C$42, 4.5478, 4.5478) * CHOOSE(CONTROL!$C$21, $C$9, 100%, $E$9)</f>
        <v>4.5477999999999996</v>
      </c>
      <c r="C70" s="17">
        <f>CHOOSE(CONTROL!$C$42, 4.5531, 4.5531) * CHOOSE(CONTROL!$C$21, $C$9, 100%, $E$9)</f>
        <v>4.5530999999999997</v>
      </c>
      <c r="D70" s="17">
        <f>CHOOSE(CONTROL!$C$42, 4.8024, 4.8024) * CHOOSE(CONTROL!$C$21, $C$9, 100%, $E$9)</f>
        <v>4.8023999999999996</v>
      </c>
      <c r="E70" s="17">
        <f>CHOOSE(CONTROL!$C$42, 4.8313, 4.8313) * CHOOSE(CONTROL!$C$21, $C$9, 100%, $E$9)</f>
        <v>4.8312999999999997</v>
      </c>
      <c r="F70" s="17">
        <f>CHOOSE(CONTROL!$C$42, 4.5616, 4.5616)*CHOOSE(CONTROL!$C$21, $C$9, 100%, $E$9)</f>
        <v>4.5616000000000003</v>
      </c>
      <c r="G70" s="17">
        <f>CHOOSE(CONTROL!$C$42, 4.578, 4.578)*CHOOSE(CONTROL!$C$21, $C$9, 100%, $E$9)</f>
        <v>4.5780000000000003</v>
      </c>
      <c r="H70" s="17">
        <f>CHOOSE(CONTROL!$C$42, 4.8215, 4.8215) * CHOOSE(CONTROL!$C$21, $C$9, 100%, $E$9)</f>
        <v>4.8215000000000003</v>
      </c>
      <c r="I70" s="17">
        <f>CHOOSE(CONTROL!$C$42, 4.5849, 4.5849)* CHOOSE(CONTROL!$C$21, $C$9, 100%, $E$9)</f>
        <v>4.5849000000000002</v>
      </c>
      <c r="J70" s="17">
        <f>CHOOSE(CONTROL!$C$42, 4.5542, 4.5542)* CHOOSE(CONTROL!$C$21, $C$9, 100%, $E$9)</f>
        <v>4.5541999999999998</v>
      </c>
      <c r="K70" s="52">
        <f>CHOOSE(CONTROL!$C$42, 4.5788, 4.5788) * CHOOSE(CONTROL!$C$21, $C$9, 100%, $E$9)</f>
        <v>4.5788000000000002</v>
      </c>
      <c r="L70" s="17">
        <f>CHOOSE(CONTROL!$C$42, 5.4085, 5.4085) * CHOOSE(CONTROL!$C$21, $C$9, 100%, $E$9)</f>
        <v>5.4085000000000001</v>
      </c>
      <c r="M70" s="17">
        <f>CHOOSE(CONTROL!$C$42, 4.5202, 4.5202) * CHOOSE(CONTROL!$C$21, $C$9, 100%, $E$9)</f>
        <v>4.5202</v>
      </c>
      <c r="N70" s="17">
        <f>CHOOSE(CONTROL!$C$42, 4.5365, 4.5365) * CHOOSE(CONTROL!$C$21, $C$9, 100%, $E$9)</f>
        <v>4.5365000000000002</v>
      </c>
      <c r="O70" s="17">
        <f>CHOOSE(CONTROL!$C$42, 4.7851, 4.7851) * CHOOSE(CONTROL!$C$21, $C$9, 100%, $E$9)</f>
        <v>4.7850999999999999</v>
      </c>
      <c r="P70" s="17">
        <f>CHOOSE(CONTROL!$C$42, 4.5506, 4.5506) * CHOOSE(CONTROL!$C$21, $C$9, 100%, $E$9)</f>
        <v>4.5506000000000002</v>
      </c>
      <c r="Q70" s="17">
        <f>CHOOSE(CONTROL!$C$42, 5.3798, 5.3798) * CHOOSE(CONTROL!$C$21, $C$9, 100%, $E$9)</f>
        <v>5.3798000000000004</v>
      </c>
      <c r="R70" s="17">
        <f>CHOOSE(CONTROL!$C$42, 5.9803, 5.9803) * CHOOSE(CONTROL!$C$21, $C$9, 100%, $E$9)</f>
        <v>5.9802999999999997</v>
      </c>
      <c r="S70" s="17">
        <f>CHOOSE(CONTROL!$C$42, 4.4001, 4.4001) * CHOOSE(CONTROL!$C$21, $C$9, 100%, $E$9)</f>
        <v>4.4001000000000001</v>
      </c>
      <c r="T7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70" s="56">
        <f>(1000*CHOOSE(CONTROL!$C$42, 695, 695)*CHOOSE(CONTROL!$C$42, 0.5599, 0.5599)*CHOOSE(CONTROL!$C$42, 31, 31))/1000000</f>
        <v>12.063045499999998</v>
      </c>
      <c r="V70" s="56">
        <f>(1000*CHOOSE(CONTROL!$C$42, 580, 580)*CHOOSE(CONTROL!$C$42, 0.275, 0.275)*CHOOSE(CONTROL!$C$42, 31, 31))/1000000</f>
        <v>4.9444999999999997</v>
      </c>
      <c r="W70" s="56">
        <f>(1000*CHOOSE(CONTROL!$C$42, 0.0916, 0.0916)*CHOOSE(CONTROL!$C$42, 121.5, 121.5)*CHOOSE(CONTROL!$C$42, 31, 31))/1000000</f>
        <v>0.34501139999999997</v>
      </c>
      <c r="X70" s="56">
        <f>(31*0.1790888*145000/1000000)+(31*0.2374*100000/1000000)</f>
        <v>1.5409441560000001</v>
      </c>
      <c r="Y70" s="56"/>
      <c r="Z70" s="17"/>
      <c r="AA70" s="55"/>
      <c r="AB70" s="48">
        <f>(B70*131.881+C70*277.167+D70*79.08+E70*225.872+F70*40+G70*85+H70*0+I70*100+J70*300)/(131.881+277.167+79.08+225.872+0+40+85+100+300)</f>
        <v>4.6239795521388221</v>
      </c>
      <c r="AC70" s="45">
        <f>(M70*'RAP TEMPLATE-GAS AVAILABILITY'!O69+N70*'RAP TEMPLATE-GAS AVAILABILITY'!P69+O70*'RAP TEMPLATE-GAS AVAILABILITY'!Q69+P70*'RAP TEMPLATE-GAS AVAILABILITY'!R69)/('RAP TEMPLATE-GAS AVAILABILITY'!O69+'RAP TEMPLATE-GAS AVAILABILITY'!P69+'RAP TEMPLATE-GAS AVAILABILITY'!Q69+'RAP TEMPLATE-GAS AVAILABILITY'!R69)</f>
        <v>4.6026510791366908</v>
      </c>
    </row>
    <row r="71" spans="1:29" ht="15.75" x14ac:dyDescent="0.25">
      <c r="A71" s="16">
        <v>43040</v>
      </c>
      <c r="B71" s="17">
        <f>CHOOSE(CONTROL!$C$42, 4.6765, 4.6765) * CHOOSE(CONTROL!$C$21, $C$9, 100%, $E$9)</f>
        <v>4.6764999999999999</v>
      </c>
      <c r="C71" s="17">
        <f>CHOOSE(CONTROL!$C$42, 4.6816, 4.6816) * CHOOSE(CONTROL!$C$21, $C$9, 100%, $E$9)</f>
        <v>4.6816000000000004</v>
      </c>
      <c r="D71" s="17">
        <f>CHOOSE(CONTROL!$C$42, 4.7629, 4.7629) * CHOOSE(CONTROL!$C$21, $C$9, 100%, $E$9)</f>
        <v>4.7629000000000001</v>
      </c>
      <c r="E71" s="17">
        <f>CHOOSE(CONTROL!$C$42, 4.7967, 4.7967) * CHOOSE(CONTROL!$C$21, $C$9, 100%, $E$9)</f>
        <v>4.7967000000000004</v>
      </c>
      <c r="F71" s="17">
        <f>CHOOSE(CONTROL!$C$42, 4.6944, 4.6944)*CHOOSE(CONTROL!$C$21, $C$9, 100%, $E$9)</f>
        <v>4.6943999999999999</v>
      </c>
      <c r="G71" s="17">
        <f>CHOOSE(CONTROL!$C$42, 4.7112, 4.7112)*CHOOSE(CONTROL!$C$21, $C$9, 100%, $E$9)</f>
        <v>4.7111999999999998</v>
      </c>
      <c r="H71" s="17">
        <f>CHOOSE(CONTROL!$C$42, 4.7856, 4.7856) * CHOOSE(CONTROL!$C$21, $C$9, 100%, $E$9)</f>
        <v>4.7855999999999996</v>
      </c>
      <c r="I71" s="17">
        <f>CHOOSE(CONTROL!$C$42, 4.7159, 4.7159)* CHOOSE(CONTROL!$C$21, $C$9, 100%, $E$9)</f>
        <v>4.7159000000000004</v>
      </c>
      <c r="J71" s="17">
        <f>CHOOSE(CONTROL!$C$42, 4.687, 4.687)* CHOOSE(CONTROL!$C$21, $C$9, 100%, $E$9)</f>
        <v>4.6870000000000003</v>
      </c>
      <c r="K71" s="52">
        <f>CHOOSE(CONTROL!$C$42, 4.7099, 4.7099) * CHOOSE(CONTROL!$C$21, $C$9, 100%, $E$9)</f>
        <v>4.7099000000000002</v>
      </c>
      <c r="L71" s="17">
        <f>CHOOSE(CONTROL!$C$42, 5.3726, 5.3726) * CHOOSE(CONTROL!$C$21, $C$9, 100%, $E$9)</f>
        <v>5.3726000000000003</v>
      </c>
      <c r="M71" s="17">
        <f>CHOOSE(CONTROL!$C$42, 4.6519, 4.6519) * CHOOSE(CONTROL!$C$21, $C$9, 100%, $E$9)</f>
        <v>4.6519000000000004</v>
      </c>
      <c r="N71" s="17">
        <f>CHOOSE(CONTROL!$C$42, 4.6685, 4.6685) * CHOOSE(CONTROL!$C$21, $C$9, 100%, $E$9)</f>
        <v>4.6684999999999999</v>
      </c>
      <c r="O71" s="17">
        <f>CHOOSE(CONTROL!$C$42, 4.7495, 4.7495) * CHOOSE(CONTROL!$C$21, $C$9, 100%, $E$9)</f>
        <v>4.7495000000000003</v>
      </c>
      <c r="P71" s="17">
        <f>CHOOSE(CONTROL!$C$42, 4.6805, 4.6805) * CHOOSE(CONTROL!$C$21, $C$9, 100%, $E$9)</f>
        <v>4.6805000000000003</v>
      </c>
      <c r="Q71" s="17">
        <f>CHOOSE(CONTROL!$C$42, 5.3442, 5.3442) * CHOOSE(CONTROL!$C$21, $C$9, 100%, $E$9)</f>
        <v>5.3441999999999998</v>
      </c>
      <c r="R71" s="17">
        <f>CHOOSE(CONTROL!$C$42, 5.9446, 5.9446) * CHOOSE(CONTROL!$C$21, $C$9, 100%, $E$9)</f>
        <v>5.9446000000000003</v>
      </c>
      <c r="S71" s="17">
        <f>CHOOSE(CONTROL!$C$42, 4.5253, 4.5253) * CHOOSE(CONTROL!$C$21, $C$9, 100%, $E$9)</f>
        <v>4.5252999999999997</v>
      </c>
      <c r="T7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71" s="56">
        <f>(1000*CHOOSE(CONTROL!$C$42, 695, 695)*CHOOSE(CONTROL!$C$42, 0.5599, 0.5599)*CHOOSE(CONTROL!$C$42, 30, 30))/1000000</f>
        <v>11.673914999999997</v>
      </c>
      <c r="V71" s="56">
        <f>(1000*CHOOSE(CONTROL!$C$42, 580, 580)*CHOOSE(CONTROL!$C$42, 0.275, 0.275)*CHOOSE(CONTROL!$C$42, 30, 30))/1000000</f>
        <v>4.7850000000000001</v>
      </c>
      <c r="W71" s="56">
        <f>(1000*CHOOSE(CONTROL!$C$42, 0.0916, 0.0916)*CHOOSE(CONTROL!$C$42, 121.5, 121.5)*CHOOSE(CONTROL!$C$42, 30, 30))/1000000</f>
        <v>0.33388200000000001</v>
      </c>
      <c r="X71" s="56">
        <f>(30*0.2374*100000/1000000)</f>
        <v>0.71220000000000006</v>
      </c>
      <c r="Y71" s="56"/>
      <c r="Z71" s="17"/>
      <c r="AA71" s="55"/>
      <c r="AB71" s="48">
        <f>(B71*122.58+C71*297.941+D71*89.177+E71*140.302+F71*40+G71*60+H71*0+I71*100+J71*300)/(122.58+297.941+89.177+140.302+0+40+60+100+300)</f>
        <v>4.7077840802608693</v>
      </c>
      <c r="AC71" s="45">
        <f>(M71*'RAP TEMPLATE-GAS AVAILABILITY'!O70+N71*'RAP TEMPLATE-GAS AVAILABILITY'!P70+O71*'RAP TEMPLATE-GAS AVAILABILITY'!Q70+P71*'RAP TEMPLATE-GAS AVAILABILITY'!R70)/('RAP TEMPLATE-GAS AVAILABILITY'!O70+'RAP TEMPLATE-GAS AVAILABILITY'!P70+'RAP TEMPLATE-GAS AVAILABILITY'!Q70+'RAP TEMPLATE-GAS AVAILABILITY'!R70)</f>
        <v>4.701206474820145</v>
      </c>
    </row>
    <row r="72" spans="1:29" ht="15.75" x14ac:dyDescent="0.25">
      <c r="A72" s="16">
        <v>43070</v>
      </c>
      <c r="B72" s="17">
        <f>CHOOSE(CONTROL!$C$42, 5.0049, 5.0049) * CHOOSE(CONTROL!$C$21, $C$9, 100%, $E$9)</f>
        <v>5.0049000000000001</v>
      </c>
      <c r="C72" s="17">
        <f>CHOOSE(CONTROL!$C$42, 5.01, 5.01) * CHOOSE(CONTROL!$C$21, $C$9, 100%, $E$9)</f>
        <v>5.01</v>
      </c>
      <c r="D72" s="17">
        <f>CHOOSE(CONTROL!$C$42, 5.0913, 5.0913) * CHOOSE(CONTROL!$C$21, $C$9, 100%, $E$9)</f>
        <v>5.0913000000000004</v>
      </c>
      <c r="E72" s="17">
        <f>CHOOSE(CONTROL!$C$42, 5.1251, 5.1251) * CHOOSE(CONTROL!$C$21, $C$9, 100%, $E$9)</f>
        <v>5.1250999999999998</v>
      </c>
      <c r="F72" s="17">
        <f>CHOOSE(CONTROL!$C$42, 5.0252, 5.0252)*CHOOSE(CONTROL!$C$21, $C$9, 100%, $E$9)</f>
        <v>5.0251999999999999</v>
      </c>
      <c r="G72" s="17">
        <f>CHOOSE(CONTROL!$C$42, 5.0425, 5.0425)*CHOOSE(CONTROL!$C$21, $C$9, 100%, $E$9)</f>
        <v>5.0425000000000004</v>
      </c>
      <c r="H72" s="17">
        <f>CHOOSE(CONTROL!$C$42, 5.114, 5.114) * CHOOSE(CONTROL!$C$21, $C$9, 100%, $E$9)</f>
        <v>5.1139999999999999</v>
      </c>
      <c r="I72" s="17">
        <f>CHOOSE(CONTROL!$C$42, 5.0454, 5.0454)* CHOOSE(CONTROL!$C$21, $C$9, 100%, $E$9)</f>
        <v>5.0453999999999999</v>
      </c>
      <c r="J72" s="17">
        <f>CHOOSE(CONTROL!$C$42, 5.0178, 5.0178)* CHOOSE(CONTROL!$C$21, $C$9, 100%, $E$9)</f>
        <v>5.0178000000000003</v>
      </c>
      <c r="K72" s="52">
        <f>CHOOSE(CONTROL!$C$42, 5.0393, 5.0393) * CHOOSE(CONTROL!$C$21, $C$9, 100%, $E$9)</f>
        <v>5.0392999999999999</v>
      </c>
      <c r="L72" s="17">
        <f>CHOOSE(CONTROL!$C$42, 5.701, 5.701) * CHOOSE(CONTROL!$C$21, $C$9, 100%, $E$9)</f>
        <v>5.7009999999999996</v>
      </c>
      <c r="M72" s="17">
        <f>CHOOSE(CONTROL!$C$42, 4.9797, 4.9797) * CHOOSE(CONTROL!$C$21, $C$9, 100%, $E$9)</f>
        <v>4.9797000000000002</v>
      </c>
      <c r="N72" s="17">
        <f>CHOOSE(CONTROL!$C$42, 4.9969, 4.9969) * CHOOSE(CONTROL!$C$21, $C$9, 100%, $E$9)</f>
        <v>4.9969000000000001</v>
      </c>
      <c r="O72" s="17">
        <f>CHOOSE(CONTROL!$C$42, 5.075, 5.075) * CHOOSE(CONTROL!$C$21, $C$9, 100%, $E$9)</f>
        <v>5.0750000000000002</v>
      </c>
      <c r="P72" s="17">
        <f>CHOOSE(CONTROL!$C$42, 5.0069, 5.0069) * CHOOSE(CONTROL!$C$21, $C$9, 100%, $E$9)</f>
        <v>5.0068999999999999</v>
      </c>
      <c r="Q72" s="17">
        <f>CHOOSE(CONTROL!$C$42, 5.6697, 5.6697) * CHOOSE(CONTROL!$C$21, $C$9, 100%, $E$9)</f>
        <v>5.6696999999999997</v>
      </c>
      <c r="R72" s="17">
        <f>CHOOSE(CONTROL!$C$42, 6.2708, 6.2708) * CHOOSE(CONTROL!$C$21, $C$9, 100%, $E$9)</f>
        <v>6.2708000000000004</v>
      </c>
      <c r="S72" s="17">
        <f>CHOOSE(CONTROL!$C$42, 4.8437, 4.8437) * CHOOSE(CONTROL!$C$21, $C$9, 100%, $E$9)</f>
        <v>4.8437000000000001</v>
      </c>
      <c r="T7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72" s="56">
        <f>(1000*CHOOSE(CONTROL!$C$42, 695, 695)*CHOOSE(CONTROL!$C$42, 0.5599, 0.5599)*CHOOSE(CONTROL!$C$42, 31, 31))/1000000</f>
        <v>12.063045499999998</v>
      </c>
      <c r="V72" s="56">
        <f>(1000*CHOOSE(CONTROL!$C$42, 580, 580)*CHOOSE(CONTROL!$C$42, 0.275, 0.275)*CHOOSE(CONTROL!$C$42, 31, 31))/1000000</f>
        <v>4.9444999999999997</v>
      </c>
      <c r="W72" s="56">
        <f>(1000*CHOOSE(CONTROL!$C$42, 0.0916, 0.0916)*CHOOSE(CONTROL!$C$42, 121.5, 121.5)*CHOOSE(CONTROL!$C$42, 31, 31))/1000000</f>
        <v>0.34501139999999997</v>
      </c>
      <c r="X72" s="56">
        <f>(31*0.2374*100000/1000000)</f>
        <v>0.73594000000000004</v>
      </c>
      <c r="Y72" s="56"/>
      <c r="Z72" s="17"/>
      <c r="AA72" s="55"/>
      <c r="AB72" s="48">
        <f>(B72*122.58+C72*297.941+D72*89.177+E72*140.302+F72*40+G72*60+H72*0+I72*100+J72*300)/(122.58+297.941+89.177+140.302+0+40+60+100+300)</f>
        <v>5.037140602</v>
      </c>
      <c r="AC72" s="45">
        <f>(M72*'RAP TEMPLATE-GAS AVAILABILITY'!O71+N72*'RAP TEMPLATE-GAS AVAILABILITY'!P71+O72*'RAP TEMPLATE-GAS AVAILABILITY'!Q71+P72*'RAP TEMPLATE-GAS AVAILABILITY'!R71)/('RAP TEMPLATE-GAS AVAILABILITY'!O71+'RAP TEMPLATE-GAS AVAILABILITY'!P71+'RAP TEMPLATE-GAS AVAILABILITY'!Q71+'RAP TEMPLATE-GAS AVAILABILITY'!R71)</f>
        <v>5.0277971223021583</v>
      </c>
    </row>
    <row r="73" spans="1:29" ht="15.75" x14ac:dyDescent="0.25">
      <c r="A73" s="16">
        <v>43101</v>
      </c>
      <c r="B73" s="17">
        <f>CHOOSE(CONTROL!$C$42, 5.9473, 5.9473) * CHOOSE(CONTROL!$C$21, $C$9, 100%, $E$9)</f>
        <v>5.9473000000000003</v>
      </c>
      <c r="C73" s="17">
        <f>CHOOSE(CONTROL!$C$42, 5.9524, 5.9524) * CHOOSE(CONTROL!$C$21, $C$9, 100%, $E$9)</f>
        <v>5.9523999999999999</v>
      </c>
      <c r="D73" s="17">
        <f>CHOOSE(CONTROL!$C$42, 6.0492, 6.0492) * CHOOSE(CONTROL!$C$21, $C$9, 100%, $E$9)</f>
        <v>6.0491999999999999</v>
      </c>
      <c r="E73" s="17">
        <f>CHOOSE(CONTROL!$C$42, 6.083, 6.083) * CHOOSE(CONTROL!$C$21, $C$9, 100%, $E$9)</f>
        <v>6.0830000000000002</v>
      </c>
      <c r="F73" s="17">
        <f>CHOOSE(CONTROL!$C$42, 5.9615, 5.9615)*CHOOSE(CONTROL!$C$21, $C$9, 100%, $E$9)</f>
        <v>5.9615</v>
      </c>
      <c r="G73" s="17">
        <f>CHOOSE(CONTROL!$C$42, 5.978, 5.978)*CHOOSE(CONTROL!$C$21, $C$9, 100%, $E$9)</f>
        <v>5.9779999999999998</v>
      </c>
      <c r="H73" s="17">
        <f>CHOOSE(CONTROL!$C$42, 6.0718, 6.0718) * CHOOSE(CONTROL!$C$21, $C$9, 100%, $E$9)</f>
        <v>6.0717999999999996</v>
      </c>
      <c r="I73" s="17">
        <f>CHOOSE(CONTROL!$C$42, 5.9907, 5.9907)* CHOOSE(CONTROL!$C$21, $C$9, 100%, $E$9)</f>
        <v>5.9907000000000004</v>
      </c>
      <c r="J73" s="17">
        <f>CHOOSE(CONTROL!$C$42, 5.9541, 5.9541)* CHOOSE(CONTROL!$C$21, $C$9, 100%, $E$9)</f>
        <v>5.9541000000000004</v>
      </c>
      <c r="K73" s="52">
        <f>CHOOSE(CONTROL!$C$42, 5.9846, 5.9846) * CHOOSE(CONTROL!$C$21, $C$9, 100%, $E$9)</f>
        <v>5.9846000000000004</v>
      </c>
      <c r="L73" s="17">
        <f>CHOOSE(CONTROL!$C$42, 6.6588, 6.6588) * CHOOSE(CONTROL!$C$21, $C$9, 100%, $E$9)</f>
        <v>6.6588000000000003</v>
      </c>
      <c r="M73" s="17">
        <f>CHOOSE(CONTROL!$C$42, 5.9076, 5.9076) * CHOOSE(CONTROL!$C$21, $C$9, 100%, $E$9)</f>
        <v>5.9076000000000004</v>
      </c>
      <c r="N73" s="17">
        <f>CHOOSE(CONTROL!$C$42, 5.9239, 5.9239) * CHOOSE(CONTROL!$C$21, $C$9, 100%, $E$9)</f>
        <v>5.9238999999999997</v>
      </c>
      <c r="O73" s="17">
        <f>CHOOSE(CONTROL!$C$42, 6.0242, 6.0242) * CHOOSE(CONTROL!$C$21, $C$9, 100%, $E$9)</f>
        <v>6.0242000000000004</v>
      </c>
      <c r="P73" s="17">
        <f>CHOOSE(CONTROL!$C$42, 5.9437, 5.9437) * CHOOSE(CONTROL!$C$21, $C$9, 100%, $E$9)</f>
        <v>5.9436999999999998</v>
      </c>
      <c r="Q73" s="17">
        <f>CHOOSE(CONTROL!$C$42, 6.6189, 6.6189) * CHOOSE(CONTROL!$C$21, $C$9, 100%, $E$9)</f>
        <v>6.6189</v>
      </c>
      <c r="R73" s="17">
        <f>CHOOSE(CONTROL!$C$42, 7.2225, 7.2225) * CHOOSE(CONTROL!$C$21, $C$9, 100%, $E$9)</f>
        <v>7.2225000000000001</v>
      </c>
      <c r="S73" s="17">
        <f>CHOOSE(CONTROL!$C$42, 5.7576, 5.7576) * CHOOSE(CONTROL!$C$21, $C$9, 100%, $E$9)</f>
        <v>5.7576000000000001</v>
      </c>
      <c r="T7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73" s="56">
        <f>(1000*CHOOSE(CONTROL!$C$42, 695, 695)*CHOOSE(CONTROL!$C$42, 0.5599, 0.5599)*CHOOSE(CONTROL!$C$42, 31, 31))/1000000</f>
        <v>12.063045499999998</v>
      </c>
      <c r="V73" s="56">
        <f>(1000*CHOOSE(CONTROL!$C$42, 500, 500)*CHOOSE(CONTROL!$C$42, 0.275, 0.275)*CHOOSE(CONTROL!$C$42, 31, 31))/1000000</f>
        <v>4.2625000000000002</v>
      </c>
      <c r="W73" s="56">
        <f>(1000*CHOOSE(CONTROL!$C$42, 0.0916, 0.0916)*CHOOSE(CONTROL!$C$42, 121.5, 121.5)*CHOOSE(CONTROL!$C$42, 31, 31))/1000000</f>
        <v>0.34501139999999997</v>
      </c>
      <c r="X73" s="56">
        <f>(31*0.2374*100000/1000000)</f>
        <v>0.73594000000000004</v>
      </c>
      <c r="Y73" s="56"/>
      <c r="Z73" s="17"/>
      <c r="AA73" s="55"/>
      <c r="AB73" s="48">
        <f>(B73*122.58+C73*297.941+D73*89.177+E73*140.302+F73*40+G73*60+H73*0+I73*100+J73*300)/(122.58+297.941+89.177+140.302+0+40+60+100+300)</f>
        <v>5.9807222754782607</v>
      </c>
      <c r="AC73" s="45">
        <f>(M73*'RAP TEMPLATE-GAS AVAILABILITY'!O72+N73*'RAP TEMPLATE-GAS AVAILABILITY'!P72+O73*'RAP TEMPLATE-GAS AVAILABILITY'!Q72+P73*'RAP TEMPLATE-GAS AVAILABILITY'!R72)/('RAP TEMPLATE-GAS AVAILABILITY'!O72+'RAP TEMPLATE-GAS AVAILABILITY'!P72+'RAP TEMPLATE-GAS AVAILABILITY'!Q72+'RAP TEMPLATE-GAS AVAILABILITY'!R72)</f>
        <v>5.966579856115108</v>
      </c>
    </row>
    <row r="74" spans="1:29" ht="15.75" x14ac:dyDescent="0.25">
      <c r="A74" s="16">
        <v>43132</v>
      </c>
      <c r="B74" s="17">
        <f>CHOOSE(CONTROL!$C$42, 6.0654, 6.0654) * CHOOSE(CONTROL!$C$21, $C$9, 100%, $E$9)</f>
        <v>6.0654000000000003</v>
      </c>
      <c r="C74" s="17">
        <f>CHOOSE(CONTROL!$C$42, 6.0705, 6.0705) * CHOOSE(CONTROL!$C$21, $C$9, 100%, $E$9)</f>
        <v>6.0705</v>
      </c>
      <c r="D74" s="17">
        <f>CHOOSE(CONTROL!$C$42, 6.1673, 6.1673) * CHOOSE(CONTROL!$C$21, $C$9, 100%, $E$9)</f>
        <v>6.1673</v>
      </c>
      <c r="E74" s="17">
        <f>CHOOSE(CONTROL!$C$42, 6.2011, 6.2011) * CHOOSE(CONTROL!$C$21, $C$9, 100%, $E$9)</f>
        <v>6.2011000000000003</v>
      </c>
      <c r="F74" s="17">
        <f>CHOOSE(CONTROL!$C$42, 6.0797, 6.0797)*CHOOSE(CONTROL!$C$21, $C$9, 100%, $E$9)</f>
        <v>6.0796999999999999</v>
      </c>
      <c r="G74" s="17">
        <f>CHOOSE(CONTROL!$C$42, 6.0961, 6.0961)*CHOOSE(CONTROL!$C$21, $C$9, 100%, $E$9)</f>
        <v>6.0960999999999999</v>
      </c>
      <c r="H74" s="17">
        <f>CHOOSE(CONTROL!$C$42, 6.19, 6.19) * CHOOSE(CONTROL!$C$21, $C$9, 100%, $E$9)</f>
        <v>6.19</v>
      </c>
      <c r="I74" s="17">
        <f>CHOOSE(CONTROL!$C$42, 6.1092, 6.1092)* CHOOSE(CONTROL!$C$21, $C$9, 100%, $E$9)</f>
        <v>6.1092000000000004</v>
      </c>
      <c r="J74" s="17">
        <f>CHOOSE(CONTROL!$C$42, 6.0723, 6.0723)* CHOOSE(CONTROL!$C$21, $C$9, 100%, $E$9)</f>
        <v>6.0723000000000003</v>
      </c>
      <c r="K74" s="52">
        <f>CHOOSE(CONTROL!$C$42, 6.1031, 6.1031) * CHOOSE(CONTROL!$C$21, $C$9, 100%, $E$9)</f>
        <v>6.1031000000000004</v>
      </c>
      <c r="L74" s="17">
        <f>CHOOSE(CONTROL!$C$42, 6.777, 6.777) * CHOOSE(CONTROL!$C$21, $C$9, 100%, $E$9)</f>
        <v>6.7770000000000001</v>
      </c>
      <c r="M74" s="17">
        <f>CHOOSE(CONTROL!$C$42, 6.0247, 6.0247) * CHOOSE(CONTROL!$C$21, $C$9, 100%, $E$9)</f>
        <v>6.0247000000000002</v>
      </c>
      <c r="N74" s="17">
        <f>CHOOSE(CONTROL!$C$42, 6.0409, 6.0409) * CHOOSE(CONTROL!$C$21, $C$9, 100%, $E$9)</f>
        <v>6.0408999999999997</v>
      </c>
      <c r="O74" s="17">
        <f>CHOOSE(CONTROL!$C$42, 6.1413, 6.1413) * CHOOSE(CONTROL!$C$21, $C$9, 100%, $E$9)</f>
        <v>6.1413000000000002</v>
      </c>
      <c r="P74" s="17">
        <f>CHOOSE(CONTROL!$C$42, 6.0611, 6.0611) * CHOOSE(CONTROL!$C$21, $C$9, 100%, $E$9)</f>
        <v>6.0610999999999997</v>
      </c>
      <c r="Q74" s="17">
        <f>CHOOSE(CONTROL!$C$42, 6.736, 6.736) * CHOOSE(CONTROL!$C$21, $C$9, 100%, $E$9)</f>
        <v>6.7359999999999998</v>
      </c>
      <c r="R74" s="17">
        <f>CHOOSE(CONTROL!$C$42, 7.3398, 7.3398) * CHOOSE(CONTROL!$C$21, $C$9, 100%, $E$9)</f>
        <v>7.3398000000000003</v>
      </c>
      <c r="S74" s="17">
        <f>CHOOSE(CONTROL!$C$42, 5.8721, 5.8721) * CHOOSE(CONTROL!$C$21, $C$9, 100%, $E$9)</f>
        <v>5.8720999999999997</v>
      </c>
      <c r="T7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74" s="56">
        <f>(1000*CHOOSE(CONTROL!$C$42, 695, 695)*CHOOSE(CONTROL!$C$42, 0.5599, 0.5599)*CHOOSE(CONTROL!$C$42, 28, 28))/1000000</f>
        <v>10.895653999999999</v>
      </c>
      <c r="V74" s="56">
        <f>(1000*CHOOSE(CONTROL!$C$42, 500, 500)*CHOOSE(CONTROL!$C$42, 0.275, 0.275)*CHOOSE(CONTROL!$C$42, 28, 28))/1000000</f>
        <v>3.85</v>
      </c>
      <c r="W74" s="56">
        <f>(1000*CHOOSE(CONTROL!$C$42, 0.0916, 0.0916)*CHOOSE(CONTROL!$C$42, 121.5, 121.5)*CHOOSE(CONTROL!$C$42, 28, 28))/1000000</f>
        <v>0.31162319999999999</v>
      </c>
      <c r="X74" s="56">
        <f>(28*0.2374*100000/1000000)</f>
        <v>0.66471999999999998</v>
      </c>
      <c r="Y74" s="56"/>
      <c r="Z74" s="17"/>
      <c r="AA74" s="55"/>
      <c r="AB74" s="48">
        <f>(B74*122.58+C74*297.941+D74*89.177+E74*140.302+F74*40+G74*60+H74*0+I74*100+J74*300)/(122.58+297.941+89.177+140.302+0+40+60+100+300)</f>
        <v>6.0988866233043471</v>
      </c>
      <c r="AC74" s="45">
        <f>(M74*'RAP TEMPLATE-GAS AVAILABILITY'!O73+N74*'RAP TEMPLATE-GAS AVAILABILITY'!P73+O74*'RAP TEMPLATE-GAS AVAILABILITY'!Q73+P74*'RAP TEMPLATE-GAS AVAILABILITY'!R73)/('RAP TEMPLATE-GAS AVAILABILITY'!O73+'RAP TEMPLATE-GAS AVAILABILITY'!P73+'RAP TEMPLATE-GAS AVAILABILITY'!Q73+'RAP TEMPLATE-GAS AVAILABILITY'!R73)</f>
        <v>6.0837172661870502</v>
      </c>
    </row>
    <row r="75" spans="1:29" ht="15.75" x14ac:dyDescent="0.25">
      <c r="A75" s="16">
        <v>43160</v>
      </c>
      <c r="B75" s="17">
        <f>CHOOSE(CONTROL!$C$42, 5.9056, 5.9056) * CHOOSE(CONTROL!$C$21, $C$9, 100%, $E$9)</f>
        <v>5.9055999999999997</v>
      </c>
      <c r="C75" s="17">
        <f>CHOOSE(CONTROL!$C$42, 5.9107, 5.9107) * CHOOSE(CONTROL!$C$21, $C$9, 100%, $E$9)</f>
        <v>5.9107000000000003</v>
      </c>
      <c r="D75" s="17">
        <f>CHOOSE(CONTROL!$C$42, 6.0075, 6.0075) * CHOOSE(CONTROL!$C$21, $C$9, 100%, $E$9)</f>
        <v>6.0075000000000003</v>
      </c>
      <c r="E75" s="17">
        <f>CHOOSE(CONTROL!$C$42, 6.0413, 6.0413) * CHOOSE(CONTROL!$C$21, $C$9, 100%, $E$9)</f>
        <v>6.0412999999999997</v>
      </c>
      <c r="F75" s="17">
        <f>CHOOSE(CONTROL!$C$42, 5.9192, 5.9192)*CHOOSE(CONTROL!$C$21, $C$9, 100%, $E$9)</f>
        <v>5.9192</v>
      </c>
      <c r="G75" s="17">
        <f>CHOOSE(CONTROL!$C$42, 5.9355, 5.9355)*CHOOSE(CONTROL!$C$21, $C$9, 100%, $E$9)</f>
        <v>5.9355000000000002</v>
      </c>
      <c r="H75" s="17">
        <f>CHOOSE(CONTROL!$C$42, 6.0302, 6.0302) * CHOOSE(CONTROL!$C$21, $C$9, 100%, $E$9)</f>
        <v>6.0301999999999998</v>
      </c>
      <c r="I75" s="17">
        <f>CHOOSE(CONTROL!$C$42, 5.9489, 5.9489)* CHOOSE(CONTROL!$C$21, $C$9, 100%, $E$9)</f>
        <v>5.9489000000000001</v>
      </c>
      <c r="J75" s="17">
        <f>CHOOSE(CONTROL!$C$42, 5.9118, 5.9118)* CHOOSE(CONTROL!$C$21, $C$9, 100%, $E$9)</f>
        <v>5.9118000000000004</v>
      </c>
      <c r="K75" s="52">
        <f>CHOOSE(CONTROL!$C$42, 5.9429, 5.9429) * CHOOSE(CONTROL!$C$21, $C$9, 100%, $E$9)</f>
        <v>5.9428999999999998</v>
      </c>
      <c r="L75" s="17">
        <f>CHOOSE(CONTROL!$C$42, 6.6172, 6.6172) * CHOOSE(CONTROL!$C$21, $C$9, 100%, $E$9)</f>
        <v>6.6172000000000004</v>
      </c>
      <c r="M75" s="17">
        <f>CHOOSE(CONTROL!$C$42, 5.8657, 5.8657) * CHOOSE(CONTROL!$C$21, $C$9, 100%, $E$9)</f>
        <v>5.8657000000000004</v>
      </c>
      <c r="N75" s="17">
        <f>CHOOSE(CONTROL!$C$42, 5.8818, 5.8818) * CHOOSE(CONTROL!$C$21, $C$9, 100%, $E$9)</f>
        <v>5.8818000000000001</v>
      </c>
      <c r="O75" s="17">
        <f>CHOOSE(CONTROL!$C$42, 5.983, 5.983) * CHOOSE(CONTROL!$C$21, $C$9, 100%, $E$9)</f>
        <v>5.9829999999999997</v>
      </c>
      <c r="P75" s="17">
        <f>CHOOSE(CONTROL!$C$42, 5.9023, 5.9023) * CHOOSE(CONTROL!$C$21, $C$9, 100%, $E$9)</f>
        <v>5.9023000000000003</v>
      </c>
      <c r="Q75" s="17">
        <f>CHOOSE(CONTROL!$C$42, 6.5777, 6.5777) * CHOOSE(CONTROL!$C$21, $C$9, 100%, $E$9)</f>
        <v>6.5777000000000001</v>
      </c>
      <c r="R75" s="17">
        <f>CHOOSE(CONTROL!$C$42, 7.1811, 7.1811) * CHOOSE(CONTROL!$C$21, $C$9, 100%, $E$9)</f>
        <v>7.1810999999999998</v>
      </c>
      <c r="S75" s="17">
        <f>CHOOSE(CONTROL!$C$42, 5.7172, 5.7172) * CHOOSE(CONTROL!$C$21, $C$9, 100%, $E$9)</f>
        <v>5.7172000000000001</v>
      </c>
      <c r="T7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75" s="56">
        <f>(1000*CHOOSE(CONTROL!$C$42, 695, 695)*CHOOSE(CONTROL!$C$42, 0.5599, 0.5599)*CHOOSE(CONTROL!$C$42, 31, 31))/1000000</f>
        <v>12.063045499999998</v>
      </c>
      <c r="V75" s="56">
        <f>(1000*CHOOSE(CONTROL!$C$42, 500, 500)*CHOOSE(CONTROL!$C$42, 0.275, 0.275)*CHOOSE(CONTROL!$C$42, 31, 31))/1000000</f>
        <v>4.2625000000000002</v>
      </c>
      <c r="W75" s="56">
        <f>(1000*CHOOSE(CONTROL!$C$42, 0.0916, 0.0916)*CHOOSE(CONTROL!$C$42, 121.5, 121.5)*CHOOSE(CONTROL!$C$42, 31, 31))/1000000</f>
        <v>0.34501139999999997</v>
      </c>
      <c r="X75" s="56">
        <f>(31*0.2374*100000/1000000)</f>
        <v>0.73594000000000004</v>
      </c>
      <c r="Y75" s="56"/>
      <c r="Z75" s="17"/>
      <c r="AA75" s="55"/>
      <c r="AB75" s="48">
        <f>(B75*122.58+C75*297.941+D75*89.177+E75*140.302+F75*40+G75*60+H75*0+I75*100+J75*300)/(122.58+297.941+89.177+140.302+0+40+60+100+300)</f>
        <v>5.9387944493913043</v>
      </c>
      <c r="AC75" s="45">
        <f>(M75*'RAP TEMPLATE-GAS AVAILABILITY'!O74+N75*'RAP TEMPLATE-GAS AVAILABILITY'!P74+O75*'RAP TEMPLATE-GAS AVAILABILITY'!Q74+P75*'RAP TEMPLATE-GAS AVAILABILITY'!R74)/('RAP TEMPLATE-GAS AVAILABILITY'!O74+'RAP TEMPLATE-GAS AVAILABILITY'!P74+'RAP TEMPLATE-GAS AVAILABILITY'!Q74+'RAP TEMPLATE-GAS AVAILABILITY'!R74)</f>
        <v>5.9250575539568349</v>
      </c>
    </row>
    <row r="76" spans="1:29" ht="15.75" x14ac:dyDescent="0.25">
      <c r="A76" s="16">
        <v>43191</v>
      </c>
      <c r="B76" s="17">
        <f>CHOOSE(CONTROL!$C$42, 5.9011, 5.9011) * CHOOSE(CONTROL!$C$21, $C$9, 100%, $E$9)</f>
        <v>5.9010999999999996</v>
      </c>
      <c r="C76" s="17">
        <f>CHOOSE(CONTROL!$C$42, 5.9056, 5.9056) * CHOOSE(CONTROL!$C$21, $C$9, 100%, $E$9)</f>
        <v>5.9055999999999997</v>
      </c>
      <c r="D76" s="17">
        <f>CHOOSE(CONTROL!$C$42, 6.1531, 6.1531) * CHOOSE(CONTROL!$C$21, $C$9, 100%, $E$9)</f>
        <v>6.1531000000000002</v>
      </c>
      <c r="E76" s="17">
        <f>CHOOSE(CONTROL!$C$42, 6.1849, 6.1849) * CHOOSE(CONTROL!$C$21, $C$9, 100%, $E$9)</f>
        <v>6.1848999999999998</v>
      </c>
      <c r="F76" s="17">
        <f>CHOOSE(CONTROL!$C$42, 5.9127, 5.9127)*CHOOSE(CONTROL!$C$21, $C$9, 100%, $E$9)</f>
        <v>5.9127000000000001</v>
      </c>
      <c r="G76" s="17">
        <f>CHOOSE(CONTROL!$C$42, 5.9286, 5.9286)*CHOOSE(CONTROL!$C$21, $C$9, 100%, $E$9)</f>
        <v>5.9286000000000003</v>
      </c>
      <c r="H76" s="17">
        <f>CHOOSE(CONTROL!$C$42, 6.1744, 6.1744) * CHOOSE(CONTROL!$C$21, $C$9, 100%, $E$9)</f>
        <v>6.1744000000000003</v>
      </c>
      <c r="I76" s="17">
        <f>CHOOSE(CONTROL!$C$42, 5.942, 5.942)* CHOOSE(CONTROL!$C$21, $C$9, 100%, $E$9)</f>
        <v>5.9420000000000002</v>
      </c>
      <c r="J76" s="17">
        <f>CHOOSE(CONTROL!$C$42, 5.9053, 5.9053)* CHOOSE(CONTROL!$C$21, $C$9, 100%, $E$9)</f>
        <v>5.9053000000000004</v>
      </c>
      <c r="K76" s="52">
        <f>CHOOSE(CONTROL!$C$42, 5.936, 5.936) * CHOOSE(CONTROL!$C$21, $C$9, 100%, $E$9)</f>
        <v>5.9359999999999999</v>
      </c>
      <c r="L76" s="17">
        <f>CHOOSE(CONTROL!$C$42, 6.7614, 6.7614) * CHOOSE(CONTROL!$C$21, $C$9, 100%, $E$9)</f>
        <v>6.7614000000000001</v>
      </c>
      <c r="M76" s="17">
        <f>CHOOSE(CONTROL!$C$42, 5.8592, 5.8592) * CHOOSE(CONTROL!$C$21, $C$9, 100%, $E$9)</f>
        <v>5.8592000000000004</v>
      </c>
      <c r="N76" s="17">
        <f>CHOOSE(CONTROL!$C$42, 5.875, 5.875) * CHOOSE(CONTROL!$C$21, $C$9, 100%, $E$9)</f>
        <v>5.875</v>
      </c>
      <c r="O76" s="17">
        <f>CHOOSE(CONTROL!$C$42, 6.1259, 6.1259) * CHOOSE(CONTROL!$C$21, $C$9, 100%, $E$9)</f>
        <v>6.1258999999999997</v>
      </c>
      <c r="P76" s="17">
        <f>CHOOSE(CONTROL!$C$42, 5.8955, 5.8955) * CHOOSE(CONTROL!$C$21, $C$9, 100%, $E$9)</f>
        <v>5.8955000000000002</v>
      </c>
      <c r="Q76" s="17">
        <f>CHOOSE(CONTROL!$C$42, 6.7206, 6.7206) * CHOOSE(CONTROL!$C$21, $C$9, 100%, $E$9)</f>
        <v>6.7206000000000001</v>
      </c>
      <c r="R76" s="17">
        <f>CHOOSE(CONTROL!$C$42, 7.3244, 7.3244) * CHOOSE(CONTROL!$C$21, $C$9, 100%, $E$9)</f>
        <v>7.3243999999999998</v>
      </c>
      <c r="S76" s="17">
        <f>CHOOSE(CONTROL!$C$42, 5.712, 5.712) * CHOOSE(CONTROL!$C$21, $C$9, 100%, $E$9)</f>
        <v>5.7119999999999997</v>
      </c>
      <c r="T7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76" s="56">
        <f>(1000*CHOOSE(CONTROL!$C$42, 695, 695)*CHOOSE(CONTROL!$C$42, 0.5599, 0.5599)*CHOOSE(CONTROL!$C$42, 30, 30))/1000000</f>
        <v>11.673914999999997</v>
      </c>
      <c r="V76" s="56">
        <f>(1000*CHOOSE(CONTROL!$C$42, 500, 500)*CHOOSE(CONTROL!$C$42, 0.275, 0.275)*CHOOSE(CONTROL!$C$42, 30, 30))/1000000</f>
        <v>4.125</v>
      </c>
      <c r="W76" s="56">
        <f>(1000*CHOOSE(CONTROL!$C$42, 0.0916, 0.0916)*CHOOSE(CONTROL!$C$42, 121.5, 121.5)*CHOOSE(CONTROL!$C$42, 30, 30))/1000000</f>
        <v>0.33388200000000001</v>
      </c>
      <c r="X76" s="56">
        <f>(30*0.1790888*145000/1000000)+(30*0.2374*100000/1000000)</f>
        <v>1.4912362799999999</v>
      </c>
      <c r="Y76" s="56"/>
      <c r="Z76" s="17"/>
      <c r="AA76" s="55"/>
      <c r="AB76" s="48">
        <f>(B76*141.293+C76*267.993+D76*115.016+E76*189.698+F76*40+G76*85+H76*0+I76*100+J76*300)/(141.293+267.993+115.016+189.698+0+40+85+100+300)</f>
        <v>5.975496927280064</v>
      </c>
      <c r="AC76" s="45">
        <f>(M76*'RAP TEMPLATE-GAS AVAILABILITY'!O75+N76*'RAP TEMPLATE-GAS AVAILABILITY'!P75+O76*'RAP TEMPLATE-GAS AVAILABILITY'!Q75+P76*'RAP TEMPLATE-GAS AVAILABILITY'!R75)/('RAP TEMPLATE-GAS AVAILABILITY'!O75+'RAP TEMPLATE-GAS AVAILABILITY'!P75+'RAP TEMPLATE-GAS AVAILABILITY'!Q75+'RAP TEMPLATE-GAS AVAILABILITY'!R75)</f>
        <v>5.9428899280575544</v>
      </c>
    </row>
    <row r="77" spans="1:29" ht="15.75" x14ac:dyDescent="0.25">
      <c r="A77" s="16">
        <v>43221</v>
      </c>
      <c r="B77" s="17">
        <f>CHOOSE(CONTROL!$C$42, 5.9667, 5.9667) * CHOOSE(CONTROL!$C$21, $C$9, 100%, $E$9)</f>
        <v>5.9667000000000003</v>
      </c>
      <c r="C77" s="17">
        <f>CHOOSE(CONTROL!$C$42, 5.9746, 5.9746) * CHOOSE(CONTROL!$C$21, $C$9, 100%, $E$9)</f>
        <v>5.9745999999999997</v>
      </c>
      <c r="D77" s="17">
        <f>CHOOSE(CONTROL!$C$42, 6.2191, 6.2191) * CHOOSE(CONTROL!$C$21, $C$9, 100%, $E$9)</f>
        <v>6.2191000000000001</v>
      </c>
      <c r="E77" s="17">
        <f>CHOOSE(CONTROL!$C$42, 6.2503, 6.2503) * CHOOSE(CONTROL!$C$21, $C$9, 100%, $E$9)</f>
        <v>6.2503000000000002</v>
      </c>
      <c r="F77" s="17">
        <f>CHOOSE(CONTROL!$C$42, 5.9772, 5.9772)*CHOOSE(CONTROL!$C$21, $C$9, 100%, $E$9)</f>
        <v>5.9771999999999998</v>
      </c>
      <c r="G77" s="17">
        <f>CHOOSE(CONTROL!$C$42, 5.9934, 5.9934)*CHOOSE(CONTROL!$C$21, $C$9, 100%, $E$9)</f>
        <v>5.9934000000000003</v>
      </c>
      <c r="H77" s="17">
        <f>CHOOSE(CONTROL!$C$42, 6.2386, 6.2386) * CHOOSE(CONTROL!$C$21, $C$9, 100%, $E$9)</f>
        <v>6.2385999999999999</v>
      </c>
      <c r="I77" s="17">
        <f>CHOOSE(CONTROL!$C$42, 6.0064, 6.0064)* CHOOSE(CONTROL!$C$21, $C$9, 100%, $E$9)</f>
        <v>6.0064000000000002</v>
      </c>
      <c r="J77" s="17">
        <f>CHOOSE(CONTROL!$C$42, 5.9698, 5.9698)* CHOOSE(CONTROL!$C$21, $C$9, 100%, $E$9)</f>
        <v>5.9698000000000002</v>
      </c>
      <c r="K77" s="52">
        <f>CHOOSE(CONTROL!$C$42, 6.0004, 6.0004) * CHOOSE(CONTROL!$C$21, $C$9, 100%, $E$9)</f>
        <v>6.0004</v>
      </c>
      <c r="L77" s="17">
        <f>CHOOSE(CONTROL!$C$42, 6.8256, 6.8256) * CHOOSE(CONTROL!$C$21, $C$9, 100%, $E$9)</f>
        <v>6.8255999999999997</v>
      </c>
      <c r="M77" s="17">
        <f>CHOOSE(CONTROL!$C$42, 5.9231, 5.9231) * CHOOSE(CONTROL!$C$21, $C$9, 100%, $E$9)</f>
        <v>5.9230999999999998</v>
      </c>
      <c r="N77" s="17">
        <f>CHOOSE(CONTROL!$C$42, 5.9392, 5.9392) * CHOOSE(CONTROL!$C$21, $C$9, 100%, $E$9)</f>
        <v>5.9391999999999996</v>
      </c>
      <c r="O77" s="17">
        <f>CHOOSE(CONTROL!$C$42, 6.1895, 6.1895) * CHOOSE(CONTROL!$C$21, $C$9, 100%, $E$9)</f>
        <v>6.1894999999999998</v>
      </c>
      <c r="P77" s="17">
        <f>CHOOSE(CONTROL!$C$42, 5.9593, 5.9593) * CHOOSE(CONTROL!$C$21, $C$9, 100%, $E$9)</f>
        <v>5.9592999999999998</v>
      </c>
      <c r="Q77" s="17">
        <f>CHOOSE(CONTROL!$C$42, 6.7842, 6.7842) * CHOOSE(CONTROL!$C$21, $C$9, 100%, $E$9)</f>
        <v>6.7842000000000002</v>
      </c>
      <c r="R77" s="17">
        <f>CHOOSE(CONTROL!$C$42, 7.3882, 7.3882) * CHOOSE(CONTROL!$C$21, $C$9, 100%, $E$9)</f>
        <v>7.3882000000000003</v>
      </c>
      <c r="S77" s="17">
        <f>CHOOSE(CONTROL!$C$42, 5.7743, 5.7743) * CHOOSE(CONTROL!$C$21, $C$9, 100%, $E$9)</f>
        <v>5.7743000000000002</v>
      </c>
      <c r="T7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77" s="56">
        <f>(1000*CHOOSE(CONTROL!$C$42, 695, 695)*CHOOSE(CONTROL!$C$42, 0.5599, 0.5599)*CHOOSE(CONTROL!$C$42, 31, 31))/1000000</f>
        <v>12.063045499999998</v>
      </c>
      <c r="V77" s="56">
        <f>(1000*CHOOSE(CONTROL!$C$42, 500, 500)*CHOOSE(CONTROL!$C$42, 0.275, 0.275)*CHOOSE(CONTROL!$C$42, 31, 31))/1000000</f>
        <v>4.2625000000000002</v>
      </c>
      <c r="W77" s="56">
        <f>(1000*CHOOSE(CONTROL!$C$42, 0.0916, 0.0916)*CHOOSE(CONTROL!$C$42, 121.5, 121.5)*CHOOSE(CONTROL!$C$42, 31, 31))/1000000</f>
        <v>0.34501139999999997</v>
      </c>
      <c r="X77" s="56">
        <f>(31*0.1790888*145000/1000000)+(31*0.2374*100000/1000000)</f>
        <v>1.5409441560000001</v>
      </c>
      <c r="Y77" s="56"/>
      <c r="Z77" s="17"/>
      <c r="AA77" s="55"/>
      <c r="AB77" s="48">
        <f>(B77*194.205+C77*267.466+D77*133.845+E77*153.484+F77*40+G77*85+H77*0+I77*100+J77*300)/(194.205+267.466+133.845+153.484+0+40+85+100+300)</f>
        <v>6.0349990751962324</v>
      </c>
      <c r="AC77" s="45">
        <f>(M77*'RAP TEMPLATE-GAS AVAILABILITY'!O76+N77*'RAP TEMPLATE-GAS AVAILABILITY'!P76+O77*'RAP TEMPLATE-GAS AVAILABILITY'!Q76+P77*'RAP TEMPLATE-GAS AVAILABILITY'!R76)/('RAP TEMPLATE-GAS AVAILABILITY'!O76+'RAP TEMPLATE-GAS AVAILABILITY'!P76+'RAP TEMPLATE-GAS AVAILABILITY'!Q76+'RAP TEMPLATE-GAS AVAILABILITY'!R76)</f>
        <v>6.0067604316546754</v>
      </c>
    </row>
    <row r="78" spans="1:29" ht="15.75" x14ac:dyDescent="0.25">
      <c r="A78" s="16">
        <v>43252</v>
      </c>
      <c r="B78" s="17">
        <f>CHOOSE(CONTROL!$C$42, 6.1482, 6.1482) * CHOOSE(CONTROL!$C$21, $C$9, 100%, $E$9)</f>
        <v>6.1482000000000001</v>
      </c>
      <c r="C78" s="17">
        <f>CHOOSE(CONTROL!$C$42, 6.1561, 6.1561) * CHOOSE(CONTROL!$C$21, $C$9, 100%, $E$9)</f>
        <v>6.1561000000000003</v>
      </c>
      <c r="D78" s="17">
        <f>CHOOSE(CONTROL!$C$42, 6.4006, 6.4006) * CHOOSE(CONTROL!$C$21, $C$9, 100%, $E$9)</f>
        <v>6.4005999999999998</v>
      </c>
      <c r="E78" s="17">
        <f>CHOOSE(CONTROL!$C$42, 6.4318, 6.4318) * CHOOSE(CONTROL!$C$21, $C$9, 100%, $E$9)</f>
        <v>6.4318</v>
      </c>
      <c r="F78" s="17">
        <f>CHOOSE(CONTROL!$C$42, 6.159, 6.159)*CHOOSE(CONTROL!$C$21, $C$9, 100%, $E$9)</f>
        <v>6.1589999999999998</v>
      </c>
      <c r="G78" s="17">
        <f>CHOOSE(CONTROL!$C$42, 6.1754, 6.1754)*CHOOSE(CONTROL!$C$21, $C$9, 100%, $E$9)</f>
        <v>6.1753999999999998</v>
      </c>
      <c r="H78" s="17">
        <f>CHOOSE(CONTROL!$C$42, 6.4201, 6.4201) * CHOOSE(CONTROL!$C$21, $C$9, 100%, $E$9)</f>
        <v>6.4200999999999997</v>
      </c>
      <c r="I78" s="17">
        <f>CHOOSE(CONTROL!$C$42, 6.1885, 6.1885)* CHOOSE(CONTROL!$C$21, $C$9, 100%, $E$9)</f>
        <v>6.1885000000000003</v>
      </c>
      <c r="J78" s="17">
        <f>CHOOSE(CONTROL!$C$42, 6.1516, 6.1516)* CHOOSE(CONTROL!$C$21, $C$9, 100%, $E$9)</f>
        <v>6.1516000000000002</v>
      </c>
      <c r="K78" s="52">
        <f>CHOOSE(CONTROL!$C$42, 6.1825, 6.1825) * CHOOSE(CONTROL!$C$21, $C$9, 100%, $E$9)</f>
        <v>6.1825000000000001</v>
      </c>
      <c r="L78" s="17">
        <f>CHOOSE(CONTROL!$C$42, 7.0071, 7.0071) * CHOOSE(CONTROL!$C$21, $C$9, 100%, $E$9)</f>
        <v>7.0071000000000003</v>
      </c>
      <c r="M78" s="17">
        <f>CHOOSE(CONTROL!$C$42, 6.1033, 6.1033) * CHOOSE(CONTROL!$C$21, $C$9, 100%, $E$9)</f>
        <v>6.1032999999999999</v>
      </c>
      <c r="N78" s="17">
        <f>CHOOSE(CONTROL!$C$42, 6.1195, 6.1195) * CHOOSE(CONTROL!$C$21, $C$9, 100%, $E$9)</f>
        <v>6.1195000000000004</v>
      </c>
      <c r="O78" s="17">
        <f>CHOOSE(CONTROL!$C$42, 6.3694, 6.3694) * CHOOSE(CONTROL!$C$21, $C$9, 100%, $E$9)</f>
        <v>6.3693999999999997</v>
      </c>
      <c r="P78" s="17">
        <f>CHOOSE(CONTROL!$C$42, 6.1397, 6.1397) * CHOOSE(CONTROL!$C$21, $C$9, 100%, $E$9)</f>
        <v>6.1397000000000004</v>
      </c>
      <c r="Q78" s="17">
        <f>CHOOSE(CONTROL!$C$42, 6.9641, 6.9641) * CHOOSE(CONTROL!$C$21, $C$9, 100%, $E$9)</f>
        <v>6.9641000000000002</v>
      </c>
      <c r="R78" s="17">
        <f>CHOOSE(CONTROL!$C$42, 7.5685, 7.5685) * CHOOSE(CONTROL!$C$21, $C$9, 100%, $E$9)</f>
        <v>7.5685000000000002</v>
      </c>
      <c r="S78" s="17">
        <f>CHOOSE(CONTROL!$C$42, 5.9503, 5.9503) * CHOOSE(CONTROL!$C$21, $C$9, 100%, $E$9)</f>
        <v>5.9503000000000004</v>
      </c>
      <c r="T7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78" s="56">
        <f>(1000*CHOOSE(CONTROL!$C$42, 695, 695)*CHOOSE(CONTROL!$C$42, 0.5599, 0.5599)*CHOOSE(CONTROL!$C$42, 30, 30))/1000000</f>
        <v>11.673914999999997</v>
      </c>
      <c r="V78" s="56">
        <f>(1000*CHOOSE(CONTROL!$C$42, 500, 500)*CHOOSE(CONTROL!$C$42, 0.275, 0.275)*CHOOSE(CONTROL!$C$42, 30, 30))/1000000</f>
        <v>4.125</v>
      </c>
      <c r="W78" s="56">
        <f>(1000*CHOOSE(CONTROL!$C$42, 0.0916, 0.0916)*CHOOSE(CONTROL!$C$42, 121.5, 121.5)*CHOOSE(CONTROL!$C$42, 30, 30))/1000000</f>
        <v>0.33388200000000001</v>
      </c>
      <c r="X78" s="56">
        <f>(30*0.1790888*145000/1000000)+(30*0.2374*100000/1000000)</f>
        <v>1.4912362799999999</v>
      </c>
      <c r="Y78" s="56"/>
      <c r="Z78" s="17"/>
      <c r="AA78" s="55"/>
      <c r="AB78" s="48">
        <f>(B78*194.205+C78*267.466+D78*133.845+E78*153.484+F78*40+G78*85+H78*0+I78*100+J78*300)/(194.205+267.466+133.845+153.484+0+40+85+100+300)</f>
        <v>6.2166595932496076</v>
      </c>
      <c r="AC78" s="45">
        <f>(M78*'RAP TEMPLATE-GAS AVAILABILITY'!O77+N78*'RAP TEMPLATE-GAS AVAILABILITY'!P77+O78*'RAP TEMPLATE-GAS AVAILABILITY'!Q77+P78*'RAP TEMPLATE-GAS AVAILABILITY'!R77)/('RAP TEMPLATE-GAS AVAILABILITY'!O77+'RAP TEMPLATE-GAS AVAILABILITY'!P77+'RAP TEMPLATE-GAS AVAILABILITY'!Q77+'RAP TEMPLATE-GAS AVAILABILITY'!R77)</f>
        <v>6.1869280575539571</v>
      </c>
    </row>
    <row r="79" spans="1:29" ht="15.75" x14ac:dyDescent="0.25">
      <c r="A79" s="16">
        <v>43282</v>
      </c>
      <c r="B79" s="17">
        <f>CHOOSE(CONTROL!$C$42, 6.0429, 6.0429) * CHOOSE(CONTROL!$C$21, $C$9, 100%, $E$9)</f>
        <v>6.0429000000000004</v>
      </c>
      <c r="C79" s="17">
        <f>CHOOSE(CONTROL!$C$42, 6.0508, 6.0508) * CHOOSE(CONTROL!$C$21, $C$9, 100%, $E$9)</f>
        <v>6.0507999999999997</v>
      </c>
      <c r="D79" s="17">
        <f>CHOOSE(CONTROL!$C$42, 6.2953, 6.2953) * CHOOSE(CONTROL!$C$21, $C$9, 100%, $E$9)</f>
        <v>6.2953000000000001</v>
      </c>
      <c r="E79" s="17">
        <f>CHOOSE(CONTROL!$C$42, 6.3265, 6.3265) * CHOOSE(CONTROL!$C$21, $C$9, 100%, $E$9)</f>
        <v>6.3265000000000002</v>
      </c>
      <c r="F79" s="17">
        <f>CHOOSE(CONTROL!$C$42, 6.0542, 6.0542)*CHOOSE(CONTROL!$C$21, $C$9, 100%, $E$9)</f>
        <v>6.0541999999999998</v>
      </c>
      <c r="G79" s="17">
        <f>CHOOSE(CONTROL!$C$42, 6.0706, 6.0706)*CHOOSE(CONTROL!$C$21, $C$9, 100%, $E$9)</f>
        <v>6.0705999999999998</v>
      </c>
      <c r="H79" s="17">
        <f>CHOOSE(CONTROL!$C$42, 6.3148, 6.3148) * CHOOSE(CONTROL!$C$21, $C$9, 100%, $E$9)</f>
        <v>6.3148</v>
      </c>
      <c r="I79" s="17">
        <f>CHOOSE(CONTROL!$C$42, 6.0829, 6.0829)* CHOOSE(CONTROL!$C$21, $C$9, 100%, $E$9)</f>
        <v>6.0829000000000004</v>
      </c>
      <c r="J79" s="17">
        <f>CHOOSE(CONTROL!$C$42, 6.0468, 6.0468)* CHOOSE(CONTROL!$C$21, $C$9, 100%, $E$9)</f>
        <v>6.0468000000000002</v>
      </c>
      <c r="K79" s="52">
        <f>CHOOSE(CONTROL!$C$42, 6.0768, 6.0768) * CHOOSE(CONTROL!$C$21, $C$9, 100%, $E$9)</f>
        <v>6.0768000000000004</v>
      </c>
      <c r="L79" s="17">
        <f>CHOOSE(CONTROL!$C$42, 6.9018, 6.9018) * CHOOSE(CONTROL!$C$21, $C$9, 100%, $E$9)</f>
        <v>6.9017999999999997</v>
      </c>
      <c r="M79" s="17">
        <f>CHOOSE(CONTROL!$C$42, 5.9994, 5.9994) * CHOOSE(CONTROL!$C$21, $C$9, 100%, $E$9)</f>
        <v>5.9993999999999996</v>
      </c>
      <c r="N79" s="17">
        <f>CHOOSE(CONTROL!$C$42, 6.0157, 6.0157) * CHOOSE(CONTROL!$C$21, $C$9, 100%, $E$9)</f>
        <v>6.0156999999999998</v>
      </c>
      <c r="O79" s="17">
        <f>CHOOSE(CONTROL!$C$42, 6.265, 6.265) * CHOOSE(CONTROL!$C$21, $C$9, 100%, $E$9)</f>
        <v>6.2649999999999997</v>
      </c>
      <c r="P79" s="17">
        <f>CHOOSE(CONTROL!$C$42, 6.035, 6.035) * CHOOSE(CONTROL!$C$21, $C$9, 100%, $E$9)</f>
        <v>6.0350000000000001</v>
      </c>
      <c r="Q79" s="17">
        <f>CHOOSE(CONTROL!$C$42, 6.8597, 6.8597) * CHOOSE(CONTROL!$C$21, $C$9, 100%, $E$9)</f>
        <v>6.8597000000000001</v>
      </c>
      <c r="R79" s="17">
        <f>CHOOSE(CONTROL!$C$42, 7.4639, 7.4639) * CHOOSE(CONTROL!$C$21, $C$9, 100%, $E$9)</f>
        <v>7.4638999999999998</v>
      </c>
      <c r="S79" s="17">
        <f>CHOOSE(CONTROL!$C$42, 5.8482, 5.8482) * CHOOSE(CONTROL!$C$21, $C$9, 100%, $E$9)</f>
        <v>5.8482000000000003</v>
      </c>
      <c r="T7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79" s="56">
        <f>(1000*CHOOSE(CONTROL!$C$42, 695, 695)*CHOOSE(CONTROL!$C$42, 0.5599, 0.5599)*CHOOSE(CONTROL!$C$42, 31, 31))/1000000</f>
        <v>12.063045499999998</v>
      </c>
      <c r="V79" s="56">
        <f>(1000*CHOOSE(CONTROL!$C$42, 500, 500)*CHOOSE(CONTROL!$C$42, 0.275, 0.275)*CHOOSE(CONTROL!$C$42, 31, 31))/1000000</f>
        <v>4.2625000000000002</v>
      </c>
      <c r="W79" s="56">
        <f>(1000*CHOOSE(CONTROL!$C$42, 0.0916, 0.0916)*CHOOSE(CONTROL!$C$42, 121.5, 121.5)*CHOOSE(CONTROL!$C$42, 31, 31))/1000000</f>
        <v>0.34501139999999997</v>
      </c>
      <c r="X79" s="56">
        <f>(31*0.1790888*145000/1000000)+(31*0.2374*100000/1000000)</f>
        <v>1.5409441560000001</v>
      </c>
      <c r="Y79" s="56"/>
      <c r="Z79" s="17"/>
      <c r="AA79" s="55"/>
      <c r="AB79" s="48">
        <f>(B79*194.205+C79*267.466+D79*133.845+E79*153.484+F79*40+G79*85+H79*0+I79*100+J79*300)/(194.205+267.466+133.845+153.484+0+40+85+100+300)</f>
        <v>6.111502842857143</v>
      </c>
      <c r="AC79" s="45">
        <f>(M79*'RAP TEMPLATE-GAS AVAILABILITY'!O78+N79*'RAP TEMPLATE-GAS AVAILABILITY'!P78+O79*'RAP TEMPLATE-GAS AVAILABILITY'!Q78+P79*'RAP TEMPLATE-GAS AVAILABILITY'!R78)/('RAP TEMPLATE-GAS AVAILABILITY'!O78+'RAP TEMPLATE-GAS AVAILABILITY'!P78+'RAP TEMPLATE-GAS AVAILABILITY'!Q78+'RAP TEMPLATE-GAS AVAILABILITY'!R78)</f>
        <v>6.0827956834532371</v>
      </c>
    </row>
    <row r="80" spans="1:29" ht="15.75" x14ac:dyDescent="0.25">
      <c r="A80" s="16">
        <v>43313</v>
      </c>
      <c r="B80" s="17">
        <f>CHOOSE(CONTROL!$C$42, 5.7568, 5.7568) * CHOOSE(CONTROL!$C$21, $C$9, 100%, $E$9)</f>
        <v>5.7568000000000001</v>
      </c>
      <c r="C80" s="17">
        <f>CHOOSE(CONTROL!$C$42, 5.7648, 5.7648) * CHOOSE(CONTROL!$C$21, $C$9, 100%, $E$9)</f>
        <v>5.7648000000000001</v>
      </c>
      <c r="D80" s="17">
        <f>CHOOSE(CONTROL!$C$42, 6.0093, 6.0093) * CHOOSE(CONTROL!$C$21, $C$9, 100%, $E$9)</f>
        <v>6.0092999999999996</v>
      </c>
      <c r="E80" s="17">
        <f>CHOOSE(CONTROL!$C$42, 6.0404, 6.0404) * CHOOSE(CONTROL!$C$21, $C$9, 100%, $E$9)</f>
        <v>6.0404</v>
      </c>
      <c r="F80" s="17">
        <f>CHOOSE(CONTROL!$C$42, 5.7684, 5.7684)*CHOOSE(CONTROL!$C$21, $C$9, 100%, $E$9)</f>
        <v>5.7683999999999997</v>
      </c>
      <c r="G80" s="17">
        <f>CHOOSE(CONTROL!$C$42, 5.7849, 5.7849)*CHOOSE(CONTROL!$C$21, $C$9, 100%, $E$9)</f>
        <v>5.7849000000000004</v>
      </c>
      <c r="H80" s="17">
        <f>CHOOSE(CONTROL!$C$42, 6.0288, 6.0288) * CHOOSE(CONTROL!$C$21, $C$9, 100%, $E$9)</f>
        <v>6.0288000000000004</v>
      </c>
      <c r="I80" s="17">
        <f>CHOOSE(CONTROL!$C$42, 5.7959, 5.7959)* CHOOSE(CONTROL!$C$21, $C$9, 100%, $E$9)</f>
        <v>5.7958999999999996</v>
      </c>
      <c r="J80" s="17">
        <f>CHOOSE(CONTROL!$C$42, 5.761, 5.761)* CHOOSE(CONTROL!$C$21, $C$9, 100%, $E$9)</f>
        <v>5.7610000000000001</v>
      </c>
      <c r="K80" s="52">
        <f>CHOOSE(CONTROL!$C$42, 5.7899, 5.7899) * CHOOSE(CONTROL!$C$21, $C$9, 100%, $E$9)</f>
        <v>5.7899000000000003</v>
      </c>
      <c r="L80" s="17">
        <f>CHOOSE(CONTROL!$C$42, 6.6158, 6.6158) * CHOOSE(CONTROL!$C$21, $C$9, 100%, $E$9)</f>
        <v>6.6158000000000001</v>
      </c>
      <c r="M80" s="17">
        <f>CHOOSE(CONTROL!$C$42, 5.7162, 5.7162) * CHOOSE(CONTROL!$C$21, $C$9, 100%, $E$9)</f>
        <v>5.7161999999999997</v>
      </c>
      <c r="N80" s="17">
        <f>CHOOSE(CONTROL!$C$42, 5.7325, 5.7325) * CHOOSE(CONTROL!$C$21, $C$9, 100%, $E$9)</f>
        <v>5.7324999999999999</v>
      </c>
      <c r="O80" s="17">
        <f>CHOOSE(CONTROL!$C$42, 5.9815, 5.9815) * CHOOSE(CONTROL!$C$21, $C$9, 100%, $E$9)</f>
        <v>5.9814999999999996</v>
      </c>
      <c r="P80" s="17">
        <f>CHOOSE(CONTROL!$C$42, 5.7507, 5.7507) * CHOOSE(CONTROL!$C$21, $C$9, 100%, $E$9)</f>
        <v>5.7507000000000001</v>
      </c>
      <c r="Q80" s="17">
        <f>CHOOSE(CONTROL!$C$42, 6.5762, 6.5762) * CHOOSE(CONTROL!$C$21, $C$9, 100%, $E$9)</f>
        <v>6.5762</v>
      </c>
      <c r="R80" s="17">
        <f>CHOOSE(CONTROL!$C$42, 7.1797, 7.1797) * CHOOSE(CONTROL!$C$21, $C$9, 100%, $E$9)</f>
        <v>7.1797000000000004</v>
      </c>
      <c r="S80" s="17">
        <f>CHOOSE(CONTROL!$C$42, 5.5708, 5.5708) * CHOOSE(CONTROL!$C$21, $C$9, 100%, $E$9)</f>
        <v>5.5708000000000002</v>
      </c>
      <c r="T8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80" s="56">
        <f>(1000*CHOOSE(CONTROL!$C$42, 695, 695)*CHOOSE(CONTROL!$C$42, 0.5599, 0.5599)*CHOOSE(CONTROL!$C$42, 31, 31))/1000000</f>
        <v>12.063045499999998</v>
      </c>
      <c r="V80" s="56">
        <f>(1000*CHOOSE(CONTROL!$C$42, 500, 500)*CHOOSE(CONTROL!$C$42, 0.275, 0.275)*CHOOSE(CONTROL!$C$42, 31, 31))/1000000</f>
        <v>4.2625000000000002</v>
      </c>
      <c r="W80" s="56">
        <f>(1000*CHOOSE(CONTROL!$C$42, 0.0916, 0.0916)*CHOOSE(CONTROL!$C$42, 121.5, 121.5)*CHOOSE(CONTROL!$C$42, 31, 31))/1000000</f>
        <v>0.34501139999999997</v>
      </c>
      <c r="X80" s="56">
        <f>(31*0.1790888*145000/1000000)+(31*0.2374*100000/1000000)</f>
        <v>1.5409441560000001</v>
      </c>
      <c r="Y80" s="56"/>
      <c r="Z80" s="17"/>
      <c r="AA80" s="55"/>
      <c r="AB80" s="48">
        <f>(B80*194.205+C80*267.466+D80*133.845+E80*153.484+F80*40+G80*85+H80*0+I80*100+J80*300)/(194.205+267.466+133.845+153.484+0+40+85+100+300)</f>
        <v>5.8254704496860281</v>
      </c>
      <c r="AC80" s="45">
        <f>(M80*'RAP TEMPLATE-GAS AVAILABILITY'!O79+N80*'RAP TEMPLATE-GAS AVAILABILITY'!P79+O80*'RAP TEMPLATE-GAS AVAILABILITY'!Q79+P80*'RAP TEMPLATE-GAS AVAILABILITY'!R79)/('RAP TEMPLATE-GAS AVAILABILITY'!O79+'RAP TEMPLATE-GAS AVAILABILITY'!P79+'RAP TEMPLATE-GAS AVAILABILITY'!Q79+'RAP TEMPLATE-GAS AVAILABILITY'!R79)</f>
        <v>5.799353237410072</v>
      </c>
    </row>
    <row r="81" spans="1:29" ht="15.75" x14ac:dyDescent="0.25">
      <c r="A81" s="16">
        <v>43344</v>
      </c>
      <c r="B81" s="17">
        <f>CHOOSE(CONTROL!$C$42, 5.403, 5.403) * CHOOSE(CONTROL!$C$21, $C$9, 100%, $E$9)</f>
        <v>5.4029999999999996</v>
      </c>
      <c r="C81" s="17">
        <f>CHOOSE(CONTROL!$C$42, 5.411, 5.411) * CHOOSE(CONTROL!$C$21, $C$9, 100%, $E$9)</f>
        <v>5.4109999999999996</v>
      </c>
      <c r="D81" s="17">
        <f>CHOOSE(CONTROL!$C$42, 5.6554, 5.6554) * CHOOSE(CONTROL!$C$21, $C$9, 100%, $E$9)</f>
        <v>5.6554000000000002</v>
      </c>
      <c r="E81" s="17">
        <f>CHOOSE(CONTROL!$C$42, 5.6866, 5.6866) * CHOOSE(CONTROL!$C$21, $C$9, 100%, $E$9)</f>
        <v>5.6866000000000003</v>
      </c>
      <c r="F81" s="17">
        <f>CHOOSE(CONTROL!$C$42, 5.4146, 5.4146)*CHOOSE(CONTROL!$C$21, $C$9, 100%, $E$9)</f>
        <v>5.4146000000000001</v>
      </c>
      <c r="G81" s="17">
        <f>CHOOSE(CONTROL!$C$42, 5.4311, 5.4311)*CHOOSE(CONTROL!$C$21, $C$9, 100%, $E$9)</f>
        <v>5.4310999999999998</v>
      </c>
      <c r="H81" s="17">
        <f>CHOOSE(CONTROL!$C$42, 5.6749, 5.6749) * CHOOSE(CONTROL!$C$21, $C$9, 100%, $E$9)</f>
        <v>5.6749000000000001</v>
      </c>
      <c r="I81" s="17">
        <f>CHOOSE(CONTROL!$C$42, 5.441, 5.441)* CHOOSE(CONTROL!$C$21, $C$9, 100%, $E$9)</f>
        <v>5.4409999999999998</v>
      </c>
      <c r="J81" s="17">
        <f>CHOOSE(CONTROL!$C$42, 5.4072, 5.4072)* CHOOSE(CONTROL!$C$21, $C$9, 100%, $E$9)</f>
        <v>5.4071999999999996</v>
      </c>
      <c r="K81" s="52">
        <f>CHOOSE(CONTROL!$C$42, 5.435, 5.435) * CHOOSE(CONTROL!$C$21, $C$9, 100%, $E$9)</f>
        <v>5.4349999999999996</v>
      </c>
      <c r="L81" s="17">
        <f>CHOOSE(CONTROL!$C$42, 6.2619, 6.2619) * CHOOSE(CONTROL!$C$21, $C$9, 100%, $E$9)</f>
        <v>6.2618999999999998</v>
      </c>
      <c r="M81" s="17">
        <f>CHOOSE(CONTROL!$C$42, 5.3656, 5.3656) * CHOOSE(CONTROL!$C$21, $C$9, 100%, $E$9)</f>
        <v>5.3655999999999997</v>
      </c>
      <c r="N81" s="17">
        <f>CHOOSE(CONTROL!$C$42, 5.3819, 5.3819) * CHOOSE(CONTROL!$C$21, $C$9, 100%, $E$9)</f>
        <v>5.3818999999999999</v>
      </c>
      <c r="O81" s="17">
        <f>CHOOSE(CONTROL!$C$42, 5.6309, 5.6309) * CHOOSE(CONTROL!$C$21, $C$9, 100%, $E$9)</f>
        <v>5.6308999999999996</v>
      </c>
      <c r="P81" s="17">
        <f>CHOOSE(CONTROL!$C$42, 5.399, 5.399) * CHOOSE(CONTROL!$C$21, $C$9, 100%, $E$9)</f>
        <v>5.399</v>
      </c>
      <c r="Q81" s="17">
        <f>CHOOSE(CONTROL!$C$42, 6.2256, 6.2256) * CHOOSE(CONTROL!$C$21, $C$9, 100%, $E$9)</f>
        <v>6.2256</v>
      </c>
      <c r="R81" s="17">
        <f>CHOOSE(CONTROL!$C$42, 6.8282, 6.8282) * CHOOSE(CONTROL!$C$21, $C$9, 100%, $E$9)</f>
        <v>6.8281999999999998</v>
      </c>
      <c r="S81" s="17">
        <f>CHOOSE(CONTROL!$C$42, 5.2277, 5.2277) * CHOOSE(CONTROL!$C$21, $C$9, 100%, $E$9)</f>
        <v>5.2276999999999996</v>
      </c>
      <c r="T8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81" s="56">
        <f>(1000*CHOOSE(CONTROL!$C$42, 695, 695)*CHOOSE(CONTROL!$C$42, 0.5599, 0.5599)*CHOOSE(CONTROL!$C$42, 30, 30))/1000000</f>
        <v>11.673914999999997</v>
      </c>
      <c r="V81" s="56">
        <f>(1000*CHOOSE(CONTROL!$C$42, 500, 500)*CHOOSE(CONTROL!$C$42, 0.275, 0.275)*CHOOSE(CONTROL!$C$42, 30, 30))/1000000</f>
        <v>4.125</v>
      </c>
      <c r="W81" s="56">
        <f>(1000*CHOOSE(CONTROL!$C$42, 0.0916, 0.0916)*CHOOSE(CONTROL!$C$42, 121.5, 121.5)*CHOOSE(CONTROL!$C$42, 30, 30))/1000000</f>
        <v>0.33388200000000001</v>
      </c>
      <c r="X81" s="56">
        <f>(30*0.1790888*145000/1000000)+(30*0.2374*100000/1000000)</f>
        <v>1.4912362799999999</v>
      </c>
      <c r="Y81" s="56"/>
      <c r="Z81" s="17"/>
      <c r="AA81" s="55"/>
      <c r="AB81" s="48">
        <f>(B81*194.205+C81*267.466+D81*133.845+E81*153.484+F81*40+G81*85+H81*0+I81*100+J81*300)/(194.205+267.466+133.845+153.484+0+40+85+100+300)</f>
        <v>5.4715736015698582</v>
      </c>
      <c r="AC81" s="45">
        <f>(M81*'RAP TEMPLATE-GAS AVAILABILITY'!O80+N81*'RAP TEMPLATE-GAS AVAILABILITY'!P80+O81*'RAP TEMPLATE-GAS AVAILABILITY'!Q80+P81*'RAP TEMPLATE-GAS AVAILABILITY'!R80)/('RAP TEMPLATE-GAS AVAILABILITY'!O80+'RAP TEMPLATE-GAS AVAILABILITY'!P80+'RAP TEMPLATE-GAS AVAILABILITY'!Q80+'RAP TEMPLATE-GAS AVAILABILITY'!R80)</f>
        <v>5.4485949640287767</v>
      </c>
    </row>
    <row r="82" spans="1:29" ht="15.75" x14ac:dyDescent="0.25">
      <c r="A82" s="16">
        <v>43374</v>
      </c>
      <c r="B82" s="17">
        <f>CHOOSE(CONTROL!$C$42, 5.3027, 5.3027) * CHOOSE(CONTROL!$C$21, $C$9, 100%, $E$9)</f>
        <v>5.3026999999999997</v>
      </c>
      <c r="C82" s="17">
        <f>CHOOSE(CONTROL!$C$42, 5.308, 5.308) * CHOOSE(CONTROL!$C$21, $C$9, 100%, $E$9)</f>
        <v>5.3079999999999998</v>
      </c>
      <c r="D82" s="17">
        <f>CHOOSE(CONTROL!$C$42, 5.5574, 5.5574) * CHOOSE(CONTROL!$C$21, $C$9, 100%, $E$9)</f>
        <v>5.5574000000000003</v>
      </c>
      <c r="E82" s="17">
        <f>CHOOSE(CONTROL!$C$42, 5.5863, 5.5863) * CHOOSE(CONTROL!$C$21, $C$9, 100%, $E$9)</f>
        <v>5.5862999999999996</v>
      </c>
      <c r="F82" s="17">
        <f>CHOOSE(CONTROL!$C$42, 5.3165, 5.3165)*CHOOSE(CONTROL!$C$21, $C$9, 100%, $E$9)</f>
        <v>5.3164999999999996</v>
      </c>
      <c r="G82" s="17">
        <f>CHOOSE(CONTROL!$C$42, 5.3329, 5.3329)*CHOOSE(CONTROL!$C$21, $C$9, 100%, $E$9)</f>
        <v>5.3329000000000004</v>
      </c>
      <c r="H82" s="17">
        <f>CHOOSE(CONTROL!$C$42, 5.5764, 5.5764) * CHOOSE(CONTROL!$C$21, $C$9, 100%, $E$9)</f>
        <v>5.5763999999999996</v>
      </c>
      <c r="I82" s="17">
        <f>CHOOSE(CONTROL!$C$42, 5.3421, 5.3421)* CHOOSE(CONTROL!$C$21, $C$9, 100%, $E$9)</f>
        <v>5.3421000000000003</v>
      </c>
      <c r="J82" s="17">
        <f>CHOOSE(CONTROL!$C$42, 5.3091, 5.3091)* CHOOSE(CONTROL!$C$21, $C$9, 100%, $E$9)</f>
        <v>5.3090999999999999</v>
      </c>
      <c r="K82" s="52">
        <f>CHOOSE(CONTROL!$C$42, 5.3361, 5.3361) * CHOOSE(CONTROL!$C$21, $C$9, 100%, $E$9)</f>
        <v>5.3361000000000001</v>
      </c>
      <c r="L82" s="17">
        <f>CHOOSE(CONTROL!$C$42, 6.1634, 6.1634) * CHOOSE(CONTROL!$C$21, $C$9, 100%, $E$9)</f>
        <v>6.1634000000000002</v>
      </c>
      <c r="M82" s="17">
        <f>CHOOSE(CONTROL!$C$42, 5.2684, 5.2684) * CHOOSE(CONTROL!$C$21, $C$9, 100%, $E$9)</f>
        <v>5.2683999999999997</v>
      </c>
      <c r="N82" s="17">
        <f>CHOOSE(CONTROL!$C$42, 5.2846, 5.2846) * CHOOSE(CONTROL!$C$21, $C$9, 100%, $E$9)</f>
        <v>5.2846000000000002</v>
      </c>
      <c r="O82" s="17">
        <f>CHOOSE(CONTROL!$C$42, 5.5332, 5.5332) * CHOOSE(CONTROL!$C$21, $C$9, 100%, $E$9)</f>
        <v>5.5331999999999999</v>
      </c>
      <c r="P82" s="17">
        <f>CHOOSE(CONTROL!$C$42, 5.301, 5.301) * CHOOSE(CONTROL!$C$21, $C$9, 100%, $E$9)</f>
        <v>5.3010000000000002</v>
      </c>
      <c r="Q82" s="17">
        <f>CHOOSE(CONTROL!$C$42, 6.1279, 6.1279) * CHOOSE(CONTROL!$C$21, $C$9, 100%, $E$9)</f>
        <v>6.1279000000000003</v>
      </c>
      <c r="R82" s="17">
        <f>CHOOSE(CONTROL!$C$42, 6.7302, 6.7302) * CHOOSE(CONTROL!$C$21, $C$9, 100%, $E$9)</f>
        <v>6.7302</v>
      </c>
      <c r="S82" s="17">
        <f>CHOOSE(CONTROL!$C$42, 5.1321, 5.1321) * CHOOSE(CONTROL!$C$21, $C$9, 100%, $E$9)</f>
        <v>5.1321000000000003</v>
      </c>
      <c r="T8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82" s="56">
        <f>(1000*CHOOSE(CONTROL!$C$42, 695, 695)*CHOOSE(CONTROL!$C$42, 0.5599, 0.5599)*CHOOSE(CONTROL!$C$42, 31, 31))/1000000</f>
        <v>12.063045499999998</v>
      </c>
      <c r="V82" s="56">
        <f>(1000*CHOOSE(CONTROL!$C$42, 500, 500)*CHOOSE(CONTROL!$C$42, 0.275, 0.275)*CHOOSE(CONTROL!$C$42, 31, 31))/1000000</f>
        <v>4.2625000000000002</v>
      </c>
      <c r="W82" s="56">
        <f>(1000*CHOOSE(CONTROL!$C$42, 0.0916, 0.0916)*CHOOSE(CONTROL!$C$42, 121.5, 121.5)*CHOOSE(CONTROL!$C$42, 31, 31))/1000000</f>
        <v>0.34501139999999997</v>
      </c>
      <c r="X82" s="56">
        <f>(31*0.1790888*145000/1000000)+(31*0.2374*100000/1000000)</f>
        <v>1.5409441560000001</v>
      </c>
      <c r="Y82" s="56"/>
      <c r="Z82" s="17"/>
      <c r="AA82" s="55"/>
      <c r="AB82" s="48">
        <f>(B82*131.881+C82*277.167+D82*79.08+E82*225.872+F82*40+G82*85+H82*0+I82*100+J82*300)/(131.881+277.167+79.08+225.872+0+40+85+100+300)</f>
        <v>5.3790897984665058</v>
      </c>
      <c r="AC82" s="45">
        <f>(M82*'RAP TEMPLATE-GAS AVAILABILITY'!O81+N82*'RAP TEMPLATE-GAS AVAILABILITY'!P81+O82*'RAP TEMPLATE-GAS AVAILABILITY'!Q81+P82*'RAP TEMPLATE-GAS AVAILABILITY'!R81)/('RAP TEMPLATE-GAS AVAILABILITY'!O81+'RAP TEMPLATE-GAS AVAILABILITY'!P81+'RAP TEMPLATE-GAS AVAILABILITY'!Q81+'RAP TEMPLATE-GAS AVAILABILITY'!R81)</f>
        <v>5.3511165467625901</v>
      </c>
    </row>
    <row r="83" spans="1:29" ht="15.75" x14ac:dyDescent="0.25">
      <c r="A83" s="16">
        <v>43405</v>
      </c>
      <c r="B83" s="17">
        <f>CHOOSE(CONTROL!$C$42, 5.4529, 5.4529) * CHOOSE(CONTROL!$C$21, $C$9, 100%, $E$9)</f>
        <v>5.4528999999999996</v>
      </c>
      <c r="C83" s="17">
        <f>CHOOSE(CONTROL!$C$42, 5.458, 5.458) * CHOOSE(CONTROL!$C$21, $C$9, 100%, $E$9)</f>
        <v>5.4580000000000002</v>
      </c>
      <c r="D83" s="17">
        <f>CHOOSE(CONTROL!$C$42, 5.5393, 5.5393) * CHOOSE(CONTROL!$C$21, $C$9, 100%, $E$9)</f>
        <v>5.5392999999999999</v>
      </c>
      <c r="E83" s="17">
        <f>CHOOSE(CONTROL!$C$42, 5.5731, 5.5731) * CHOOSE(CONTROL!$C$21, $C$9, 100%, $E$9)</f>
        <v>5.5731000000000002</v>
      </c>
      <c r="F83" s="17">
        <f>CHOOSE(CONTROL!$C$42, 5.4708, 5.4708)*CHOOSE(CONTROL!$C$21, $C$9, 100%, $E$9)</f>
        <v>5.4707999999999997</v>
      </c>
      <c r="G83" s="17">
        <f>CHOOSE(CONTROL!$C$42, 5.4876, 5.4876)*CHOOSE(CONTROL!$C$21, $C$9, 100%, $E$9)</f>
        <v>5.4875999999999996</v>
      </c>
      <c r="H83" s="17">
        <f>CHOOSE(CONTROL!$C$42, 5.562, 5.562) * CHOOSE(CONTROL!$C$21, $C$9, 100%, $E$9)</f>
        <v>5.5620000000000003</v>
      </c>
      <c r="I83" s="17">
        <f>CHOOSE(CONTROL!$C$42, 5.4948, 5.4948)* CHOOSE(CONTROL!$C$21, $C$9, 100%, $E$9)</f>
        <v>5.4947999999999997</v>
      </c>
      <c r="J83" s="17">
        <f>CHOOSE(CONTROL!$C$42, 5.4634, 5.4634)* CHOOSE(CONTROL!$C$21, $C$9, 100%, $E$9)</f>
        <v>5.4634</v>
      </c>
      <c r="K83" s="52">
        <f>CHOOSE(CONTROL!$C$42, 5.4887, 5.4887) * CHOOSE(CONTROL!$C$21, $C$9, 100%, $E$9)</f>
        <v>5.4886999999999997</v>
      </c>
      <c r="L83" s="17">
        <f>CHOOSE(CONTROL!$C$42, 6.149, 6.149) * CHOOSE(CONTROL!$C$21, $C$9, 100%, $E$9)</f>
        <v>6.149</v>
      </c>
      <c r="M83" s="17">
        <f>CHOOSE(CONTROL!$C$42, 5.4213, 5.4213) * CHOOSE(CONTROL!$C$21, $C$9, 100%, $E$9)</f>
        <v>5.4212999999999996</v>
      </c>
      <c r="N83" s="17">
        <f>CHOOSE(CONTROL!$C$42, 5.4379, 5.4379) * CHOOSE(CONTROL!$C$21, $C$9, 100%, $E$9)</f>
        <v>5.4379</v>
      </c>
      <c r="O83" s="17">
        <f>CHOOSE(CONTROL!$C$42, 5.519, 5.519) * CHOOSE(CONTROL!$C$21, $C$9, 100%, $E$9)</f>
        <v>5.5190000000000001</v>
      </c>
      <c r="P83" s="17">
        <f>CHOOSE(CONTROL!$C$42, 5.4522, 5.4522) * CHOOSE(CONTROL!$C$21, $C$9, 100%, $E$9)</f>
        <v>5.4522000000000004</v>
      </c>
      <c r="Q83" s="17">
        <f>CHOOSE(CONTROL!$C$42, 6.1137, 6.1137) * CHOOSE(CONTROL!$C$21, $C$9, 100%, $E$9)</f>
        <v>6.1136999999999997</v>
      </c>
      <c r="R83" s="17">
        <f>CHOOSE(CONTROL!$C$42, 6.7159, 6.7159) * CHOOSE(CONTROL!$C$21, $C$9, 100%, $E$9)</f>
        <v>6.7159000000000004</v>
      </c>
      <c r="S83" s="17">
        <f>CHOOSE(CONTROL!$C$42, 5.2782, 5.2782) * CHOOSE(CONTROL!$C$21, $C$9, 100%, $E$9)</f>
        <v>5.2782</v>
      </c>
      <c r="T8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83" s="56">
        <f>(1000*CHOOSE(CONTROL!$C$42, 695, 695)*CHOOSE(CONTROL!$C$42, 0.5599, 0.5599)*CHOOSE(CONTROL!$C$42, 30, 30))/1000000</f>
        <v>11.673914999999997</v>
      </c>
      <c r="V83" s="56">
        <f>(1000*CHOOSE(CONTROL!$C$42, 500, 500)*CHOOSE(CONTROL!$C$42, 0.275, 0.275)*CHOOSE(CONTROL!$C$42, 30, 30))/1000000</f>
        <v>4.125</v>
      </c>
      <c r="W83" s="56">
        <f>(1000*CHOOSE(CONTROL!$C$42, 0.0916, 0.0916)*CHOOSE(CONTROL!$C$42, 121.5, 121.5)*CHOOSE(CONTROL!$C$42, 30, 30))/1000000</f>
        <v>0.33388200000000001</v>
      </c>
      <c r="X83" s="56">
        <f>(30*0.2374*100000/1000000)</f>
        <v>0.71220000000000006</v>
      </c>
      <c r="Y83" s="56"/>
      <c r="Z83" s="17"/>
      <c r="AA83" s="55"/>
      <c r="AB83" s="48">
        <f>(B83*122.58+C83*297.941+D83*89.177+E83*140.302+F83*40+G83*60+H83*0+I83*100+J83*300)/(122.58+297.941+89.177+140.302+0+40+60+100+300)</f>
        <v>5.4844014715652172</v>
      </c>
      <c r="AC83" s="45">
        <f>(M83*'RAP TEMPLATE-GAS AVAILABILITY'!O82+N83*'RAP TEMPLATE-GAS AVAILABILITY'!P82+O83*'RAP TEMPLATE-GAS AVAILABILITY'!Q82+P83*'RAP TEMPLATE-GAS AVAILABILITY'!R82)/('RAP TEMPLATE-GAS AVAILABILITY'!O82+'RAP TEMPLATE-GAS AVAILABILITY'!P82+'RAP TEMPLATE-GAS AVAILABILITY'!Q82+'RAP TEMPLATE-GAS AVAILABILITY'!R82)</f>
        <v>5.4709827338129502</v>
      </c>
    </row>
    <row r="84" spans="1:29" ht="15.75" x14ac:dyDescent="0.25">
      <c r="A84" s="16">
        <v>43435</v>
      </c>
      <c r="B84" s="17">
        <f>CHOOSE(CONTROL!$C$42, 5.8359, 5.8359) * CHOOSE(CONTROL!$C$21, $C$9, 100%, $E$9)</f>
        <v>5.8358999999999996</v>
      </c>
      <c r="C84" s="17">
        <f>CHOOSE(CONTROL!$C$42, 5.841, 5.841) * CHOOSE(CONTROL!$C$21, $C$9, 100%, $E$9)</f>
        <v>5.8410000000000002</v>
      </c>
      <c r="D84" s="17">
        <f>CHOOSE(CONTROL!$C$42, 5.9224, 5.9224) * CHOOSE(CONTROL!$C$21, $C$9, 100%, $E$9)</f>
        <v>5.9223999999999997</v>
      </c>
      <c r="E84" s="17">
        <f>CHOOSE(CONTROL!$C$42, 5.9561, 5.9561) * CHOOSE(CONTROL!$C$21, $C$9, 100%, $E$9)</f>
        <v>5.9561000000000002</v>
      </c>
      <c r="F84" s="17">
        <f>CHOOSE(CONTROL!$C$42, 5.8562, 5.8562)*CHOOSE(CONTROL!$C$21, $C$9, 100%, $E$9)</f>
        <v>5.8562000000000003</v>
      </c>
      <c r="G84" s="17">
        <f>CHOOSE(CONTROL!$C$42, 5.8736, 5.8736)*CHOOSE(CONTROL!$C$21, $C$9, 100%, $E$9)</f>
        <v>5.8735999999999997</v>
      </c>
      <c r="H84" s="17">
        <f>CHOOSE(CONTROL!$C$42, 5.945, 5.945) * CHOOSE(CONTROL!$C$21, $C$9, 100%, $E$9)</f>
        <v>5.9450000000000003</v>
      </c>
      <c r="I84" s="17">
        <f>CHOOSE(CONTROL!$C$42, 5.879, 5.879)* CHOOSE(CONTROL!$C$21, $C$9, 100%, $E$9)</f>
        <v>5.8789999999999996</v>
      </c>
      <c r="J84" s="17">
        <f>CHOOSE(CONTROL!$C$42, 5.8488, 5.8488)* CHOOSE(CONTROL!$C$21, $C$9, 100%, $E$9)</f>
        <v>5.8487999999999998</v>
      </c>
      <c r="K84" s="52">
        <f>CHOOSE(CONTROL!$C$42, 5.8729, 5.8729) * CHOOSE(CONTROL!$C$21, $C$9, 100%, $E$9)</f>
        <v>5.8728999999999996</v>
      </c>
      <c r="L84" s="17">
        <f>CHOOSE(CONTROL!$C$42, 6.532, 6.532) * CHOOSE(CONTROL!$C$21, $C$9, 100%, $E$9)</f>
        <v>6.532</v>
      </c>
      <c r="M84" s="17">
        <f>CHOOSE(CONTROL!$C$42, 5.8032, 5.8032) * CHOOSE(CONTROL!$C$21, $C$9, 100%, $E$9)</f>
        <v>5.8032000000000004</v>
      </c>
      <c r="N84" s="17">
        <f>CHOOSE(CONTROL!$C$42, 5.8204, 5.8204) * CHOOSE(CONTROL!$C$21, $C$9, 100%, $E$9)</f>
        <v>5.8204000000000002</v>
      </c>
      <c r="O84" s="17">
        <f>CHOOSE(CONTROL!$C$42, 5.8985, 5.8985) * CHOOSE(CONTROL!$C$21, $C$9, 100%, $E$9)</f>
        <v>5.8985000000000003</v>
      </c>
      <c r="P84" s="17">
        <f>CHOOSE(CONTROL!$C$42, 5.833, 5.833) * CHOOSE(CONTROL!$C$21, $C$9, 100%, $E$9)</f>
        <v>5.8330000000000002</v>
      </c>
      <c r="Q84" s="17">
        <f>CHOOSE(CONTROL!$C$42, 6.4932, 6.4932) * CHOOSE(CONTROL!$C$21, $C$9, 100%, $E$9)</f>
        <v>6.4931999999999999</v>
      </c>
      <c r="R84" s="17">
        <f>CHOOSE(CONTROL!$C$42, 7.0965, 7.0965) * CHOOSE(CONTROL!$C$21, $C$9, 100%, $E$9)</f>
        <v>7.0964999999999998</v>
      </c>
      <c r="S84" s="17">
        <f>CHOOSE(CONTROL!$C$42, 5.6496, 5.6496) * CHOOSE(CONTROL!$C$21, $C$9, 100%, $E$9)</f>
        <v>5.6496000000000004</v>
      </c>
      <c r="T8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84" s="56">
        <f>(1000*CHOOSE(CONTROL!$C$42, 695, 695)*CHOOSE(CONTROL!$C$42, 0.5599, 0.5599)*CHOOSE(CONTROL!$C$42, 31, 31))/1000000</f>
        <v>12.063045499999998</v>
      </c>
      <c r="V84" s="56">
        <f>(1000*CHOOSE(CONTROL!$C$42, 500, 500)*CHOOSE(CONTROL!$C$42, 0.275, 0.275)*CHOOSE(CONTROL!$C$42, 31, 31))/1000000</f>
        <v>4.2625000000000002</v>
      </c>
      <c r="W84" s="56">
        <f>(1000*CHOOSE(CONTROL!$C$42, 0.0916, 0.0916)*CHOOSE(CONTROL!$C$42, 121.5, 121.5)*CHOOSE(CONTROL!$C$42, 31, 31))/1000000</f>
        <v>0.34501139999999997</v>
      </c>
      <c r="X84" s="56">
        <f>(31*0.2374*100000/1000000)</f>
        <v>0.73594000000000004</v>
      </c>
      <c r="Y84" s="56"/>
      <c r="Z84" s="17"/>
      <c r="AA84" s="55"/>
      <c r="AB84" s="48">
        <f>(B84*122.58+C84*297.941+D84*89.177+E84*140.302+F84*40+G84*60+H84*0+I84*100+J84*300)/(122.58+297.941+89.177+140.302+0+40+60+100+300)</f>
        <v>5.8683796608695644</v>
      </c>
      <c r="AC84" s="45">
        <f>(M84*'RAP TEMPLATE-GAS AVAILABILITY'!O83+N84*'RAP TEMPLATE-GAS AVAILABILITY'!P83+O84*'RAP TEMPLATE-GAS AVAILABILITY'!Q83+P84*'RAP TEMPLATE-GAS AVAILABILITY'!R83)/('RAP TEMPLATE-GAS AVAILABILITY'!O83+'RAP TEMPLATE-GAS AVAILABILITY'!P83+'RAP TEMPLATE-GAS AVAILABILITY'!Q83+'RAP TEMPLATE-GAS AVAILABILITY'!R83)</f>
        <v>5.851671223021583</v>
      </c>
    </row>
    <row r="85" spans="1:29" ht="15.75" x14ac:dyDescent="0.25">
      <c r="A85" s="16">
        <v>43466</v>
      </c>
      <c r="B85" s="17">
        <f>CHOOSE(CONTROL!$C$42, 6.5031, 6.5031) * CHOOSE(CONTROL!$C$21, $C$9, 100%, $E$9)</f>
        <v>6.5030999999999999</v>
      </c>
      <c r="C85" s="17">
        <f>CHOOSE(CONTROL!$C$42, 6.5082, 6.5082) * CHOOSE(CONTROL!$C$21, $C$9, 100%, $E$9)</f>
        <v>6.5082000000000004</v>
      </c>
      <c r="D85" s="17">
        <f>CHOOSE(CONTROL!$C$42, 6.605, 6.605) * CHOOSE(CONTROL!$C$21, $C$9, 100%, $E$9)</f>
        <v>6.6050000000000004</v>
      </c>
      <c r="E85" s="17">
        <f>CHOOSE(CONTROL!$C$42, 6.6388, 6.6388) * CHOOSE(CONTROL!$C$21, $C$9, 100%, $E$9)</f>
        <v>6.6387999999999998</v>
      </c>
      <c r="F85" s="17">
        <f>CHOOSE(CONTROL!$C$42, 6.5174, 6.5174)*CHOOSE(CONTROL!$C$21, $C$9, 100%, $E$9)</f>
        <v>6.5174000000000003</v>
      </c>
      <c r="G85" s="17">
        <f>CHOOSE(CONTROL!$C$42, 6.5338, 6.5338)*CHOOSE(CONTROL!$C$21, $C$9, 100%, $E$9)</f>
        <v>6.5338000000000003</v>
      </c>
      <c r="H85" s="17">
        <f>CHOOSE(CONTROL!$C$42, 6.6277, 6.6277) * CHOOSE(CONTROL!$C$21, $C$9, 100%, $E$9)</f>
        <v>6.6276999999999999</v>
      </c>
      <c r="I85" s="17">
        <f>CHOOSE(CONTROL!$C$42, 6.5483, 6.5483)* CHOOSE(CONTROL!$C$21, $C$9, 100%, $E$9)</f>
        <v>6.5483000000000002</v>
      </c>
      <c r="J85" s="17">
        <f>CHOOSE(CONTROL!$C$42, 6.51, 6.51)* CHOOSE(CONTROL!$C$21, $C$9, 100%, $E$9)</f>
        <v>6.51</v>
      </c>
      <c r="K85" s="52">
        <f>CHOOSE(CONTROL!$C$42, 6.5422, 6.5422) * CHOOSE(CONTROL!$C$21, $C$9, 100%, $E$9)</f>
        <v>6.5422000000000002</v>
      </c>
      <c r="L85" s="17">
        <f>CHOOSE(CONTROL!$C$42, 7.2147, 7.2147) * CHOOSE(CONTROL!$C$21, $C$9, 100%, $E$9)</f>
        <v>7.2146999999999997</v>
      </c>
      <c r="M85" s="17">
        <f>CHOOSE(CONTROL!$C$42, 6.4584, 6.4584) * CHOOSE(CONTROL!$C$21, $C$9, 100%, $E$9)</f>
        <v>6.4584000000000001</v>
      </c>
      <c r="N85" s="17">
        <f>CHOOSE(CONTROL!$C$42, 6.4747, 6.4747) * CHOOSE(CONTROL!$C$21, $C$9, 100%, $E$9)</f>
        <v>6.4747000000000003</v>
      </c>
      <c r="O85" s="17">
        <f>CHOOSE(CONTROL!$C$42, 6.5751, 6.5751) * CHOOSE(CONTROL!$C$21, $C$9, 100%, $E$9)</f>
        <v>6.5750999999999999</v>
      </c>
      <c r="P85" s="17">
        <f>CHOOSE(CONTROL!$C$42, 6.4962, 6.4962) * CHOOSE(CONTROL!$C$21, $C$9, 100%, $E$9)</f>
        <v>6.4962</v>
      </c>
      <c r="Q85" s="17">
        <f>CHOOSE(CONTROL!$C$42, 7.1698, 7.1698) * CHOOSE(CONTROL!$C$21, $C$9, 100%, $E$9)</f>
        <v>7.1698000000000004</v>
      </c>
      <c r="R85" s="17">
        <f>CHOOSE(CONTROL!$C$42, 7.7747, 7.7747) * CHOOSE(CONTROL!$C$21, $C$9, 100%, $E$9)</f>
        <v>7.7747000000000002</v>
      </c>
      <c r="S85" s="17">
        <f>CHOOSE(CONTROL!$C$42, 6.2966, 6.2966) * CHOOSE(CONTROL!$C$21, $C$9, 100%, $E$9)</f>
        <v>6.2965999999999998</v>
      </c>
      <c r="T8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85" s="56">
        <f>(1000*CHOOSE(CONTROL!$C$42, 695, 695)*CHOOSE(CONTROL!$C$42, 0.5599, 0.5599)*CHOOSE(CONTROL!$C$42, 31, 31))/1000000</f>
        <v>12.063045499999998</v>
      </c>
      <c r="V85" s="56">
        <f>(1000*CHOOSE(CONTROL!$C$42, 500, 500)*CHOOSE(CONTROL!$C$42, 0.275, 0.275)*CHOOSE(CONTROL!$C$42, 31, 31))/1000000</f>
        <v>4.2625000000000002</v>
      </c>
      <c r="W85" s="56">
        <f>(1000*CHOOSE(CONTROL!$C$42, 0.0916, 0.0916)*CHOOSE(CONTROL!$C$42, 121.5, 121.5)*CHOOSE(CONTROL!$C$42, 31, 31))/1000000</f>
        <v>0.34501139999999997</v>
      </c>
      <c r="X85" s="56">
        <f>(31*0.2374*100000/1000000)</f>
        <v>0.73594000000000004</v>
      </c>
      <c r="Y85" s="56"/>
      <c r="Z85" s="17"/>
      <c r="AA85" s="55"/>
      <c r="AB85" s="48">
        <f>(B85*122.58+C85*297.941+D85*89.177+E85*140.302+F85*40+G85*60+H85*0+I85*100+J85*300)/(122.58+297.941+89.177+140.302+0+40+60+100+300)</f>
        <v>6.5367083624347826</v>
      </c>
      <c r="AC85" s="45">
        <f>(M85*'RAP TEMPLATE-GAS AVAILABILITY'!O84+N85*'RAP TEMPLATE-GAS AVAILABILITY'!P84+O85*'RAP TEMPLATE-GAS AVAILABILITY'!Q84+P85*'RAP TEMPLATE-GAS AVAILABILITY'!R84)/('RAP TEMPLATE-GAS AVAILABILITY'!O84+'RAP TEMPLATE-GAS AVAILABILITY'!P84+'RAP TEMPLATE-GAS AVAILABILITY'!Q84+'RAP TEMPLATE-GAS AVAILABILITY'!R84)</f>
        <v>6.5176697841726616</v>
      </c>
    </row>
    <row r="86" spans="1:29" ht="15.75" x14ac:dyDescent="0.25">
      <c r="A86" s="16">
        <v>43497</v>
      </c>
      <c r="B86" s="17">
        <f>CHOOSE(CONTROL!$C$42, 6.6323, 6.6323) * CHOOSE(CONTROL!$C$21, $C$9, 100%, $E$9)</f>
        <v>6.6322999999999999</v>
      </c>
      <c r="C86" s="17">
        <f>CHOOSE(CONTROL!$C$42, 6.6374, 6.6374) * CHOOSE(CONTROL!$C$21, $C$9, 100%, $E$9)</f>
        <v>6.6374000000000004</v>
      </c>
      <c r="D86" s="17">
        <f>CHOOSE(CONTROL!$C$42, 6.7342, 6.7342) * CHOOSE(CONTROL!$C$21, $C$9, 100%, $E$9)</f>
        <v>6.7342000000000004</v>
      </c>
      <c r="E86" s="17">
        <f>CHOOSE(CONTROL!$C$42, 6.768, 6.768) * CHOOSE(CONTROL!$C$21, $C$9, 100%, $E$9)</f>
        <v>6.7679999999999998</v>
      </c>
      <c r="F86" s="17">
        <f>CHOOSE(CONTROL!$C$42, 6.6466, 6.6466)*CHOOSE(CONTROL!$C$21, $C$9, 100%, $E$9)</f>
        <v>6.6466000000000003</v>
      </c>
      <c r="G86" s="17">
        <f>CHOOSE(CONTROL!$C$42, 6.663, 6.663)*CHOOSE(CONTROL!$C$21, $C$9, 100%, $E$9)</f>
        <v>6.6630000000000003</v>
      </c>
      <c r="H86" s="17">
        <f>CHOOSE(CONTROL!$C$42, 6.7569, 6.7569) * CHOOSE(CONTROL!$C$21, $C$9, 100%, $E$9)</f>
        <v>6.7568999999999999</v>
      </c>
      <c r="I86" s="17">
        <f>CHOOSE(CONTROL!$C$42, 6.6778, 6.6778)* CHOOSE(CONTROL!$C$21, $C$9, 100%, $E$9)</f>
        <v>6.6778000000000004</v>
      </c>
      <c r="J86" s="17">
        <f>CHOOSE(CONTROL!$C$42, 6.6392, 6.6392)* CHOOSE(CONTROL!$C$21, $C$9, 100%, $E$9)</f>
        <v>6.6391999999999998</v>
      </c>
      <c r="K86" s="52">
        <f>CHOOSE(CONTROL!$C$42, 6.6718, 6.6718) * CHOOSE(CONTROL!$C$21, $C$9, 100%, $E$9)</f>
        <v>6.6718000000000002</v>
      </c>
      <c r="L86" s="17">
        <f>CHOOSE(CONTROL!$C$42, 7.3439, 7.3439) * CHOOSE(CONTROL!$C$21, $C$9, 100%, $E$9)</f>
        <v>7.3438999999999997</v>
      </c>
      <c r="M86" s="17">
        <f>CHOOSE(CONTROL!$C$42, 6.5865, 6.5865) * CHOOSE(CONTROL!$C$21, $C$9, 100%, $E$9)</f>
        <v>6.5865</v>
      </c>
      <c r="N86" s="17">
        <f>CHOOSE(CONTROL!$C$42, 6.6027, 6.6027) * CHOOSE(CONTROL!$C$21, $C$9, 100%, $E$9)</f>
        <v>6.6026999999999996</v>
      </c>
      <c r="O86" s="17">
        <f>CHOOSE(CONTROL!$C$42, 6.7031, 6.7031) * CHOOSE(CONTROL!$C$21, $C$9, 100%, $E$9)</f>
        <v>6.7031000000000001</v>
      </c>
      <c r="P86" s="17">
        <f>CHOOSE(CONTROL!$C$42, 6.6247, 6.6247) * CHOOSE(CONTROL!$C$21, $C$9, 100%, $E$9)</f>
        <v>6.6246999999999998</v>
      </c>
      <c r="Q86" s="17">
        <f>CHOOSE(CONTROL!$C$42, 7.2978, 7.2978) * CHOOSE(CONTROL!$C$21, $C$9, 100%, $E$9)</f>
        <v>7.2977999999999996</v>
      </c>
      <c r="R86" s="17">
        <f>CHOOSE(CONTROL!$C$42, 7.9031, 7.9031) * CHOOSE(CONTROL!$C$21, $C$9, 100%, $E$9)</f>
        <v>7.9031000000000002</v>
      </c>
      <c r="S86" s="17">
        <f>CHOOSE(CONTROL!$C$42, 6.4218, 6.4218) * CHOOSE(CONTROL!$C$21, $C$9, 100%, $E$9)</f>
        <v>6.4218000000000002</v>
      </c>
      <c r="T8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86" s="56">
        <f>(1000*CHOOSE(CONTROL!$C$42, 695, 695)*CHOOSE(CONTROL!$C$42, 0.5599, 0.5599)*CHOOSE(CONTROL!$C$42, 28, 28))/1000000</f>
        <v>10.895653999999999</v>
      </c>
      <c r="V86" s="56">
        <f>(1000*CHOOSE(CONTROL!$C$42, 500, 500)*CHOOSE(CONTROL!$C$42, 0.275, 0.275)*CHOOSE(CONTROL!$C$42, 28, 28))/1000000</f>
        <v>3.85</v>
      </c>
      <c r="W86" s="56">
        <f>(1000*CHOOSE(CONTROL!$C$42, 0.0916, 0.0916)*CHOOSE(CONTROL!$C$42, 121.5, 121.5)*CHOOSE(CONTROL!$C$42, 28, 28))/1000000</f>
        <v>0.31162319999999999</v>
      </c>
      <c r="X86" s="56">
        <f>(28*0.2374*100000/1000000)</f>
        <v>0.66471999999999998</v>
      </c>
      <c r="Y86" s="56"/>
      <c r="Z86" s="17"/>
      <c r="AA86" s="55"/>
      <c r="AB86" s="48">
        <f>(B86*122.58+C86*297.941+D86*89.177+E86*140.302+F86*40+G86*60+H86*0+I86*100+J86*300)/(122.58+297.941+89.177+140.302+0+40+60+100+300)</f>
        <v>6.6659344493913029</v>
      </c>
      <c r="AC86" s="45">
        <f>(M86*'RAP TEMPLATE-GAS AVAILABILITY'!O85+N86*'RAP TEMPLATE-GAS AVAILABILITY'!P85+O86*'RAP TEMPLATE-GAS AVAILABILITY'!Q85+P86*'RAP TEMPLATE-GAS AVAILABILITY'!R85)/('RAP TEMPLATE-GAS AVAILABILITY'!O85+'RAP TEMPLATE-GAS AVAILABILITY'!P85+'RAP TEMPLATE-GAS AVAILABILITY'!Q85+'RAP TEMPLATE-GAS AVAILABILITY'!R85)</f>
        <v>6.6457762589928064</v>
      </c>
    </row>
    <row r="87" spans="1:29" ht="15.75" x14ac:dyDescent="0.25">
      <c r="A87" s="16">
        <v>43525</v>
      </c>
      <c r="B87" s="17">
        <f>CHOOSE(CONTROL!$C$42, 6.4576, 6.4576) * CHOOSE(CONTROL!$C$21, $C$9, 100%, $E$9)</f>
        <v>6.4576000000000002</v>
      </c>
      <c r="C87" s="17">
        <f>CHOOSE(CONTROL!$C$42, 6.4627, 6.4627) * CHOOSE(CONTROL!$C$21, $C$9, 100%, $E$9)</f>
        <v>6.4626999999999999</v>
      </c>
      <c r="D87" s="17">
        <f>CHOOSE(CONTROL!$C$42, 6.5595, 6.5595) * CHOOSE(CONTROL!$C$21, $C$9, 100%, $E$9)</f>
        <v>6.5594999999999999</v>
      </c>
      <c r="E87" s="17">
        <f>CHOOSE(CONTROL!$C$42, 6.5932, 6.5932) * CHOOSE(CONTROL!$C$21, $C$9, 100%, $E$9)</f>
        <v>6.5932000000000004</v>
      </c>
      <c r="F87" s="17">
        <f>CHOOSE(CONTROL!$C$42, 6.4712, 6.4712)*CHOOSE(CONTROL!$C$21, $C$9, 100%, $E$9)</f>
        <v>6.4711999999999996</v>
      </c>
      <c r="G87" s="17">
        <f>CHOOSE(CONTROL!$C$42, 6.4874, 6.4874)*CHOOSE(CONTROL!$C$21, $C$9, 100%, $E$9)</f>
        <v>6.4874000000000001</v>
      </c>
      <c r="H87" s="17">
        <f>CHOOSE(CONTROL!$C$42, 6.5821, 6.5821) * CHOOSE(CONTROL!$C$21, $C$9, 100%, $E$9)</f>
        <v>6.5820999999999996</v>
      </c>
      <c r="I87" s="17">
        <f>CHOOSE(CONTROL!$C$42, 6.5026, 6.5026)* CHOOSE(CONTROL!$C$21, $C$9, 100%, $E$9)</f>
        <v>6.5026000000000002</v>
      </c>
      <c r="J87" s="17">
        <f>CHOOSE(CONTROL!$C$42, 6.4638, 6.4638)* CHOOSE(CONTROL!$C$21, $C$9, 100%, $E$9)</f>
        <v>6.4638</v>
      </c>
      <c r="K87" s="52">
        <f>CHOOSE(CONTROL!$C$42, 6.4965, 6.4965) * CHOOSE(CONTROL!$C$21, $C$9, 100%, $E$9)</f>
        <v>6.4965000000000002</v>
      </c>
      <c r="L87" s="17">
        <f>CHOOSE(CONTROL!$C$42, 7.1691, 7.1691) * CHOOSE(CONTROL!$C$21, $C$9, 100%, $E$9)</f>
        <v>7.1691000000000003</v>
      </c>
      <c r="M87" s="17">
        <f>CHOOSE(CONTROL!$C$42, 6.4127, 6.4127) * CHOOSE(CONTROL!$C$21, $C$9, 100%, $E$9)</f>
        <v>6.4127000000000001</v>
      </c>
      <c r="N87" s="17">
        <f>CHOOSE(CONTROL!$C$42, 6.4288, 6.4288) * CHOOSE(CONTROL!$C$21, $C$9, 100%, $E$9)</f>
        <v>6.4287999999999998</v>
      </c>
      <c r="O87" s="17">
        <f>CHOOSE(CONTROL!$C$42, 6.5299, 6.5299) * CHOOSE(CONTROL!$C$21, $C$9, 100%, $E$9)</f>
        <v>6.5298999999999996</v>
      </c>
      <c r="P87" s="17">
        <f>CHOOSE(CONTROL!$C$42, 6.451, 6.451) * CHOOSE(CONTROL!$C$21, $C$9, 100%, $E$9)</f>
        <v>6.4509999999999996</v>
      </c>
      <c r="Q87" s="17">
        <f>CHOOSE(CONTROL!$C$42, 7.1246, 7.1246) * CHOOSE(CONTROL!$C$21, $C$9, 100%, $E$9)</f>
        <v>7.1246</v>
      </c>
      <c r="R87" s="17">
        <f>CHOOSE(CONTROL!$C$42, 7.7294, 7.7294) * CHOOSE(CONTROL!$C$21, $C$9, 100%, $E$9)</f>
        <v>7.7294</v>
      </c>
      <c r="S87" s="17">
        <f>CHOOSE(CONTROL!$C$42, 6.2524, 6.2524) * CHOOSE(CONTROL!$C$21, $C$9, 100%, $E$9)</f>
        <v>6.2523999999999997</v>
      </c>
      <c r="T8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87" s="56">
        <f>(1000*CHOOSE(CONTROL!$C$42, 695, 695)*CHOOSE(CONTROL!$C$42, 0.5599, 0.5599)*CHOOSE(CONTROL!$C$42, 31, 31))/1000000</f>
        <v>12.063045499999998</v>
      </c>
      <c r="V87" s="56">
        <f>(1000*CHOOSE(CONTROL!$C$42, 500, 500)*CHOOSE(CONTROL!$C$42, 0.275, 0.275)*CHOOSE(CONTROL!$C$42, 31, 31))/1000000</f>
        <v>4.2625000000000002</v>
      </c>
      <c r="W87" s="56">
        <f>(1000*CHOOSE(CONTROL!$C$42, 0.0916, 0.0916)*CHOOSE(CONTROL!$C$42, 121.5, 121.5)*CHOOSE(CONTROL!$C$42, 31, 31))/1000000</f>
        <v>0.34501139999999997</v>
      </c>
      <c r="X87" s="56">
        <f>(31*0.2374*100000/1000000)</f>
        <v>0.73594000000000004</v>
      </c>
      <c r="Y87" s="56"/>
      <c r="Z87" s="17"/>
      <c r="AA87" s="55"/>
      <c r="AB87" s="48">
        <f>(B87*122.58+C87*297.941+D87*89.177+E87*140.302+F87*40+G87*60+H87*0+I87*100+J87*300)/(122.58+297.941+89.177+140.302+0+40+60+100+300)</f>
        <v>6.4909248579130434</v>
      </c>
      <c r="AC87" s="45">
        <f>(M87*'RAP TEMPLATE-GAS AVAILABILITY'!O86+N87*'RAP TEMPLATE-GAS AVAILABILITY'!P86+O87*'RAP TEMPLATE-GAS AVAILABILITY'!Q86+P87*'RAP TEMPLATE-GAS AVAILABILITY'!R86)/('RAP TEMPLATE-GAS AVAILABILITY'!O86+'RAP TEMPLATE-GAS AVAILABILITY'!P86+'RAP TEMPLATE-GAS AVAILABILITY'!Q86+'RAP TEMPLATE-GAS AVAILABILITY'!R86)</f>
        <v>6.4722568345323728</v>
      </c>
    </row>
    <row r="88" spans="1:29" ht="15.75" x14ac:dyDescent="0.25">
      <c r="A88" s="16">
        <v>43556</v>
      </c>
      <c r="B88" s="17">
        <f>CHOOSE(CONTROL!$C$42, 6.4525, 6.4525) * CHOOSE(CONTROL!$C$21, $C$9, 100%, $E$9)</f>
        <v>6.4524999999999997</v>
      </c>
      <c r="C88" s="17">
        <f>CHOOSE(CONTROL!$C$42, 6.457, 6.457) * CHOOSE(CONTROL!$C$21, $C$9, 100%, $E$9)</f>
        <v>6.4569999999999999</v>
      </c>
      <c r="D88" s="17">
        <f>CHOOSE(CONTROL!$C$42, 6.7046, 6.7046) * CHOOSE(CONTROL!$C$21, $C$9, 100%, $E$9)</f>
        <v>6.7046000000000001</v>
      </c>
      <c r="E88" s="17">
        <f>CHOOSE(CONTROL!$C$42, 6.7364, 6.7364) * CHOOSE(CONTROL!$C$21, $C$9, 100%, $E$9)</f>
        <v>6.7363999999999997</v>
      </c>
      <c r="F88" s="17">
        <f>CHOOSE(CONTROL!$C$42, 6.4641, 6.4641)*CHOOSE(CONTROL!$C$21, $C$9, 100%, $E$9)</f>
        <v>6.4641000000000002</v>
      </c>
      <c r="G88" s="17">
        <f>CHOOSE(CONTROL!$C$42, 6.4801, 6.4801)*CHOOSE(CONTROL!$C$21, $C$9, 100%, $E$9)</f>
        <v>6.4801000000000002</v>
      </c>
      <c r="H88" s="17">
        <f>CHOOSE(CONTROL!$C$42, 6.7258, 6.7258) * CHOOSE(CONTROL!$C$21, $C$9, 100%, $E$9)</f>
        <v>6.7257999999999996</v>
      </c>
      <c r="I88" s="17">
        <f>CHOOSE(CONTROL!$C$42, 6.4952, 6.4952)* CHOOSE(CONTROL!$C$21, $C$9, 100%, $E$9)</f>
        <v>6.4951999999999996</v>
      </c>
      <c r="J88" s="17">
        <f>CHOOSE(CONTROL!$C$42, 6.4567, 6.4567)* CHOOSE(CONTROL!$C$21, $C$9, 100%, $E$9)</f>
        <v>6.4566999999999997</v>
      </c>
      <c r="K88" s="52">
        <f>CHOOSE(CONTROL!$C$42, 6.4891, 6.4891) * CHOOSE(CONTROL!$C$21, $C$9, 100%, $E$9)</f>
        <v>6.4890999999999996</v>
      </c>
      <c r="L88" s="17">
        <f>CHOOSE(CONTROL!$C$42, 7.3128, 7.3128) * CHOOSE(CONTROL!$C$21, $C$9, 100%, $E$9)</f>
        <v>7.3128000000000002</v>
      </c>
      <c r="M88" s="17">
        <f>CHOOSE(CONTROL!$C$42, 6.4057, 6.4057) * CHOOSE(CONTROL!$C$21, $C$9, 100%, $E$9)</f>
        <v>6.4057000000000004</v>
      </c>
      <c r="N88" s="17">
        <f>CHOOSE(CONTROL!$C$42, 6.4215, 6.4215) * CHOOSE(CONTROL!$C$21, $C$9, 100%, $E$9)</f>
        <v>6.4215</v>
      </c>
      <c r="O88" s="17">
        <f>CHOOSE(CONTROL!$C$42, 6.6723, 6.6723) * CHOOSE(CONTROL!$C$21, $C$9, 100%, $E$9)</f>
        <v>6.6722999999999999</v>
      </c>
      <c r="P88" s="17">
        <f>CHOOSE(CONTROL!$C$42, 6.4436, 6.4436) * CHOOSE(CONTROL!$C$21, $C$9, 100%, $E$9)</f>
        <v>6.4436</v>
      </c>
      <c r="Q88" s="17">
        <f>CHOOSE(CONTROL!$C$42, 7.267, 7.267) * CHOOSE(CONTROL!$C$21, $C$9, 100%, $E$9)</f>
        <v>7.2670000000000003</v>
      </c>
      <c r="R88" s="17">
        <f>CHOOSE(CONTROL!$C$42, 7.8722, 7.8722) * CHOOSE(CONTROL!$C$21, $C$9, 100%, $E$9)</f>
        <v>7.8722000000000003</v>
      </c>
      <c r="S88" s="17">
        <f>CHOOSE(CONTROL!$C$42, 6.2467, 6.2467) * CHOOSE(CONTROL!$C$21, $C$9, 100%, $E$9)</f>
        <v>6.2466999999999997</v>
      </c>
      <c r="T8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88" s="56">
        <f>(1000*CHOOSE(CONTROL!$C$42, 695, 695)*CHOOSE(CONTROL!$C$42, 0.5599, 0.5599)*CHOOSE(CONTROL!$C$42, 30, 30))/1000000</f>
        <v>11.673914999999997</v>
      </c>
      <c r="V88" s="56">
        <f>(1000*CHOOSE(CONTROL!$C$42, 500, 500)*CHOOSE(CONTROL!$C$42, 0.275, 0.275)*CHOOSE(CONTROL!$C$42, 30, 30))/1000000</f>
        <v>4.125</v>
      </c>
      <c r="W88" s="56">
        <f>(1000*CHOOSE(CONTROL!$C$42, 0.0916, 0.0916)*CHOOSE(CONTROL!$C$42, 121.5, 121.5)*CHOOSE(CONTROL!$C$42, 30, 30))/1000000</f>
        <v>0.33388200000000001</v>
      </c>
      <c r="X88" s="56">
        <f>(30*0.1790888*145000/1000000)+(30*0.2374*100000/1000000)</f>
        <v>1.4912362799999999</v>
      </c>
      <c r="Y88" s="56"/>
      <c r="Z88" s="17"/>
      <c r="AA88" s="55"/>
      <c r="AB88" s="48">
        <f>(B88*141.293+C88*267.993+D88*115.016+E88*189.698+F88*40+G88*85+H88*0+I88*100+J88*300)/(141.293+267.993+115.016+189.698+0+40+85+100+300)</f>
        <v>6.5270736596448753</v>
      </c>
      <c r="AC88" s="45">
        <f>(M88*'RAP TEMPLATE-GAS AVAILABILITY'!O87+N88*'RAP TEMPLATE-GAS AVAILABILITY'!P87+O88*'RAP TEMPLATE-GAS AVAILABILITY'!Q87+P88*'RAP TEMPLATE-GAS AVAILABILITY'!R87)/('RAP TEMPLATE-GAS AVAILABILITY'!O87+'RAP TEMPLATE-GAS AVAILABILITY'!P87+'RAP TEMPLATE-GAS AVAILABILITY'!Q87+'RAP TEMPLATE-GAS AVAILABILITY'!R87)</f>
        <v>6.4895920863309344</v>
      </c>
    </row>
    <row r="89" spans="1:29" ht="15.75" x14ac:dyDescent="0.25">
      <c r="A89" s="16">
        <v>43586</v>
      </c>
      <c r="B89" s="17">
        <f>CHOOSE(CONTROL!$C$42, 6.5241, 6.5241) * CHOOSE(CONTROL!$C$21, $C$9, 100%, $E$9)</f>
        <v>6.5240999999999998</v>
      </c>
      <c r="C89" s="17">
        <f>CHOOSE(CONTROL!$C$42, 6.5321, 6.5321) * CHOOSE(CONTROL!$C$21, $C$9, 100%, $E$9)</f>
        <v>6.5320999999999998</v>
      </c>
      <c r="D89" s="17">
        <f>CHOOSE(CONTROL!$C$42, 6.7766, 6.7766) * CHOOSE(CONTROL!$C$21, $C$9, 100%, $E$9)</f>
        <v>6.7766000000000002</v>
      </c>
      <c r="E89" s="17">
        <f>CHOOSE(CONTROL!$C$42, 6.8077, 6.8077) * CHOOSE(CONTROL!$C$21, $C$9, 100%, $E$9)</f>
        <v>6.8076999999999996</v>
      </c>
      <c r="F89" s="17">
        <f>CHOOSE(CONTROL!$C$42, 6.5346, 6.5346)*CHOOSE(CONTROL!$C$21, $C$9, 100%, $E$9)</f>
        <v>6.5346000000000002</v>
      </c>
      <c r="G89" s="17">
        <f>CHOOSE(CONTROL!$C$42, 6.5509, 6.5509)*CHOOSE(CONTROL!$C$21, $C$9, 100%, $E$9)</f>
        <v>6.5509000000000004</v>
      </c>
      <c r="H89" s="17">
        <f>CHOOSE(CONTROL!$C$42, 6.7961, 6.7961) * CHOOSE(CONTROL!$C$21, $C$9, 100%, $E$9)</f>
        <v>6.7961</v>
      </c>
      <c r="I89" s="17">
        <f>CHOOSE(CONTROL!$C$42, 6.5656, 6.5656)* CHOOSE(CONTROL!$C$21, $C$9, 100%, $E$9)</f>
        <v>6.5655999999999999</v>
      </c>
      <c r="J89" s="17">
        <f>CHOOSE(CONTROL!$C$42, 6.5272, 6.5272)* CHOOSE(CONTROL!$C$21, $C$9, 100%, $E$9)</f>
        <v>6.5271999999999997</v>
      </c>
      <c r="K89" s="52">
        <f>CHOOSE(CONTROL!$C$42, 6.5596, 6.5596) * CHOOSE(CONTROL!$C$21, $C$9, 100%, $E$9)</f>
        <v>6.5595999999999997</v>
      </c>
      <c r="L89" s="17">
        <f>CHOOSE(CONTROL!$C$42, 7.3831, 7.3831) * CHOOSE(CONTROL!$C$21, $C$9, 100%, $E$9)</f>
        <v>7.3830999999999998</v>
      </c>
      <c r="M89" s="17">
        <f>CHOOSE(CONTROL!$C$42, 6.4755, 6.4755) * CHOOSE(CONTROL!$C$21, $C$9, 100%, $E$9)</f>
        <v>6.4755000000000003</v>
      </c>
      <c r="N89" s="17">
        <f>CHOOSE(CONTROL!$C$42, 6.4916, 6.4916) * CHOOSE(CONTROL!$C$21, $C$9, 100%, $E$9)</f>
        <v>6.4916</v>
      </c>
      <c r="O89" s="17">
        <f>CHOOSE(CONTROL!$C$42, 6.7419, 6.7419) * CHOOSE(CONTROL!$C$21, $C$9, 100%, $E$9)</f>
        <v>6.7419000000000002</v>
      </c>
      <c r="P89" s="17">
        <f>CHOOSE(CONTROL!$C$42, 6.5134, 6.5134) * CHOOSE(CONTROL!$C$21, $C$9, 100%, $E$9)</f>
        <v>6.5133999999999999</v>
      </c>
      <c r="Q89" s="17">
        <f>CHOOSE(CONTROL!$C$42, 7.3366, 7.3366) * CHOOSE(CONTROL!$C$21, $C$9, 100%, $E$9)</f>
        <v>7.3365999999999998</v>
      </c>
      <c r="R89" s="17">
        <f>CHOOSE(CONTROL!$C$42, 7.942, 7.942) * CHOOSE(CONTROL!$C$21, $C$9, 100%, $E$9)</f>
        <v>7.9420000000000002</v>
      </c>
      <c r="S89" s="17">
        <f>CHOOSE(CONTROL!$C$42, 6.3148, 6.3148) * CHOOSE(CONTROL!$C$21, $C$9, 100%, $E$9)</f>
        <v>6.3148</v>
      </c>
      <c r="T8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89" s="56">
        <f>(1000*CHOOSE(CONTROL!$C$42, 695, 695)*CHOOSE(CONTROL!$C$42, 0.5599, 0.5599)*CHOOSE(CONTROL!$C$42, 31, 31))/1000000</f>
        <v>12.063045499999998</v>
      </c>
      <c r="V89" s="56">
        <f>(1000*CHOOSE(CONTROL!$C$42, 500, 500)*CHOOSE(CONTROL!$C$42, 0.275, 0.275)*CHOOSE(CONTROL!$C$42, 31, 31))/1000000</f>
        <v>4.2625000000000002</v>
      </c>
      <c r="W89" s="56">
        <f>(1000*CHOOSE(CONTROL!$C$42, 0.0916, 0.0916)*CHOOSE(CONTROL!$C$42, 121.5, 121.5)*CHOOSE(CONTROL!$C$42, 31, 31))/1000000</f>
        <v>0.34501139999999997</v>
      </c>
      <c r="X89" s="56">
        <f>(31*0.1790888*145000/1000000)+(31*0.2374*100000/1000000)</f>
        <v>1.5409441560000001</v>
      </c>
      <c r="Y89" s="56"/>
      <c r="Z89" s="17"/>
      <c r="AA89" s="55"/>
      <c r="AB89" s="48">
        <f>(B89*194.205+C89*267.466+D89*133.845+E89*153.484+F89*40+G89*85+H89*0+I89*100+J89*300)/(194.205+267.466+133.845+153.484+0+40+85+100+300)</f>
        <v>6.5925785344583989</v>
      </c>
      <c r="AC89" s="45">
        <f>(M89*'RAP TEMPLATE-GAS AVAILABILITY'!O88+N89*'RAP TEMPLATE-GAS AVAILABILITY'!P88+O89*'RAP TEMPLATE-GAS AVAILABILITY'!Q88+P89*'RAP TEMPLATE-GAS AVAILABILITY'!R88)/('RAP TEMPLATE-GAS AVAILABILITY'!O88+'RAP TEMPLATE-GAS AVAILABILITY'!P88+'RAP TEMPLATE-GAS AVAILABILITY'!Q88+'RAP TEMPLATE-GAS AVAILABILITY'!R88)</f>
        <v>6.5594050359712233</v>
      </c>
    </row>
    <row r="90" spans="1:29" ht="15.75" x14ac:dyDescent="0.25">
      <c r="A90" s="16">
        <v>43617</v>
      </c>
      <c r="B90" s="17">
        <f>CHOOSE(CONTROL!$C$42, 6.7226, 6.7226) * CHOOSE(CONTROL!$C$21, $C$9, 100%, $E$9)</f>
        <v>6.7225999999999999</v>
      </c>
      <c r="C90" s="17">
        <f>CHOOSE(CONTROL!$C$42, 6.7306, 6.7306) * CHOOSE(CONTROL!$C$21, $C$9, 100%, $E$9)</f>
        <v>6.7305999999999999</v>
      </c>
      <c r="D90" s="17">
        <f>CHOOSE(CONTROL!$C$42, 6.975, 6.975) * CHOOSE(CONTROL!$C$21, $C$9, 100%, $E$9)</f>
        <v>6.9749999999999996</v>
      </c>
      <c r="E90" s="17">
        <f>CHOOSE(CONTROL!$C$42, 7.0062, 7.0062) * CHOOSE(CONTROL!$C$21, $C$9, 100%, $E$9)</f>
        <v>7.0061999999999998</v>
      </c>
      <c r="F90" s="17">
        <f>CHOOSE(CONTROL!$C$42, 6.7335, 6.7335)*CHOOSE(CONTROL!$C$21, $C$9, 100%, $E$9)</f>
        <v>6.7335000000000003</v>
      </c>
      <c r="G90" s="17">
        <f>CHOOSE(CONTROL!$C$42, 6.7498, 6.7498)*CHOOSE(CONTROL!$C$21, $C$9, 100%, $E$9)</f>
        <v>6.7497999999999996</v>
      </c>
      <c r="H90" s="17">
        <f>CHOOSE(CONTROL!$C$42, 6.9945, 6.9945) * CHOOSE(CONTROL!$C$21, $C$9, 100%, $E$9)</f>
        <v>6.9945000000000004</v>
      </c>
      <c r="I90" s="17">
        <f>CHOOSE(CONTROL!$C$42, 6.7647, 6.7647)* CHOOSE(CONTROL!$C$21, $C$9, 100%, $E$9)</f>
        <v>6.7647000000000004</v>
      </c>
      <c r="J90" s="17">
        <f>CHOOSE(CONTROL!$C$42, 6.7261, 6.7261)* CHOOSE(CONTROL!$C$21, $C$9, 100%, $E$9)</f>
        <v>6.7260999999999997</v>
      </c>
      <c r="K90" s="52">
        <f>CHOOSE(CONTROL!$C$42, 6.7587, 6.7587) * CHOOSE(CONTROL!$C$21, $C$9, 100%, $E$9)</f>
        <v>6.7587000000000002</v>
      </c>
      <c r="L90" s="17">
        <f>CHOOSE(CONTROL!$C$42, 7.5815, 7.5815) * CHOOSE(CONTROL!$C$21, $C$9, 100%, $E$9)</f>
        <v>7.5815000000000001</v>
      </c>
      <c r="M90" s="17">
        <f>CHOOSE(CONTROL!$C$42, 6.6726, 6.6726) * CHOOSE(CONTROL!$C$21, $C$9, 100%, $E$9)</f>
        <v>6.6726000000000001</v>
      </c>
      <c r="N90" s="17">
        <f>CHOOSE(CONTROL!$C$42, 6.6888, 6.6888) * CHOOSE(CONTROL!$C$21, $C$9, 100%, $E$9)</f>
        <v>6.6887999999999996</v>
      </c>
      <c r="O90" s="17">
        <f>CHOOSE(CONTROL!$C$42, 6.9386, 6.9386) * CHOOSE(CONTROL!$C$21, $C$9, 100%, $E$9)</f>
        <v>6.9386000000000001</v>
      </c>
      <c r="P90" s="17">
        <f>CHOOSE(CONTROL!$C$42, 6.7107, 6.7107) * CHOOSE(CONTROL!$C$21, $C$9, 100%, $E$9)</f>
        <v>6.7107000000000001</v>
      </c>
      <c r="Q90" s="17">
        <f>CHOOSE(CONTROL!$C$42, 7.5333, 7.5333) * CHOOSE(CONTROL!$C$21, $C$9, 100%, $E$9)</f>
        <v>7.5332999999999997</v>
      </c>
      <c r="R90" s="17">
        <f>CHOOSE(CONTROL!$C$42, 8.1392, 8.1392) * CHOOSE(CONTROL!$C$21, $C$9, 100%, $E$9)</f>
        <v>8.1392000000000007</v>
      </c>
      <c r="S90" s="17">
        <f>CHOOSE(CONTROL!$C$42, 6.5073, 6.5073) * CHOOSE(CONTROL!$C$21, $C$9, 100%, $E$9)</f>
        <v>6.5072999999999999</v>
      </c>
      <c r="T9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90" s="56">
        <f>(1000*CHOOSE(CONTROL!$C$42, 695, 695)*CHOOSE(CONTROL!$C$42, 0.5599, 0.5599)*CHOOSE(CONTROL!$C$42, 30, 30))/1000000</f>
        <v>11.673914999999997</v>
      </c>
      <c r="V90" s="56">
        <f>(1000*CHOOSE(CONTROL!$C$42, 500, 500)*CHOOSE(CONTROL!$C$42, 0.275, 0.275)*CHOOSE(CONTROL!$C$42, 30, 30))/1000000</f>
        <v>4.125</v>
      </c>
      <c r="W90" s="56">
        <f>(1000*CHOOSE(CONTROL!$C$42, 0.0916, 0.0916)*CHOOSE(CONTROL!$C$42, 121.5, 121.5)*CHOOSE(CONTROL!$C$42, 30, 30))/1000000</f>
        <v>0.33388200000000001</v>
      </c>
      <c r="X90" s="56">
        <f>(30*0.1790888*145000/1000000)+(30*0.2374*100000/1000000)</f>
        <v>1.4912362799999999</v>
      </c>
      <c r="Y90" s="56"/>
      <c r="Z90" s="17"/>
      <c r="AA90" s="55"/>
      <c r="AB90" s="48">
        <f>(B90*194.205+C90*267.466+D90*133.845+E90*153.484+F90*40+G90*85+H90*0+I90*100+J90*300)/(194.205+267.466+133.845+153.484+0+40+85+100+300)</f>
        <v>6.79124856232339</v>
      </c>
      <c r="AC90" s="45">
        <f>(M90*'RAP TEMPLATE-GAS AVAILABILITY'!O89+N90*'RAP TEMPLATE-GAS AVAILABILITY'!P89+O90*'RAP TEMPLATE-GAS AVAILABILITY'!Q89+P90*'RAP TEMPLATE-GAS AVAILABILITY'!R89)/('RAP TEMPLATE-GAS AVAILABILITY'!O89+'RAP TEMPLATE-GAS AVAILABILITY'!P89+'RAP TEMPLATE-GAS AVAILABILITY'!Q89+'RAP TEMPLATE-GAS AVAILABILITY'!R89)</f>
        <v>6.7564446043165463</v>
      </c>
    </row>
    <row r="91" spans="1:29" ht="15.75" x14ac:dyDescent="0.25">
      <c r="A91" s="16">
        <v>43647</v>
      </c>
      <c r="B91" s="17">
        <f>CHOOSE(CONTROL!$C$42, 6.6074, 6.6074) * CHOOSE(CONTROL!$C$21, $C$9, 100%, $E$9)</f>
        <v>6.6074000000000002</v>
      </c>
      <c r="C91" s="17">
        <f>CHOOSE(CONTROL!$C$42, 6.6154, 6.6154) * CHOOSE(CONTROL!$C$21, $C$9, 100%, $E$9)</f>
        <v>6.6154000000000002</v>
      </c>
      <c r="D91" s="17">
        <f>CHOOSE(CONTROL!$C$42, 6.8599, 6.8599) * CHOOSE(CONTROL!$C$21, $C$9, 100%, $E$9)</f>
        <v>6.8598999999999997</v>
      </c>
      <c r="E91" s="17">
        <f>CHOOSE(CONTROL!$C$42, 6.8911, 6.8911) * CHOOSE(CONTROL!$C$21, $C$9, 100%, $E$9)</f>
        <v>6.8910999999999998</v>
      </c>
      <c r="F91" s="17">
        <f>CHOOSE(CONTROL!$C$42, 6.6187, 6.6187)*CHOOSE(CONTROL!$C$21, $C$9, 100%, $E$9)</f>
        <v>6.6186999999999996</v>
      </c>
      <c r="G91" s="17">
        <f>CHOOSE(CONTROL!$C$42, 6.6352, 6.6352)*CHOOSE(CONTROL!$C$21, $C$9, 100%, $E$9)</f>
        <v>6.6352000000000002</v>
      </c>
      <c r="H91" s="17">
        <f>CHOOSE(CONTROL!$C$42, 6.8794, 6.8794) * CHOOSE(CONTROL!$C$21, $C$9, 100%, $E$9)</f>
        <v>6.8794000000000004</v>
      </c>
      <c r="I91" s="17">
        <f>CHOOSE(CONTROL!$C$42, 6.6492, 6.6492)* CHOOSE(CONTROL!$C$21, $C$9, 100%, $E$9)</f>
        <v>6.6492000000000004</v>
      </c>
      <c r="J91" s="17">
        <f>CHOOSE(CONTROL!$C$42, 6.6113, 6.6113)* CHOOSE(CONTROL!$C$21, $C$9, 100%, $E$9)</f>
        <v>6.6113</v>
      </c>
      <c r="K91" s="52">
        <f>CHOOSE(CONTROL!$C$42, 6.6432, 6.6432) * CHOOSE(CONTROL!$C$21, $C$9, 100%, $E$9)</f>
        <v>6.6432000000000002</v>
      </c>
      <c r="L91" s="17">
        <f>CHOOSE(CONTROL!$C$42, 7.4664, 7.4664) * CHOOSE(CONTROL!$C$21, $C$9, 100%, $E$9)</f>
        <v>7.4664000000000001</v>
      </c>
      <c r="M91" s="17">
        <f>CHOOSE(CONTROL!$C$42, 6.5589, 6.5589) * CHOOSE(CONTROL!$C$21, $C$9, 100%, $E$9)</f>
        <v>6.5589000000000004</v>
      </c>
      <c r="N91" s="17">
        <f>CHOOSE(CONTROL!$C$42, 6.5752, 6.5752) * CHOOSE(CONTROL!$C$21, $C$9, 100%, $E$9)</f>
        <v>6.5751999999999997</v>
      </c>
      <c r="O91" s="17">
        <f>CHOOSE(CONTROL!$C$42, 6.8245, 6.8245) * CHOOSE(CONTROL!$C$21, $C$9, 100%, $E$9)</f>
        <v>6.8244999999999996</v>
      </c>
      <c r="P91" s="17">
        <f>CHOOSE(CONTROL!$C$42, 6.5963, 6.5963) * CHOOSE(CONTROL!$C$21, $C$9, 100%, $E$9)</f>
        <v>6.5963000000000003</v>
      </c>
      <c r="Q91" s="17">
        <f>CHOOSE(CONTROL!$C$42, 7.4192, 7.4192) * CHOOSE(CONTROL!$C$21, $C$9, 100%, $E$9)</f>
        <v>7.4192</v>
      </c>
      <c r="R91" s="17">
        <f>CHOOSE(CONTROL!$C$42, 8.0248, 8.0248) * CHOOSE(CONTROL!$C$21, $C$9, 100%, $E$9)</f>
        <v>8.0248000000000008</v>
      </c>
      <c r="S91" s="17">
        <f>CHOOSE(CONTROL!$C$42, 6.3956, 6.3956) * CHOOSE(CONTROL!$C$21, $C$9, 100%, $E$9)</f>
        <v>6.3956</v>
      </c>
      <c r="T9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91" s="56">
        <f>(1000*CHOOSE(CONTROL!$C$42, 695, 695)*CHOOSE(CONTROL!$C$42, 0.5599, 0.5599)*CHOOSE(CONTROL!$C$42, 31, 31))/1000000</f>
        <v>12.063045499999998</v>
      </c>
      <c r="V91" s="56">
        <f>(1000*CHOOSE(CONTROL!$C$42, 500, 500)*CHOOSE(CONTROL!$C$42, 0.275, 0.275)*CHOOSE(CONTROL!$C$42, 31, 31))/1000000</f>
        <v>4.2625000000000002</v>
      </c>
      <c r="W91" s="56">
        <f>(1000*CHOOSE(CONTROL!$C$42, 0.0916, 0.0916)*CHOOSE(CONTROL!$C$42, 121.5, 121.5)*CHOOSE(CONTROL!$C$42, 31, 31))/1000000</f>
        <v>0.34501139999999997</v>
      </c>
      <c r="X91" s="56">
        <f>(31*0.1790888*145000/1000000)+(31*0.2374*100000/1000000)</f>
        <v>1.5409441560000001</v>
      </c>
      <c r="Y91" s="56"/>
      <c r="Z91" s="17"/>
      <c r="AA91" s="55"/>
      <c r="AB91" s="48">
        <f>(B91*194.205+C91*267.466+D91*133.845+E91*153.484+F91*40+G91*85+H91*0+I91*100+J91*300)/(194.205+267.466+133.845+153.484+0+40+85+100+300)</f>
        <v>6.6761943495290419</v>
      </c>
      <c r="AC91" s="45">
        <f>(M91*'RAP TEMPLATE-GAS AVAILABILITY'!O90+N91*'RAP TEMPLATE-GAS AVAILABILITY'!P90+O91*'RAP TEMPLATE-GAS AVAILABILITY'!Q90+P91*'RAP TEMPLATE-GAS AVAILABILITY'!R90)/('RAP TEMPLATE-GAS AVAILABILITY'!O90+'RAP TEMPLATE-GAS AVAILABILITY'!P90+'RAP TEMPLATE-GAS AVAILABILITY'!Q90+'RAP TEMPLATE-GAS AVAILABILITY'!R90)</f>
        <v>6.6425546762589924</v>
      </c>
    </row>
    <row r="92" spans="1:29" ht="15.75" x14ac:dyDescent="0.25">
      <c r="A92" s="16">
        <v>43678</v>
      </c>
      <c r="B92" s="17">
        <f>CHOOSE(CONTROL!$C$42, 6.2946, 6.2946) * CHOOSE(CONTROL!$C$21, $C$9, 100%, $E$9)</f>
        <v>6.2946</v>
      </c>
      <c r="C92" s="17">
        <f>CHOOSE(CONTROL!$C$42, 6.3026, 6.3026) * CHOOSE(CONTROL!$C$21, $C$9, 100%, $E$9)</f>
        <v>6.3026</v>
      </c>
      <c r="D92" s="17">
        <f>CHOOSE(CONTROL!$C$42, 6.5471, 6.5471) * CHOOSE(CONTROL!$C$21, $C$9, 100%, $E$9)</f>
        <v>6.5471000000000004</v>
      </c>
      <c r="E92" s="17">
        <f>CHOOSE(CONTROL!$C$42, 6.5782, 6.5782) * CHOOSE(CONTROL!$C$21, $C$9, 100%, $E$9)</f>
        <v>6.5781999999999998</v>
      </c>
      <c r="F92" s="17">
        <f>CHOOSE(CONTROL!$C$42, 6.3062, 6.3062)*CHOOSE(CONTROL!$C$21, $C$9, 100%, $E$9)</f>
        <v>6.3061999999999996</v>
      </c>
      <c r="G92" s="17">
        <f>CHOOSE(CONTROL!$C$42, 6.3227, 6.3227)*CHOOSE(CONTROL!$C$21, $C$9, 100%, $E$9)</f>
        <v>6.3227000000000002</v>
      </c>
      <c r="H92" s="17">
        <f>CHOOSE(CONTROL!$C$42, 6.5666, 6.5666) * CHOOSE(CONTROL!$C$21, $C$9, 100%, $E$9)</f>
        <v>6.5666000000000002</v>
      </c>
      <c r="I92" s="17">
        <f>CHOOSE(CONTROL!$C$42, 6.3354, 6.3354)* CHOOSE(CONTROL!$C$21, $C$9, 100%, $E$9)</f>
        <v>6.3353999999999999</v>
      </c>
      <c r="J92" s="17">
        <f>CHOOSE(CONTROL!$C$42, 6.2988, 6.2988)* CHOOSE(CONTROL!$C$21, $C$9, 100%, $E$9)</f>
        <v>6.2988</v>
      </c>
      <c r="K92" s="52">
        <f>CHOOSE(CONTROL!$C$42, 6.3294, 6.3294) * CHOOSE(CONTROL!$C$21, $C$9, 100%, $E$9)</f>
        <v>6.3293999999999997</v>
      </c>
      <c r="L92" s="17">
        <f>CHOOSE(CONTROL!$C$42, 7.1536, 7.1536) * CHOOSE(CONTROL!$C$21, $C$9, 100%, $E$9)</f>
        <v>7.1536</v>
      </c>
      <c r="M92" s="17">
        <f>CHOOSE(CONTROL!$C$42, 6.2491, 6.2491) * CHOOSE(CONTROL!$C$21, $C$9, 100%, $E$9)</f>
        <v>6.2491000000000003</v>
      </c>
      <c r="N92" s="17">
        <f>CHOOSE(CONTROL!$C$42, 6.2655, 6.2655) * CHOOSE(CONTROL!$C$21, $C$9, 100%, $E$9)</f>
        <v>6.2655000000000003</v>
      </c>
      <c r="O92" s="17">
        <f>CHOOSE(CONTROL!$C$42, 6.5145, 6.5145) * CHOOSE(CONTROL!$C$21, $C$9, 100%, $E$9)</f>
        <v>6.5145</v>
      </c>
      <c r="P92" s="17">
        <f>CHOOSE(CONTROL!$C$42, 6.2853, 6.2853) * CHOOSE(CONTROL!$C$21, $C$9, 100%, $E$9)</f>
        <v>6.2853000000000003</v>
      </c>
      <c r="Q92" s="17">
        <f>CHOOSE(CONTROL!$C$42, 7.1092, 7.1092) * CHOOSE(CONTROL!$C$21, $C$9, 100%, $E$9)</f>
        <v>7.1092000000000004</v>
      </c>
      <c r="R92" s="17">
        <f>CHOOSE(CONTROL!$C$42, 7.714, 7.714) * CHOOSE(CONTROL!$C$21, $C$9, 100%, $E$9)</f>
        <v>7.7140000000000004</v>
      </c>
      <c r="S92" s="17">
        <f>CHOOSE(CONTROL!$C$42, 6.0923, 6.0923) * CHOOSE(CONTROL!$C$21, $C$9, 100%, $E$9)</f>
        <v>6.0922999999999998</v>
      </c>
      <c r="T9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92" s="56">
        <f>(1000*CHOOSE(CONTROL!$C$42, 695, 695)*CHOOSE(CONTROL!$C$42, 0.5599, 0.5599)*CHOOSE(CONTROL!$C$42, 31, 31))/1000000</f>
        <v>12.063045499999998</v>
      </c>
      <c r="V92" s="56">
        <f>(1000*CHOOSE(CONTROL!$C$42, 500, 500)*CHOOSE(CONTROL!$C$42, 0.275, 0.275)*CHOOSE(CONTROL!$C$42, 31, 31))/1000000</f>
        <v>4.2625000000000002</v>
      </c>
      <c r="W92" s="56">
        <f>(1000*CHOOSE(CONTROL!$C$42, 0.0916, 0.0916)*CHOOSE(CONTROL!$C$42, 121.5, 121.5)*CHOOSE(CONTROL!$C$42, 31, 31))/1000000</f>
        <v>0.34501139999999997</v>
      </c>
      <c r="X92" s="56">
        <f>(31*0.1790888*145000/1000000)+(31*0.2374*100000/1000000)</f>
        <v>1.5409441560000001</v>
      </c>
      <c r="Y92" s="56"/>
      <c r="Z92" s="17"/>
      <c r="AA92" s="55"/>
      <c r="AB92" s="48">
        <f>(B92*194.205+C92*267.466+D92*133.845+E92*153.484+F92*40+G92*85+H92*0+I92*100+J92*300)/(194.205+267.466+133.845+153.484+0+40+85+100+300)</f>
        <v>6.3634038876766086</v>
      </c>
      <c r="AC92" s="45">
        <f>(M92*'RAP TEMPLATE-GAS AVAILABILITY'!O91+N92*'RAP TEMPLATE-GAS AVAILABILITY'!P91+O92*'RAP TEMPLATE-GAS AVAILABILITY'!Q91+P92*'RAP TEMPLATE-GAS AVAILABILITY'!R91)/('RAP TEMPLATE-GAS AVAILABILITY'!O91+'RAP TEMPLATE-GAS AVAILABILITY'!P91+'RAP TEMPLATE-GAS AVAILABILITY'!Q91+'RAP TEMPLATE-GAS AVAILABILITY'!R91)</f>
        <v>6.3325489208633092</v>
      </c>
    </row>
    <row r="93" spans="1:29" ht="15.75" x14ac:dyDescent="0.25">
      <c r="A93" s="16">
        <v>43709</v>
      </c>
      <c r="B93" s="17">
        <f>CHOOSE(CONTROL!$C$42, 5.9077, 5.9077) * CHOOSE(CONTROL!$C$21, $C$9, 100%, $E$9)</f>
        <v>5.9077000000000002</v>
      </c>
      <c r="C93" s="17">
        <f>CHOOSE(CONTROL!$C$42, 5.9157, 5.9157) * CHOOSE(CONTROL!$C$21, $C$9, 100%, $E$9)</f>
        <v>5.9157000000000002</v>
      </c>
      <c r="D93" s="17">
        <f>CHOOSE(CONTROL!$C$42, 6.1601, 6.1601) * CHOOSE(CONTROL!$C$21, $C$9, 100%, $E$9)</f>
        <v>6.1600999999999999</v>
      </c>
      <c r="E93" s="17">
        <f>CHOOSE(CONTROL!$C$42, 6.1913, 6.1913) * CHOOSE(CONTROL!$C$21, $C$9, 100%, $E$9)</f>
        <v>6.1913</v>
      </c>
      <c r="F93" s="17">
        <f>CHOOSE(CONTROL!$C$42, 5.9193, 5.9193)*CHOOSE(CONTROL!$C$21, $C$9, 100%, $E$9)</f>
        <v>5.9192999999999998</v>
      </c>
      <c r="G93" s="17">
        <f>CHOOSE(CONTROL!$C$42, 5.9358, 5.9358)*CHOOSE(CONTROL!$C$21, $C$9, 100%, $E$9)</f>
        <v>5.9358000000000004</v>
      </c>
      <c r="H93" s="17">
        <f>CHOOSE(CONTROL!$C$42, 6.1796, 6.1796) * CHOOSE(CONTROL!$C$21, $C$9, 100%, $E$9)</f>
        <v>6.1795999999999998</v>
      </c>
      <c r="I93" s="17">
        <f>CHOOSE(CONTROL!$C$42, 5.9473, 5.9473)* CHOOSE(CONTROL!$C$21, $C$9, 100%, $E$9)</f>
        <v>5.9473000000000003</v>
      </c>
      <c r="J93" s="17">
        <f>CHOOSE(CONTROL!$C$42, 5.9119, 5.9119)* CHOOSE(CONTROL!$C$21, $C$9, 100%, $E$9)</f>
        <v>5.9119000000000002</v>
      </c>
      <c r="K93" s="52">
        <f>CHOOSE(CONTROL!$C$42, 5.9412, 5.9412) * CHOOSE(CONTROL!$C$21, $C$9, 100%, $E$9)</f>
        <v>5.9412000000000003</v>
      </c>
      <c r="L93" s="17">
        <f>CHOOSE(CONTROL!$C$42, 6.7666, 6.7666) * CHOOSE(CONTROL!$C$21, $C$9, 100%, $E$9)</f>
        <v>6.7666000000000004</v>
      </c>
      <c r="M93" s="17">
        <f>CHOOSE(CONTROL!$C$42, 5.8657, 5.8657) * CHOOSE(CONTROL!$C$21, $C$9, 100%, $E$9)</f>
        <v>5.8657000000000004</v>
      </c>
      <c r="N93" s="17">
        <f>CHOOSE(CONTROL!$C$42, 5.8821, 5.8821) * CHOOSE(CONTROL!$C$21, $C$9, 100%, $E$9)</f>
        <v>5.8821000000000003</v>
      </c>
      <c r="O93" s="17">
        <f>CHOOSE(CONTROL!$C$42, 6.1311, 6.1311) * CHOOSE(CONTROL!$C$21, $C$9, 100%, $E$9)</f>
        <v>6.1311</v>
      </c>
      <c r="P93" s="17">
        <f>CHOOSE(CONTROL!$C$42, 5.9007, 5.9007) * CHOOSE(CONTROL!$C$21, $C$9, 100%, $E$9)</f>
        <v>5.9006999999999996</v>
      </c>
      <c r="Q93" s="17">
        <f>CHOOSE(CONTROL!$C$42, 6.7258, 6.7258) * CHOOSE(CONTROL!$C$21, $C$9, 100%, $E$9)</f>
        <v>6.7257999999999996</v>
      </c>
      <c r="R93" s="17">
        <f>CHOOSE(CONTROL!$C$42, 7.3296, 7.3296) * CHOOSE(CONTROL!$C$21, $C$9, 100%, $E$9)</f>
        <v>7.3296000000000001</v>
      </c>
      <c r="S93" s="17">
        <f>CHOOSE(CONTROL!$C$42, 5.7171, 5.7171) * CHOOSE(CONTROL!$C$21, $C$9, 100%, $E$9)</f>
        <v>5.7171000000000003</v>
      </c>
      <c r="T9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93" s="56">
        <f>(1000*CHOOSE(CONTROL!$C$42, 695, 695)*CHOOSE(CONTROL!$C$42, 0.5599, 0.5599)*CHOOSE(CONTROL!$C$42, 30, 30))/1000000</f>
        <v>11.673914999999997</v>
      </c>
      <c r="V93" s="56">
        <f>(1000*CHOOSE(CONTROL!$C$42, 500, 500)*CHOOSE(CONTROL!$C$42, 0.275, 0.275)*CHOOSE(CONTROL!$C$42, 30, 30))/1000000</f>
        <v>4.125</v>
      </c>
      <c r="W93" s="56">
        <f>(1000*CHOOSE(CONTROL!$C$42, 0.0916, 0.0916)*CHOOSE(CONTROL!$C$42, 121.5, 121.5)*CHOOSE(CONTROL!$C$42, 30, 30))/1000000</f>
        <v>0.33388200000000001</v>
      </c>
      <c r="X93" s="56">
        <f>(30*0.1790888*145000/1000000)+(30*0.2374*100000/1000000)</f>
        <v>1.4912362799999999</v>
      </c>
      <c r="Y93" s="56"/>
      <c r="Z93" s="17"/>
      <c r="AA93" s="55"/>
      <c r="AB93" s="48">
        <f>(B93*194.205+C93*267.466+D93*133.845+E93*153.484+F93*40+G93*85+H93*0+I93*100+J93*300)/(194.205+267.466+133.845+153.484+0+40+85+100+300)</f>
        <v>5.9763991902668758</v>
      </c>
      <c r="AC93" s="45">
        <f>(M93*'RAP TEMPLATE-GAS AVAILABILITY'!O92+N93*'RAP TEMPLATE-GAS AVAILABILITY'!P92+O93*'RAP TEMPLATE-GAS AVAILABILITY'!Q92+P93*'RAP TEMPLATE-GAS AVAILABILITY'!R92)/('RAP TEMPLATE-GAS AVAILABILITY'!O92+'RAP TEMPLATE-GAS AVAILABILITY'!P92+'RAP TEMPLATE-GAS AVAILABILITY'!Q92+'RAP TEMPLATE-GAS AVAILABILITY'!R92)</f>
        <v>5.948976258992805</v>
      </c>
    </row>
    <row r="94" spans="1:29" ht="15.75" x14ac:dyDescent="0.25">
      <c r="A94" s="16">
        <v>43739</v>
      </c>
      <c r="B94" s="17">
        <f>CHOOSE(CONTROL!$C$42, 5.7982, 5.7982) * CHOOSE(CONTROL!$C$21, $C$9, 100%, $E$9)</f>
        <v>5.7981999999999996</v>
      </c>
      <c r="C94" s="17">
        <f>CHOOSE(CONTROL!$C$42, 5.8035, 5.8035) * CHOOSE(CONTROL!$C$21, $C$9, 100%, $E$9)</f>
        <v>5.8034999999999997</v>
      </c>
      <c r="D94" s="17">
        <f>CHOOSE(CONTROL!$C$42, 6.0528, 6.0528) * CHOOSE(CONTROL!$C$21, $C$9, 100%, $E$9)</f>
        <v>6.0528000000000004</v>
      </c>
      <c r="E94" s="17">
        <f>CHOOSE(CONTROL!$C$42, 6.0817, 6.0817) * CHOOSE(CONTROL!$C$21, $C$9, 100%, $E$9)</f>
        <v>6.0816999999999997</v>
      </c>
      <c r="F94" s="17">
        <f>CHOOSE(CONTROL!$C$42, 5.812, 5.812)*CHOOSE(CONTROL!$C$21, $C$9, 100%, $E$9)</f>
        <v>5.8120000000000003</v>
      </c>
      <c r="G94" s="17">
        <f>CHOOSE(CONTROL!$C$42, 5.8284, 5.8284)*CHOOSE(CONTROL!$C$21, $C$9, 100%, $E$9)</f>
        <v>5.8284000000000002</v>
      </c>
      <c r="H94" s="17">
        <f>CHOOSE(CONTROL!$C$42, 6.0718, 6.0718) * CHOOSE(CONTROL!$C$21, $C$9, 100%, $E$9)</f>
        <v>6.0717999999999996</v>
      </c>
      <c r="I94" s="17">
        <f>CHOOSE(CONTROL!$C$42, 5.8391, 5.8391)* CHOOSE(CONTROL!$C$21, $C$9, 100%, $E$9)</f>
        <v>5.8391000000000002</v>
      </c>
      <c r="J94" s="17">
        <f>CHOOSE(CONTROL!$C$42, 5.8046, 5.8046)* CHOOSE(CONTROL!$C$21, $C$9, 100%, $E$9)</f>
        <v>5.8045999999999998</v>
      </c>
      <c r="K94" s="52">
        <f>CHOOSE(CONTROL!$C$42, 5.8331, 5.8331) * CHOOSE(CONTROL!$C$21, $C$9, 100%, $E$9)</f>
        <v>5.8331</v>
      </c>
      <c r="L94" s="17">
        <f>CHOOSE(CONTROL!$C$42, 6.6588, 6.6588) * CHOOSE(CONTROL!$C$21, $C$9, 100%, $E$9)</f>
        <v>6.6588000000000003</v>
      </c>
      <c r="M94" s="17">
        <f>CHOOSE(CONTROL!$C$42, 5.7594, 5.7594) * CHOOSE(CONTROL!$C$21, $C$9, 100%, $E$9)</f>
        <v>5.7594000000000003</v>
      </c>
      <c r="N94" s="17">
        <f>CHOOSE(CONTROL!$C$42, 5.7756, 5.7756) * CHOOSE(CONTROL!$C$21, $C$9, 100%, $E$9)</f>
        <v>5.7755999999999998</v>
      </c>
      <c r="O94" s="17">
        <f>CHOOSE(CONTROL!$C$42, 6.0242, 6.0242) * CHOOSE(CONTROL!$C$21, $C$9, 100%, $E$9)</f>
        <v>6.0242000000000004</v>
      </c>
      <c r="P94" s="17">
        <f>CHOOSE(CONTROL!$C$42, 5.7935, 5.7935) * CHOOSE(CONTROL!$C$21, $C$9, 100%, $E$9)</f>
        <v>5.7934999999999999</v>
      </c>
      <c r="Q94" s="17">
        <f>CHOOSE(CONTROL!$C$42, 6.6189, 6.6189) * CHOOSE(CONTROL!$C$21, $C$9, 100%, $E$9)</f>
        <v>6.6189</v>
      </c>
      <c r="R94" s="17">
        <f>CHOOSE(CONTROL!$C$42, 7.2225, 7.2225) * CHOOSE(CONTROL!$C$21, $C$9, 100%, $E$9)</f>
        <v>7.2225000000000001</v>
      </c>
      <c r="S94" s="17">
        <f>CHOOSE(CONTROL!$C$42, 5.6126, 5.6126) * CHOOSE(CONTROL!$C$21, $C$9, 100%, $E$9)</f>
        <v>5.6125999999999996</v>
      </c>
      <c r="T9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94" s="56">
        <f>(1000*CHOOSE(CONTROL!$C$42, 695, 695)*CHOOSE(CONTROL!$C$42, 0.5599, 0.5599)*CHOOSE(CONTROL!$C$42, 31, 31))/1000000</f>
        <v>12.063045499999998</v>
      </c>
      <c r="V94" s="56">
        <f>(1000*CHOOSE(CONTROL!$C$42, 500, 500)*CHOOSE(CONTROL!$C$42, 0.275, 0.275)*CHOOSE(CONTROL!$C$42, 31, 31))/1000000</f>
        <v>4.2625000000000002</v>
      </c>
      <c r="W94" s="56">
        <f>(1000*CHOOSE(CONTROL!$C$42, 0.0916, 0.0916)*CHOOSE(CONTROL!$C$42, 121.5, 121.5)*CHOOSE(CONTROL!$C$42, 31, 31))/1000000</f>
        <v>0.34501139999999997</v>
      </c>
      <c r="X94" s="56">
        <f>(31*0.1790888*145000/1000000)+(31*0.2374*100000/1000000)</f>
        <v>1.5409441560000001</v>
      </c>
      <c r="Y94" s="56"/>
      <c r="Z94" s="17"/>
      <c r="AA94" s="55"/>
      <c r="AB94" s="48">
        <f>(B94*131.881+C94*277.167+D94*79.08+E94*225.872+F94*40+G94*85+H94*0+I94*100+J94*300)/(131.881+277.167+79.08+225.872+0+40+85+100+300)</f>
        <v>5.874686251089587</v>
      </c>
      <c r="AC94" s="45">
        <f>(M94*'RAP TEMPLATE-GAS AVAILABILITY'!O93+N94*'RAP TEMPLATE-GAS AVAILABILITY'!P93+O94*'RAP TEMPLATE-GAS AVAILABILITY'!Q93+P94*'RAP TEMPLATE-GAS AVAILABILITY'!R93)/('RAP TEMPLATE-GAS AVAILABILITY'!O93+'RAP TEMPLATE-GAS AVAILABILITY'!P93+'RAP TEMPLATE-GAS AVAILABILITY'!Q93+'RAP TEMPLATE-GAS AVAILABILITY'!R93)</f>
        <v>5.8423323741007192</v>
      </c>
    </row>
    <row r="95" spans="1:29" ht="15.75" x14ac:dyDescent="0.25">
      <c r="A95" s="16">
        <v>43770</v>
      </c>
      <c r="B95" s="17">
        <f>CHOOSE(CONTROL!$C$42, 5.9624, 5.9624) * CHOOSE(CONTROL!$C$21, $C$9, 100%, $E$9)</f>
        <v>5.9623999999999997</v>
      </c>
      <c r="C95" s="17">
        <f>CHOOSE(CONTROL!$C$42, 5.9675, 5.9675) * CHOOSE(CONTROL!$C$21, $C$9, 100%, $E$9)</f>
        <v>5.9675000000000002</v>
      </c>
      <c r="D95" s="17">
        <f>CHOOSE(CONTROL!$C$42, 6.0489, 6.0489) * CHOOSE(CONTROL!$C$21, $C$9, 100%, $E$9)</f>
        <v>6.0488999999999997</v>
      </c>
      <c r="E95" s="17">
        <f>CHOOSE(CONTROL!$C$42, 6.0827, 6.0827) * CHOOSE(CONTROL!$C$21, $C$9, 100%, $E$9)</f>
        <v>6.0827</v>
      </c>
      <c r="F95" s="17">
        <f>CHOOSE(CONTROL!$C$42, 5.9804, 5.9804)*CHOOSE(CONTROL!$C$21, $C$9, 100%, $E$9)</f>
        <v>5.9804000000000004</v>
      </c>
      <c r="G95" s="17">
        <f>CHOOSE(CONTROL!$C$42, 5.9971, 5.9971)*CHOOSE(CONTROL!$C$21, $C$9, 100%, $E$9)</f>
        <v>5.9970999999999997</v>
      </c>
      <c r="H95" s="17">
        <f>CHOOSE(CONTROL!$C$42, 6.0715, 6.0715) * CHOOSE(CONTROL!$C$21, $C$9, 100%, $E$9)</f>
        <v>6.0715000000000003</v>
      </c>
      <c r="I95" s="17">
        <f>CHOOSE(CONTROL!$C$42, 6.0059, 6.0059)* CHOOSE(CONTROL!$C$21, $C$9, 100%, $E$9)</f>
        <v>6.0058999999999996</v>
      </c>
      <c r="J95" s="17">
        <f>CHOOSE(CONTROL!$C$42, 5.973, 5.973)* CHOOSE(CONTROL!$C$21, $C$9, 100%, $E$9)</f>
        <v>5.9729999999999999</v>
      </c>
      <c r="K95" s="52">
        <f>CHOOSE(CONTROL!$C$42, 5.9999, 5.9999) * CHOOSE(CONTROL!$C$21, $C$9, 100%, $E$9)</f>
        <v>5.9999000000000002</v>
      </c>
      <c r="L95" s="17">
        <f>CHOOSE(CONTROL!$C$42, 6.6585, 6.6585) * CHOOSE(CONTROL!$C$21, $C$9, 100%, $E$9)</f>
        <v>6.6585000000000001</v>
      </c>
      <c r="M95" s="17">
        <f>CHOOSE(CONTROL!$C$42, 5.9263, 5.9263) * CHOOSE(CONTROL!$C$21, $C$9, 100%, $E$9)</f>
        <v>5.9263000000000003</v>
      </c>
      <c r="N95" s="17">
        <f>CHOOSE(CONTROL!$C$42, 5.9428, 5.9428) * CHOOSE(CONTROL!$C$21, $C$9, 100%, $E$9)</f>
        <v>5.9428000000000001</v>
      </c>
      <c r="O95" s="17">
        <f>CHOOSE(CONTROL!$C$42, 6.0239, 6.0239) * CHOOSE(CONTROL!$C$21, $C$9, 100%, $E$9)</f>
        <v>6.0239000000000003</v>
      </c>
      <c r="P95" s="17">
        <f>CHOOSE(CONTROL!$C$42, 5.9588, 5.9588) * CHOOSE(CONTROL!$C$21, $C$9, 100%, $E$9)</f>
        <v>5.9588000000000001</v>
      </c>
      <c r="Q95" s="17">
        <f>CHOOSE(CONTROL!$C$42, 6.6186, 6.6186) * CHOOSE(CONTROL!$C$21, $C$9, 100%, $E$9)</f>
        <v>6.6185999999999998</v>
      </c>
      <c r="R95" s="17">
        <f>CHOOSE(CONTROL!$C$42, 7.2222, 7.2222) * CHOOSE(CONTROL!$C$21, $C$9, 100%, $E$9)</f>
        <v>7.2222</v>
      </c>
      <c r="S95" s="17">
        <f>CHOOSE(CONTROL!$C$42, 5.7723, 5.7723) * CHOOSE(CONTROL!$C$21, $C$9, 100%, $E$9)</f>
        <v>5.7723000000000004</v>
      </c>
      <c r="T9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95" s="56">
        <f>(1000*CHOOSE(CONTROL!$C$42, 695, 695)*CHOOSE(CONTROL!$C$42, 0.5599, 0.5599)*CHOOSE(CONTROL!$C$42, 30, 30))/1000000</f>
        <v>11.673914999999997</v>
      </c>
      <c r="V95" s="56">
        <f>(1000*CHOOSE(CONTROL!$C$42, 500, 500)*CHOOSE(CONTROL!$C$42, 0.275, 0.275)*CHOOSE(CONTROL!$C$42, 30, 30))/1000000</f>
        <v>4.125</v>
      </c>
      <c r="W95" s="56">
        <f>(1000*CHOOSE(CONTROL!$C$42, 0.0916, 0.0916)*CHOOSE(CONTROL!$C$42, 121.5, 121.5)*CHOOSE(CONTROL!$C$42, 30, 30))/1000000</f>
        <v>0.33388200000000001</v>
      </c>
      <c r="X95" s="56">
        <f>(30*0.2374*100000/1000000)</f>
        <v>0.71220000000000006</v>
      </c>
      <c r="Y95" s="56"/>
      <c r="Z95" s="17"/>
      <c r="AA95" s="55"/>
      <c r="AB95" s="48">
        <f>(B95*122.58+C95*297.941+D95*89.177+E95*140.302+F95*40+G95*60+H95*0+I95*100+J95*300)/(122.58+297.941+89.177+140.302+0+40+60+100+300)</f>
        <v>5.994090121913044</v>
      </c>
      <c r="AC95" s="45">
        <f>(M95*'RAP TEMPLATE-GAS AVAILABILITY'!O94+N95*'RAP TEMPLATE-GAS AVAILABILITY'!P94+O95*'RAP TEMPLATE-GAS AVAILABILITY'!Q94+P95*'RAP TEMPLATE-GAS AVAILABILITY'!R94)/('RAP TEMPLATE-GAS AVAILABILITY'!O94+'RAP TEMPLATE-GAS AVAILABILITY'!P94+'RAP TEMPLATE-GAS AVAILABILITY'!Q94+'RAP TEMPLATE-GAS AVAILABILITY'!R94)</f>
        <v>5.9761618705035966</v>
      </c>
    </row>
    <row r="96" spans="1:29" ht="15.75" x14ac:dyDescent="0.25">
      <c r="A96" s="16">
        <v>43800</v>
      </c>
      <c r="B96" s="17">
        <f>CHOOSE(CONTROL!$C$42, 6.3813, 6.3813) * CHOOSE(CONTROL!$C$21, $C$9, 100%, $E$9)</f>
        <v>6.3813000000000004</v>
      </c>
      <c r="C96" s="17">
        <f>CHOOSE(CONTROL!$C$42, 6.3864, 6.3864) * CHOOSE(CONTROL!$C$21, $C$9, 100%, $E$9)</f>
        <v>6.3864000000000001</v>
      </c>
      <c r="D96" s="17">
        <f>CHOOSE(CONTROL!$C$42, 6.4678, 6.4678) * CHOOSE(CONTROL!$C$21, $C$9, 100%, $E$9)</f>
        <v>6.4678000000000004</v>
      </c>
      <c r="E96" s="17">
        <f>CHOOSE(CONTROL!$C$42, 6.5015, 6.5015) * CHOOSE(CONTROL!$C$21, $C$9, 100%, $E$9)</f>
        <v>6.5015000000000001</v>
      </c>
      <c r="F96" s="17">
        <f>CHOOSE(CONTROL!$C$42, 6.4017, 6.4017)*CHOOSE(CONTROL!$C$21, $C$9, 100%, $E$9)</f>
        <v>6.4016999999999999</v>
      </c>
      <c r="G96" s="17">
        <f>CHOOSE(CONTROL!$C$42, 6.419, 6.419)*CHOOSE(CONTROL!$C$21, $C$9, 100%, $E$9)</f>
        <v>6.4189999999999996</v>
      </c>
      <c r="H96" s="17">
        <f>CHOOSE(CONTROL!$C$42, 6.4904, 6.4904) * CHOOSE(CONTROL!$C$21, $C$9, 100%, $E$9)</f>
        <v>6.4904000000000002</v>
      </c>
      <c r="I96" s="17">
        <f>CHOOSE(CONTROL!$C$42, 6.4261, 6.4261)* CHOOSE(CONTROL!$C$21, $C$9, 100%, $E$9)</f>
        <v>6.4260999999999999</v>
      </c>
      <c r="J96" s="17">
        <f>CHOOSE(CONTROL!$C$42, 6.3943, 6.3943)* CHOOSE(CONTROL!$C$21, $C$9, 100%, $E$9)</f>
        <v>6.3943000000000003</v>
      </c>
      <c r="K96" s="52">
        <f>CHOOSE(CONTROL!$C$42, 6.4201, 6.4201) * CHOOSE(CONTROL!$C$21, $C$9, 100%, $E$9)</f>
        <v>6.4200999999999997</v>
      </c>
      <c r="L96" s="17">
        <f>CHOOSE(CONTROL!$C$42, 7.0774, 7.0774) * CHOOSE(CONTROL!$C$21, $C$9, 100%, $E$9)</f>
        <v>7.0773999999999999</v>
      </c>
      <c r="M96" s="17">
        <f>CHOOSE(CONTROL!$C$42, 6.3438, 6.3438) * CHOOSE(CONTROL!$C$21, $C$9, 100%, $E$9)</f>
        <v>6.3437999999999999</v>
      </c>
      <c r="N96" s="17">
        <f>CHOOSE(CONTROL!$C$42, 6.361, 6.361) * CHOOSE(CONTROL!$C$21, $C$9, 100%, $E$9)</f>
        <v>6.3609999999999998</v>
      </c>
      <c r="O96" s="17">
        <f>CHOOSE(CONTROL!$C$42, 6.4391, 6.4391) * CHOOSE(CONTROL!$C$21, $C$9, 100%, $E$9)</f>
        <v>6.4390999999999998</v>
      </c>
      <c r="P96" s="17">
        <f>CHOOSE(CONTROL!$C$42, 6.3752, 6.3752) * CHOOSE(CONTROL!$C$21, $C$9, 100%, $E$9)</f>
        <v>6.3752000000000004</v>
      </c>
      <c r="Q96" s="17">
        <f>CHOOSE(CONTROL!$C$42, 7.0338, 7.0338) * CHOOSE(CONTROL!$C$21, $C$9, 100%, $E$9)</f>
        <v>7.0338000000000003</v>
      </c>
      <c r="R96" s="17">
        <f>CHOOSE(CONTROL!$C$42, 7.6383, 7.6383) * CHOOSE(CONTROL!$C$21, $C$9, 100%, $E$9)</f>
        <v>7.6383000000000001</v>
      </c>
      <c r="S96" s="17">
        <f>CHOOSE(CONTROL!$C$42, 6.1785, 6.1785) * CHOOSE(CONTROL!$C$21, $C$9, 100%, $E$9)</f>
        <v>6.1784999999999997</v>
      </c>
      <c r="T9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96" s="56">
        <f>(1000*CHOOSE(CONTROL!$C$42, 695, 695)*CHOOSE(CONTROL!$C$42, 0.5599, 0.5599)*CHOOSE(CONTROL!$C$42, 31, 31))/1000000</f>
        <v>12.063045499999998</v>
      </c>
      <c r="V96" s="56">
        <f>(1000*CHOOSE(CONTROL!$C$42, 500, 500)*CHOOSE(CONTROL!$C$42, 0.275, 0.275)*CHOOSE(CONTROL!$C$42, 31, 31))/1000000</f>
        <v>4.2625000000000002</v>
      </c>
      <c r="W96" s="56">
        <f>(1000*CHOOSE(CONTROL!$C$42, 0.0916, 0.0916)*CHOOSE(CONTROL!$C$42, 121.5, 121.5)*CHOOSE(CONTROL!$C$42, 31, 31))/1000000</f>
        <v>0.34501139999999997</v>
      </c>
      <c r="X96" s="56">
        <f>(31*0.2374*100000/1000000)</f>
        <v>0.73594000000000004</v>
      </c>
      <c r="Y96" s="56"/>
      <c r="Z96" s="17"/>
      <c r="AA96" s="55"/>
      <c r="AB96" s="48">
        <f>(B96*122.58+C96*297.941+D96*89.177+E96*140.302+F96*40+G96*60+H96*0+I96*100+J96*300)/(122.58+297.941+89.177+140.302+0+40+60+100+300)</f>
        <v>6.4139570521739131</v>
      </c>
      <c r="AC96" s="45">
        <f>(M96*'RAP TEMPLATE-GAS AVAILABILITY'!O95+N96*'RAP TEMPLATE-GAS AVAILABILITY'!P95+O96*'RAP TEMPLATE-GAS AVAILABILITY'!Q95+P96*'RAP TEMPLATE-GAS AVAILABILITY'!R95)/('RAP TEMPLATE-GAS AVAILABILITY'!O95+'RAP TEMPLATE-GAS AVAILABILITY'!P95+'RAP TEMPLATE-GAS AVAILABILITY'!Q95+'RAP TEMPLATE-GAS AVAILABILITY'!R95)</f>
        <v>6.3925014388489219</v>
      </c>
    </row>
    <row r="97" spans="1:29" ht="15.75" x14ac:dyDescent="0.25">
      <c r="A97" s="16">
        <v>43831</v>
      </c>
      <c r="B97" s="17">
        <f>CHOOSE(CONTROL!$C$42, 7.0561, 7.0561) * CHOOSE(CONTROL!$C$21, $C$9, 100%, $E$9)</f>
        <v>7.0560999999999998</v>
      </c>
      <c r="C97" s="17">
        <f>CHOOSE(CONTROL!$C$42, 7.0612, 7.0612) * CHOOSE(CONTROL!$C$21, $C$9, 100%, $E$9)</f>
        <v>7.0612000000000004</v>
      </c>
      <c r="D97" s="17">
        <f>CHOOSE(CONTROL!$C$42, 7.158, 7.158) * CHOOSE(CONTROL!$C$21, $C$9, 100%, $E$9)</f>
        <v>7.1580000000000004</v>
      </c>
      <c r="E97" s="17">
        <f>CHOOSE(CONTROL!$C$42, 7.1918, 7.1918) * CHOOSE(CONTROL!$C$21, $C$9, 100%, $E$9)</f>
        <v>7.1917999999999997</v>
      </c>
      <c r="F97" s="17">
        <f>CHOOSE(CONTROL!$C$42, 7.0704, 7.0704)*CHOOSE(CONTROL!$C$21, $C$9, 100%, $E$9)</f>
        <v>7.0704000000000002</v>
      </c>
      <c r="G97" s="17">
        <f>CHOOSE(CONTROL!$C$42, 7.0868, 7.0868)*CHOOSE(CONTROL!$C$21, $C$9, 100%, $E$9)</f>
        <v>7.0868000000000002</v>
      </c>
      <c r="H97" s="17">
        <f>CHOOSE(CONTROL!$C$42, 7.1807, 7.1807) * CHOOSE(CONTROL!$C$21, $C$9, 100%, $E$9)</f>
        <v>7.1806999999999999</v>
      </c>
      <c r="I97" s="17">
        <f>CHOOSE(CONTROL!$C$42, 7.103, 7.103)* CHOOSE(CONTROL!$C$21, $C$9, 100%, $E$9)</f>
        <v>7.1029999999999998</v>
      </c>
      <c r="J97" s="17">
        <f>CHOOSE(CONTROL!$C$42, 7.063, 7.063)* CHOOSE(CONTROL!$C$21, $C$9, 100%, $E$9)</f>
        <v>7.0629999999999997</v>
      </c>
      <c r="K97" s="52">
        <f>CHOOSE(CONTROL!$C$42, 7.0969, 7.0969) * CHOOSE(CONTROL!$C$21, $C$9, 100%, $E$9)</f>
        <v>7.0968999999999998</v>
      </c>
      <c r="L97" s="17">
        <f>CHOOSE(CONTROL!$C$42, 7.7677, 7.7677) * CHOOSE(CONTROL!$C$21, $C$9, 100%, $E$9)</f>
        <v>7.7676999999999996</v>
      </c>
      <c r="M97" s="17">
        <f>CHOOSE(CONTROL!$C$42, 7.0065, 7.0065) * CHOOSE(CONTROL!$C$21, $C$9, 100%, $E$9)</f>
        <v>7.0065</v>
      </c>
      <c r="N97" s="17">
        <f>CHOOSE(CONTROL!$C$42, 7.0227, 7.0227) * CHOOSE(CONTROL!$C$21, $C$9, 100%, $E$9)</f>
        <v>7.0227000000000004</v>
      </c>
      <c r="O97" s="17">
        <f>CHOOSE(CONTROL!$C$42, 7.1231, 7.1231) * CHOOSE(CONTROL!$C$21, $C$9, 100%, $E$9)</f>
        <v>7.1231</v>
      </c>
      <c r="P97" s="17">
        <f>CHOOSE(CONTROL!$C$42, 7.0459, 7.0459) * CHOOSE(CONTROL!$C$21, $C$9, 100%, $E$9)</f>
        <v>7.0458999999999996</v>
      </c>
      <c r="Q97" s="17">
        <f>CHOOSE(CONTROL!$C$42, 7.7178, 7.7178) * CHOOSE(CONTROL!$C$21, $C$9, 100%, $E$9)</f>
        <v>7.7178000000000004</v>
      </c>
      <c r="R97" s="17">
        <f>CHOOSE(CONTROL!$C$42, 8.3241, 8.3241) * CHOOSE(CONTROL!$C$21, $C$9, 100%, $E$9)</f>
        <v>8.3240999999999996</v>
      </c>
      <c r="S97" s="17">
        <f>CHOOSE(CONTROL!$C$42, 6.8328, 6.8328) * CHOOSE(CONTROL!$C$21, $C$9, 100%, $E$9)</f>
        <v>6.8327999999999998</v>
      </c>
      <c r="T9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97" s="56">
        <f>(1000*CHOOSE(CONTROL!$C$42, 695, 695)*CHOOSE(CONTROL!$C$42, 0.5599, 0.5599)*CHOOSE(CONTROL!$C$42, 31, 31))/1000000</f>
        <v>12.063045499999998</v>
      </c>
      <c r="V97" s="56">
        <f>(1000*CHOOSE(CONTROL!$C$42, 500, 500)*CHOOSE(CONTROL!$C$42, 0.275, 0.275)*CHOOSE(CONTROL!$C$42, 31, 31))/1000000</f>
        <v>4.2625000000000002</v>
      </c>
      <c r="W97" s="56">
        <f>(1000*CHOOSE(CONTROL!$C$42, 0.0916, 0.0916)*CHOOSE(CONTROL!$C$42, 121.5, 121.5)*CHOOSE(CONTROL!$C$42, 31, 31))/1000000</f>
        <v>0.34501139999999997</v>
      </c>
      <c r="X97" s="56">
        <f>(31*0.2374*100000/1000000)</f>
        <v>0.73594000000000004</v>
      </c>
      <c r="Y97" s="56"/>
      <c r="Z97" s="17"/>
      <c r="AA97" s="55"/>
      <c r="AB97" s="48">
        <f>(B97*122.58+C97*297.941+D97*89.177+E97*140.302+F97*40+G97*60+H97*0+I97*100+J97*300)/(122.58+297.941+89.177+140.302+0+40+60+100+300)</f>
        <v>7.0898561885217379</v>
      </c>
      <c r="AC97" s="45">
        <f>(M97*'RAP TEMPLATE-GAS AVAILABILITY'!O96+N97*'RAP TEMPLATE-GAS AVAILABILITY'!P96+O97*'RAP TEMPLATE-GAS AVAILABILITY'!Q96+P97*'RAP TEMPLATE-GAS AVAILABILITY'!R96)/('RAP TEMPLATE-GAS AVAILABILITY'!O96+'RAP TEMPLATE-GAS AVAILABILITY'!P96+'RAP TEMPLATE-GAS AVAILABILITY'!Q96+'RAP TEMPLATE-GAS AVAILABILITY'!R96)</f>
        <v>7.0659489208633088</v>
      </c>
    </row>
    <row r="98" spans="1:29" ht="15.75" x14ac:dyDescent="0.25">
      <c r="A98" s="16">
        <v>43862</v>
      </c>
      <c r="B98" s="17">
        <f>CHOOSE(CONTROL!$C$42, 7.1963, 7.1963) * CHOOSE(CONTROL!$C$21, $C$9, 100%, $E$9)</f>
        <v>7.1962999999999999</v>
      </c>
      <c r="C98" s="17">
        <f>CHOOSE(CONTROL!$C$42, 7.2014, 7.2014) * CHOOSE(CONTROL!$C$21, $C$9, 100%, $E$9)</f>
        <v>7.2013999999999996</v>
      </c>
      <c r="D98" s="17">
        <f>CHOOSE(CONTROL!$C$42, 7.2982, 7.2982) * CHOOSE(CONTROL!$C$21, $C$9, 100%, $E$9)</f>
        <v>7.2981999999999996</v>
      </c>
      <c r="E98" s="17">
        <f>CHOOSE(CONTROL!$C$42, 7.332, 7.332) * CHOOSE(CONTROL!$C$21, $C$9, 100%, $E$9)</f>
        <v>7.3319999999999999</v>
      </c>
      <c r="F98" s="17">
        <f>CHOOSE(CONTROL!$C$42, 7.2106, 7.2106)*CHOOSE(CONTROL!$C$21, $C$9, 100%, $E$9)</f>
        <v>7.2106000000000003</v>
      </c>
      <c r="G98" s="17">
        <f>CHOOSE(CONTROL!$C$42, 7.227, 7.227)*CHOOSE(CONTROL!$C$21, $C$9, 100%, $E$9)</f>
        <v>7.2270000000000003</v>
      </c>
      <c r="H98" s="17">
        <f>CHOOSE(CONTROL!$C$42, 7.3209, 7.3209) * CHOOSE(CONTROL!$C$21, $C$9, 100%, $E$9)</f>
        <v>7.3209</v>
      </c>
      <c r="I98" s="17">
        <f>CHOOSE(CONTROL!$C$42, 7.2436, 7.2436)* CHOOSE(CONTROL!$C$21, $C$9, 100%, $E$9)</f>
        <v>7.2435999999999998</v>
      </c>
      <c r="J98" s="17">
        <f>CHOOSE(CONTROL!$C$42, 7.2032, 7.2032)* CHOOSE(CONTROL!$C$21, $C$9, 100%, $E$9)</f>
        <v>7.2031999999999998</v>
      </c>
      <c r="K98" s="52">
        <f>CHOOSE(CONTROL!$C$42, 7.2376, 7.2376) * CHOOSE(CONTROL!$C$21, $C$9, 100%, $E$9)</f>
        <v>7.2375999999999996</v>
      </c>
      <c r="L98" s="17">
        <f>CHOOSE(CONTROL!$C$42, 7.9079, 7.9079) * CHOOSE(CONTROL!$C$21, $C$9, 100%, $E$9)</f>
        <v>7.9078999999999997</v>
      </c>
      <c r="M98" s="17">
        <f>CHOOSE(CONTROL!$C$42, 7.1454, 7.1454) * CHOOSE(CONTROL!$C$21, $C$9, 100%, $E$9)</f>
        <v>7.1454000000000004</v>
      </c>
      <c r="N98" s="17">
        <f>CHOOSE(CONTROL!$C$42, 7.1617, 7.1617) * CHOOSE(CONTROL!$C$21, $C$9, 100%, $E$9)</f>
        <v>7.1616999999999997</v>
      </c>
      <c r="O98" s="17">
        <f>CHOOSE(CONTROL!$C$42, 7.262, 7.262) * CHOOSE(CONTROL!$C$21, $C$9, 100%, $E$9)</f>
        <v>7.2619999999999996</v>
      </c>
      <c r="P98" s="17">
        <f>CHOOSE(CONTROL!$C$42, 7.1853, 7.1853) * CHOOSE(CONTROL!$C$21, $C$9, 100%, $E$9)</f>
        <v>7.1852999999999998</v>
      </c>
      <c r="Q98" s="17">
        <f>CHOOSE(CONTROL!$C$42, 7.8567, 7.8567) * CHOOSE(CONTROL!$C$21, $C$9, 100%, $E$9)</f>
        <v>7.8567</v>
      </c>
      <c r="R98" s="17">
        <f>CHOOSE(CONTROL!$C$42, 8.4634, 8.4634) * CHOOSE(CONTROL!$C$21, $C$9, 100%, $E$9)</f>
        <v>8.4634</v>
      </c>
      <c r="S98" s="17">
        <f>CHOOSE(CONTROL!$C$42, 6.9688, 6.9688) * CHOOSE(CONTROL!$C$21, $C$9, 100%, $E$9)</f>
        <v>6.9687999999999999</v>
      </c>
      <c r="T98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98" s="56">
        <f>(1000*CHOOSE(CONTROL!$C$42, 695, 695)*CHOOSE(CONTROL!$C$42, 0.5599, 0.5599)*CHOOSE(CONTROL!$C$42, 29, 29))/1000000</f>
        <v>11.284784499999999</v>
      </c>
      <c r="V98" s="56">
        <f>(1000*CHOOSE(CONTROL!$C$42, 500, 500)*CHOOSE(CONTROL!$C$42, 0.275, 0.275)*CHOOSE(CONTROL!$C$42, 29, 29))/1000000</f>
        <v>3.9874999999999998</v>
      </c>
      <c r="W98" s="56">
        <f>(1000*CHOOSE(CONTROL!$C$42, 0.0916, 0.0916)*CHOOSE(CONTROL!$C$42, 121.5, 121.5)*CHOOSE(CONTROL!$C$42, 29, 29))/1000000</f>
        <v>0.3227526</v>
      </c>
      <c r="X98" s="56">
        <f>(29*0.2374*100000/1000000)</f>
        <v>0.68845999999999996</v>
      </c>
      <c r="Y98" s="56"/>
      <c r="Z98" s="17"/>
      <c r="AA98" s="55"/>
      <c r="AB98" s="48">
        <f>(B98*122.58+C98*297.941+D98*89.177+E98*140.302+F98*40+G98*60+H98*0+I98*100+J98*300)/(122.58+297.941+89.177+140.302+0+40+60+100+300)</f>
        <v>7.2300909711304344</v>
      </c>
      <c r="AC98" s="45">
        <f>(M98*'RAP TEMPLATE-GAS AVAILABILITY'!O97+N98*'RAP TEMPLATE-GAS AVAILABILITY'!P97+O98*'RAP TEMPLATE-GAS AVAILABILITY'!Q97+P98*'RAP TEMPLATE-GAS AVAILABILITY'!R97)/('RAP TEMPLATE-GAS AVAILABILITY'!O97+'RAP TEMPLATE-GAS AVAILABILITY'!P97+'RAP TEMPLATE-GAS AVAILABILITY'!Q97+'RAP TEMPLATE-GAS AVAILABILITY'!R97)</f>
        <v>7.204926618705036</v>
      </c>
    </row>
    <row r="99" spans="1:29" ht="15.75" x14ac:dyDescent="0.25">
      <c r="A99" s="16">
        <v>43891</v>
      </c>
      <c r="B99" s="17">
        <f>CHOOSE(CONTROL!$C$42, 7.0067, 7.0067) * CHOOSE(CONTROL!$C$21, $C$9, 100%, $E$9)</f>
        <v>7.0067000000000004</v>
      </c>
      <c r="C99" s="17">
        <f>CHOOSE(CONTROL!$C$42, 7.0118, 7.0118) * CHOOSE(CONTROL!$C$21, $C$9, 100%, $E$9)</f>
        <v>7.0118</v>
      </c>
      <c r="D99" s="17">
        <f>CHOOSE(CONTROL!$C$42, 7.1086, 7.1086) * CHOOSE(CONTROL!$C$21, $C$9, 100%, $E$9)</f>
        <v>7.1086</v>
      </c>
      <c r="E99" s="17">
        <f>CHOOSE(CONTROL!$C$42, 7.1424, 7.1424) * CHOOSE(CONTROL!$C$21, $C$9, 100%, $E$9)</f>
        <v>7.1424000000000003</v>
      </c>
      <c r="F99" s="17">
        <f>CHOOSE(CONTROL!$C$42, 7.0203, 7.0203)*CHOOSE(CONTROL!$C$21, $C$9, 100%, $E$9)</f>
        <v>7.0202999999999998</v>
      </c>
      <c r="G99" s="17">
        <f>CHOOSE(CONTROL!$C$42, 7.0365, 7.0365)*CHOOSE(CONTROL!$C$21, $C$9, 100%, $E$9)</f>
        <v>7.0365000000000002</v>
      </c>
      <c r="H99" s="17">
        <f>CHOOSE(CONTROL!$C$42, 7.1312, 7.1312) * CHOOSE(CONTROL!$C$21, $C$9, 100%, $E$9)</f>
        <v>7.1311999999999998</v>
      </c>
      <c r="I99" s="17">
        <f>CHOOSE(CONTROL!$C$42, 7.0534, 7.0534)* CHOOSE(CONTROL!$C$21, $C$9, 100%, $E$9)</f>
        <v>7.0533999999999999</v>
      </c>
      <c r="J99" s="17">
        <f>CHOOSE(CONTROL!$C$42, 7.0129, 7.0129)* CHOOSE(CONTROL!$C$21, $C$9, 100%, $E$9)</f>
        <v>7.0129000000000001</v>
      </c>
      <c r="K99" s="52">
        <f>CHOOSE(CONTROL!$C$42, 7.0473, 7.0473) * CHOOSE(CONTROL!$C$21, $C$9, 100%, $E$9)</f>
        <v>7.0472999999999999</v>
      </c>
      <c r="L99" s="17">
        <f>CHOOSE(CONTROL!$C$42, 7.7182, 7.7182) * CHOOSE(CONTROL!$C$21, $C$9, 100%, $E$9)</f>
        <v>7.7182000000000004</v>
      </c>
      <c r="M99" s="17">
        <f>CHOOSE(CONTROL!$C$42, 6.9568, 6.9568) * CHOOSE(CONTROL!$C$21, $C$9, 100%, $E$9)</f>
        <v>6.9568000000000003</v>
      </c>
      <c r="N99" s="17">
        <f>CHOOSE(CONTROL!$C$42, 6.9729, 6.9729) * CHOOSE(CONTROL!$C$21, $C$9, 100%, $E$9)</f>
        <v>6.9729000000000001</v>
      </c>
      <c r="O99" s="17">
        <f>CHOOSE(CONTROL!$C$42, 7.0741, 7.0741) * CHOOSE(CONTROL!$C$21, $C$9, 100%, $E$9)</f>
        <v>7.0740999999999996</v>
      </c>
      <c r="P99" s="17">
        <f>CHOOSE(CONTROL!$C$42, 6.9968, 6.9968) * CHOOSE(CONTROL!$C$21, $C$9, 100%, $E$9)</f>
        <v>6.9968000000000004</v>
      </c>
      <c r="Q99" s="17">
        <f>CHOOSE(CONTROL!$C$42, 7.6688, 7.6688) * CHOOSE(CONTROL!$C$21, $C$9, 100%, $E$9)</f>
        <v>7.6688000000000001</v>
      </c>
      <c r="R99" s="17">
        <f>CHOOSE(CONTROL!$C$42, 8.275, 8.275) * CHOOSE(CONTROL!$C$21, $C$9, 100%, $E$9)</f>
        <v>8.2750000000000004</v>
      </c>
      <c r="S99" s="17">
        <f>CHOOSE(CONTROL!$C$42, 6.7849, 6.7849) * CHOOSE(CONTROL!$C$21, $C$9, 100%, $E$9)</f>
        <v>6.7849000000000004</v>
      </c>
      <c r="T9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99" s="56">
        <f>(1000*CHOOSE(CONTROL!$C$42, 695, 695)*CHOOSE(CONTROL!$C$42, 0.5599, 0.5599)*CHOOSE(CONTROL!$C$42, 31, 31))/1000000</f>
        <v>12.063045499999998</v>
      </c>
      <c r="V99" s="56">
        <f>(1000*CHOOSE(CONTROL!$C$42, 500, 500)*CHOOSE(CONTROL!$C$42, 0.275, 0.275)*CHOOSE(CONTROL!$C$42, 31, 31))/1000000</f>
        <v>4.2625000000000002</v>
      </c>
      <c r="W99" s="56">
        <f>(1000*CHOOSE(CONTROL!$C$42, 0.0916, 0.0916)*CHOOSE(CONTROL!$C$42, 121.5, 121.5)*CHOOSE(CONTROL!$C$42, 31, 31))/1000000</f>
        <v>0.34501139999999997</v>
      </c>
      <c r="X99" s="56">
        <f>(31*0.2374*100000/1000000)</f>
        <v>0.73594000000000004</v>
      </c>
      <c r="Y99" s="56"/>
      <c r="Z99" s="17"/>
      <c r="AA99" s="55"/>
      <c r="AB99" s="48">
        <f>(B99*122.58+C99*297.941+D99*89.177+E99*140.302+F99*40+G99*60+H99*0+I99*100+J99*300)/(122.58+297.941+89.177+140.302+0+40+60+100+300)</f>
        <v>7.0401848841739127</v>
      </c>
      <c r="AC99" s="45">
        <f>(M99*'RAP TEMPLATE-GAS AVAILABILITY'!O98+N99*'RAP TEMPLATE-GAS AVAILABILITY'!P98+O99*'RAP TEMPLATE-GAS AVAILABILITY'!Q98+P99*'RAP TEMPLATE-GAS AVAILABILITY'!R98)/('RAP TEMPLATE-GAS AVAILABILITY'!O98+'RAP TEMPLATE-GAS AVAILABILITY'!P98+'RAP TEMPLATE-GAS AVAILABILITY'!Q98+'RAP TEMPLATE-GAS AVAILABILITY'!R98)</f>
        <v>7.0166467625899287</v>
      </c>
    </row>
    <row r="100" spans="1:29" ht="15.75" x14ac:dyDescent="0.25">
      <c r="A100" s="16">
        <v>43922</v>
      </c>
      <c r="B100" s="17">
        <f>CHOOSE(CONTROL!$C$42, 7.0011, 7.0011) * CHOOSE(CONTROL!$C$21, $C$9, 100%, $E$9)</f>
        <v>7.0011000000000001</v>
      </c>
      <c r="C100" s="17">
        <f>CHOOSE(CONTROL!$C$42, 7.0056, 7.0056) * CHOOSE(CONTROL!$C$21, $C$9, 100%, $E$9)</f>
        <v>7.0056000000000003</v>
      </c>
      <c r="D100" s="17">
        <f>CHOOSE(CONTROL!$C$42, 7.2532, 7.2532) * CHOOSE(CONTROL!$C$21, $C$9, 100%, $E$9)</f>
        <v>7.2531999999999996</v>
      </c>
      <c r="E100" s="17">
        <f>CHOOSE(CONTROL!$C$42, 7.285, 7.285) * CHOOSE(CONTROL!$C$21, $C$9, 100%, $E$9)</f>
        <v>7.2850000000000001</v>
      </c>
      <c r="F100" s="17">
        <f>CHOOSE(CONTROL!$C$42, 7.0127, 7.0127)*CHOOSE(CONTROL!$C$21, $C$9, 100%, $E$9)</f>
        <v>7.0126999999999997</v>
      </c>
      <c r="G100" s="17">
        <f>CHOOSE(CONTROL!$C$42, 7.0287, 7.0287)*CHOOSE(CONTROL!$C$21, $C$9, 100%, $E$9)</f>
        <v>7.0286999999999997</v>
      </c>
      <c r="H100" s="17">
        <f>CHOOSE(CONTROL!$C$42, 7.2744, 7.2744) * CHOOSE(CONTROL!$C$21, $C$9, 100%, $E$9)</f>
        <v>7.2744</v>
      </c>
      <c r="I100" s="17">
        <f>CHOOSE(CONTROL!$C$42, 7.0455, 7.0455)* CHOOSE(CONTROL!$C$21, $C$9, 100%, $E$9)</f>
        <v>7.0454999999999997</v>
      </c>
      <c r="J100" s="17">
        <f>CHOOSE(CONTROL!$C$42, 7.0053, 7.0053)* CHOOSE(CONTROL!$C$21, $C$9, 100%, $E$9)</f>
        <v>7.0053000000000001</v>
      </c>
      <c r="K100" s="52">
        <f>CHOOSE(CONTROL!$C$42, 7.0394, 7.0394) * CHOOSE(CONTROL!$C$21, $C$9, 100%, $E$9)</f>
        <v>7.0393999999999997</v>
      </c>
      <c r="L100" s="17">
        <f>CHOOSE(CONTROL!$C$42, 7.8614, 7.8614) * CHOOSE(CONTROL!$C$21, $C$9, 100%, $E$9)</f>
        <v>7.8613999999999997</v>
      </c>
      <c r="M100" s="17">
        <f>CHOOSE(CONTROL!$C$42, 6.9493, 6.9493) * CHOOSE(CONTROL!$C$21, $C$9, 100%, $E$9)</f>
        <v>6.9493</v>
      </c>
      <c r="N100" s="17">
        <f>CHOOSE(CONTROL!$C$42, 6.9651, 6.9651) * CHOOSE(CONTROL!$C$21, $C$9, 100%, $E$9)</f>
        <v>6.9650999999999996</v>
      </c>
      <c r="O100" s="17">
        <f>CHOOSE(CONTROL!$C$42, 7.216, 7.216) * CHOOSE(CONTROL!$C$21, $C$9, 100%, $E$9)</f>
        <v>7.2160000000000002</v>
      </c>
      <c r="P100" s="17">
        <f>CHOOSE(CONTROL!$C$42, 6.989, 6.989) * CHOOSE(CONTROL!$C$21, $C$9, 100%, $E$9)</f>
        <v>6.9889999999999999</v>
      </c>
      <c r="Q100" s="17">
        <f>CHOOSE(CONTROL!$C$42, 7.8107, 7.8107) * CHOOSE(CONTROL!$C$21, $C$9, 100%, $E$9)</f>
        <v>7.8106999999999998</v>
      </c>
      <c r="R100" s="17">
        <f>CHOOSE(CONTROL!$C$42, 8.4172, 8.4172) * CHOOSE(CONTROL!$C$21, $C$9, 100%, $E$9)</f>
        <v>8.4171999999999993</v>
      </c>
      <c r="S100" s="17">
        <f>CHOOSE(CONTROL!$C$42, 6.7787, 6.7787) * CHOOSE(CONTROL!$C$21, $C$9, 100%, $E$9)</f>
        <v>6.7786999999999997</v>
      </c>
      <c r="T10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00" s="56">
        <f>(1000*CHOOSE(CONTROL!$C$42, 695, 695)*CHOOSE(CONTROL!$C$42, 0.5599, 0.5599)*CHOOSE(CONTROL!$C$42, 30, 30))/1000000</f>
        <v>11.673914999999997</v>
      </c>
      <c r="V100" s="56">
        <f>(1000*CHOOSE(CONTROL!$C$42, 500, 500)*CHOOSE(CONTROL!$C$42, 0.275, 0.275)*CHOOSE(CONTROL!$C$42, 30, 30))/1000000</f>
        <v>4.125</v>
      </c>
      <c r="W100" s="56">
        <f>(1000*CHOOSE(CONTROL!$C$42, 0.0916, 0.0916)*CHOOSE(CONTROL!$C$42, 121.5, 121.5)*CHOOSE(CONTROL!$C$42, 30, 30))/1000000</f>
        <v>0.33388200000000001</v>
      </c>
      <c r="X100" s="56">
        <f>(30*0.1790888*145000/1000000)+(30*0.2374*100000/1000000)</f>
        <v>1.4912362799999999</v>
      </c>
      <c r="Y100" s="56"/>
      <c r="Z100" s="17"/>
      <c r="AA100" s="55"/>
      <c r="AB100" s="48">
        <f>(B100*141.293+C100*267.993+D100*115.016+E100*189.698+F100*40+G100*85+H100*0+I100*100+J100*300)/(141.293+267.993+115.016+189.698+0+40+85+100+300)</f>
        <v>7.0758108670702189</v>
      </c>
      <c r="AC100" s="45">
        <f>(M100*'RAP TEMPLATE-GAS AVAILABILITY'!O99+N100*'RAP TEMPLATE-GAS AVAILABILITY'!P99+O100*'RAP TEMPLATE-GAS AVAILABILITY'!Q99+P100*'RAP TEMPLATE-GAS AVAILABILITY'!R99)/('RAP TEMPLATE-GAS AVAILABILITY'!O99+'RAP TEMPLATE-GAS AVAILABILITY'!P99+'RAP TEMPLATE-GAS AVAILABILITY'!Q99+'RAP TEMPLATE-GAS AVAILABILITY'!R99)</f>
        <v>7.0334791366906479</v>
      </c>
    </row>
    <row r="101" spans="1:29" ht="15.75" x14ac:dyDescent="0.25">
      <c r="A101" s="16">
        <v>43952</v>
      </c>
      <c r="B101" s="17">
        <f>CHOOSE(CONTROL!$C$42, 7.0787, 7.0787) * CHOOSE(CONTROL!$C$21, $C$9, 100%, $E$9)</f>
        <v>7.0787000000000004</v>
      </c>
      <c r="C101" s="17">
        <f>CHOOSE(CONTROL!$C$42, 7.0867, 7.0867) * CHOOSE(CONTROL!$C$21, $C$9, 100%, $E$9)</f>
        <v>7.0867000000000004</v>
      </c>
      <c r="D101" s="17">
        <f>CHOOSE(CONTROL!$C$42, 7.3311, 7.3311) * CHOOSE(CONTROL!$C$21, $C$9, 100%, $E$9)</f>
        <v>7.3311000000000002</v>
      </c>
      <c r="E101" s="17">
        <f>CHOOSE(CONTROL!$C$42, 7.3623, 7.3623) * CHOOSE(CONTROL!$C$21, $C$9, 100%, $E$9)</f>
        <v>7.3623000000000003</v>
      </c>
      <c r="F101" s="17">
        <f>CHOOSE(CONTROL!$C$42, 7.0892, 7.0892)*CHOOSE(CONTROL!$C$21, $C$9, 100%, $E$9)</f>
        <v>7.0891999999999999</v>
      </c>
      <c r="G101" s="17">
        <f>CHOOSE(CONTROL!$C$42, 7.1054, 7.1054)*CHOOSE(CONTROL!$C$21, $C$9, 100%, $E$9)</f>
        <v>7.1054000000000004</v>
      </c>
      <c r="H101" s="17">
        <f>CHOOSE(CONTROL!$C$42, 7.3506, 7.3506) * CHOOSE(CONTROL!$C$21, $C$9, 100%, $E$9)</f>
        <v>7.3506</v>
      </c>
      <c r="I101" s="17">
        <f>CHOOSE(CONTROL!$C$42, 7.1219, 7.1219)* CHOOSE(CONTROL!$C$21, $C$9, 100%, $E$9)</f>
        <v>7.1219000000000001</v>
      </c>
      <c r="J101" s="17">
        <f>CHOOSE(CONTROL!$C$42, 7.0818, 7.0818)* CHOOSE(CONTROL!$C$21, $C$9, 100%, $E$9)</f>
        <v>7.0818000000000003</v>
      </c>
      <c r="K101" s="52">
        <f>CHOOSE(CONTROL!$C$42, 7.1159, 7.1159) * CHOOSE(CONTROL!$C$21, $C$9, 100%, $E$9)</f>
        <v>7.1158999999999999</v>
      </c>
      <c r="L101" s="17">
        <f>CHOOSE(CONTROL!$C$42, 7.9376, 7.9376) * CHOOSE(CONTROL!$C$21, $C$9, 100%, $E$9)</f>
        <v>7.9375999999999998</v>
      </c>
      <c r="M101" s="17">
        <f>CHOOSE(CONTROL!$C$42, 7.0251, 7.0251) * CHOOSE(CONTROL!$C$21, $C$9, 100%, $E$9)</f>
        <v>7.0251000000000001</v>
      </c>
      <c r="N101" s="17">
        <f>CHOOSE(CONTROL!$C$42, 7.0412, 7.0412) * CHOOSE(CONTROL!$C$21, $C$9, 100%, $E$9)</f>
        <v>7.0411999999999999</v>
      </c>
      <c r="O101" s="17">
        <f>CHOOSE(CONTROL!$C$42, 7.2915, 7.2915) * CHOOSE(CONTROL!$C$21, $C$9, 100%, $E$9)</f>
        <v>7.2915000000000001</v>
      </c>
      <c r="P101" s="17">
        <f>CHOOSE(CONTROL!$C$42, 7.0647, 7.0647) * CHOOSE(CONTROL!$C$21, $C$9, 100%, $E$9)</f>
        <v>7.0647000000000002</v>
      </c>
      <c r="Q101" s="17">
        <f>CHOOSE(CONTROL!$C$42, 7.8862, 7.8862) * CHOOSE(CONTROL!$C$21, $C$9, 100%, $E$9)</f>
        <v>7.8861999999999997</v>
      </c>
      <c r="R101" s="17">
        <f>CHOOSE(CONTROL!$C$42, 8.4929, 8.4929) * CHOOSE(CONTROL!$C$21, $C$9, 100%, $E$9)</f>
        <v>8.4929000000000006</v>
      </c>
      <c r="S101" s="17">
        <f>CHOOSE(CONTROL!$C$42, 6.8526, 6.8526) * CHOOSE(CONTROL!$C$21, $C$9, 100%, $E$9)</f>
        <v>6.8525999999999998</v>
      </c>
      <c r="T10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01" s="56">
        <f>(1000*CHOOSE(CONTROL!$C$42, 695, 695)*CHOOSE(CONTROL!$C$42, 0.5599, 0.5599)*CHOOSE(CONTROL!$C$42, 31, 31))/1000000</f>
        <v>12.063045499999998</v>
      </c>
      <c r="V101" s="56">
        <f>(1000*CHOOSE(CONTROL!$C$42, 500, 500)*CHOOSE(CONTROL!$C$42, 0.275, 0.275)*CHOOSE(CONTROL!$C$42, 31, 31))/1000000</f>
        <v>4.2625000000000002</v>
      </c>
      <c r="W101" s="56">
        <f>(1000*CHOOSE(CONTROL!$C$42, 0.0916, 0.0916)*CHOOSE(CONTROL!$C$42, 121.5, 121.5)*CHOOSE(CONTROL!$C$42, 31, 31))/1000000</f>
        <v>0.34501139999999997</v>
      </c>
      <c r="X101" s="56">
        <f>(31*0.1790888*145000/1000000)+(31*0.2374*100000/1000000)</f>
        <v>1.5409441560000001</v>
      </c>
      <c r="Y101" s="56"/>
      <c r="Z101" s="17"/>
      <c r="AA101" s="55"/>
      <c r="AB101" s="48">
        <f>(B101*194.205+C101*267.466+D101*133.845+E101*153.484+F101*40+G101*85+H101*0+I101*100+J101*300)/(194.205+267.466+133.845+153.484+0+40+85+100+300)</f>
        <v>7.1472947946624812</v>
      </c>
      <c r="AC101" s="45">
        <f>(M101*'RAP TEMPLATE-GAS AVAILABILITY'!O100+N101*'RAP TEMPLATE-GAS AVAILABILITY'!P100+O101*'RAP TEMPLATE-GAS AVAILABILITY'!Q100+P101*'RAP TEMPLATE-GAS AVAILABILITY'!R100)/('RAP TEMPLATE-GAS AVAILABILITY'!O100+'RAP TEMPLATE-GAS AVAILABILITY'!P100+'RAP TEMPLATE-GAS AVAILABILITY'!Q100+'RAP TEMPLATE-GAS AVAILABILITY'!R100)</f>
        <v>7.1092496402877696</v>
      </c>
    </row>
    <row r="102" spans="1:29" ht="15.75" x14ac:dyDescent="0.25">
      <c r="A102" s="16">
        <v>43983</v>
      </c>
      <c r="B102" s="17">
        <f>CHOOSE(CONTROL!$C$42, 7.2941, 7.2941) * CHOOSE(CONTROL!$C$21, $C$9, 100%, $E$9)</f>
        <v>7.2941000000000003</v>
      </c>
      <c r="C102" s="17">
        <f>CHOOSE(CONTROL!$C$42, 7.3021, 7.3021) * CHOOSE(CONTROL!$C$21, $C$9, 100%, $E$9)</f>
        <v>7.3021000000000003</v>
      </c>
      <c r="D102" s="17">
        <f>CHOOSE(CONTROL!$C$42, 7.5465, 7.5465) * CHOOSE(CONTROL!$C$21, $C$9, 100%, $E$9)</f>
        <v>7.5465</v>
      </c>
      <c r="E102" s="17">
        <f>CHOOSE(CONTROL!$C$42, 7.5777, 7.5777) * CHOOSE(CONTROL!$C$21, $C$9, 100%, $E$9)</f>
        <v>7.5777000000000001</v>
      </c>
      <c r="F102" s="17">
        <f>CHOOSE(CONTROL!$C$42, 7.3049, 7.3049)*CHOOSE(CONTROL!$C$21, $C$9, 100%, $E$9)</f>
        <v>7.3048999999999999</v>
      </c>
      <c r="G102" s="17">
        <f>CHOOSE(CONTROL!$C$42, 7.3213, 7.3213)*CHOOSE(CONTROL!$C$21, $C$9, 100%, $E$9)</f>
        <v>7.3212999999999999</v>
      </c>
      <c r="H102" s="17">
        <f>CHOOSE(CONTROL!$C$42, 7.566, 7.566) * CHOOSE(CONTROL!$C$21, $C$9, 100%, $E$9)</f>
        <v>7.5659999999999998</v>
      </c>
      <c r="I102" s="17">
        <f>CHOOSE(CONTROL!$C$42, 7.338, 7.338)* CHOOSE(CONTROL!$C$21, $C$9, 100%, $E$9)</f>
        <v>7.3380000000000001</v>
      </c>
      <c r="J102" s="17">
        <f>CHOOSE(CONTROL!$C$42, 7.2975, 7.2975)* CHOOSE(CONTROL!$C$21, $C$9, 100%, $E$9)</f>
        <v>7.2975000000000003</v>
      </c>
      <c r="K102" s="52">
        <f>CHOOSE(CONTROL!$C$42, 7.3319, 7.3319) * CHOOSE(CONTROL!$C$21, $C$9, 100%, $E$9)</f>
        <v>7.3319000000000001</v>
      </c>
      <c r="L102" s="17">
        <f>CHOOSE(CONTROL!$C$42, 8.153, 8.153) * CHOOSE(CONTROL!$C$21, $C$9, 100%, $E$9)</f>
        <v>8.1530000000000005</v>
      </c>
      <c r="M102" s="17">
        <f>CHOOSE(CONTROL!$C$42, 7.2389, 7.2389) * CHOOSE(CONTROL!$C$21, $C$9, 100%, $E$9)</f>
        <v>7.2389000000000001</v>
      </c>
      <c r="N102" s="17">
        <f>CHOOSE(CONTROL!$C$42, 7.2551, 7.2551) * CHOOSE(CONTROL!$C$21, $C$9, 100%, $E$9)</f>
        <v>7.2550999999999997</v>
      </c>
      <c r="O102" s="17">
        <f>CHOOSE(CONTROL!$C$42, 7.505, 7.505) * CHOOSE(CONTROL!$C$21, $C$9, 100%, $E$9)</f>
        <v>7.5049999999999999</v>
      </c>
      <c r="P102" s="17">
        <f>CHOOSE(CONTROL!$C$42, 7.2788, 7.2788) * CHOOSE(CONTROL!$C$21, $C$9, 100%, $E$9)</f>
        <v>7.2788000000000004</v>
      </c>
      <c r="Q102" s="17">
        <f>CHOOSE(CONTROL!$C$42, 8.0997, 8.0997) * CHOOSE(CONTROL!$C$21, $C$9, 100%, $E$9)</f>
        <v>8.0997000000000003</v>
      </c>
      <c r="R102" s="17">
        <f>CHOOSE(CONTROL!$C$42, 8.7069, 8.7069) * CHOOSE(CONTROL!$C$21, $C$9, 100%, $E$9)</f>
        <v>8.7068999999999992</v>
      </c>
      <c r="S102" s="17">
        <f>CHOOSE(CONTROL!$C$42, 7.0615, 7.0615) * CHOOSE(CONTROL!$C$21, $C$9, 100%, $E$9)</f>
        <v>7.0614999999999997</v>
      </c>
      <c r="T10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02" s="56">
        <f>(1000*CHOOSE(CONTROL!$C$42, 695, 695)*CHOOSE(CONTROL!$C$42, 0.5599, 0.5599)*CHOOSE(CONTROL!$C$42, 30, 30))/1000000</f>
        <v>11.673914999999997</v>
      </c>
      <c r="V102" s="56">
        <f>(1000*CHOOSE(CONTROL!$C$42, 500, 500)*CHOOSE(CONTROL!$C$42, 0.275, 0.275)*CHOOSE(CONTROL!$C$42, 30, 30))/1000000</f>
        <v>4.125</v>
      </c>
      <c r="W102" s="56">
        <f>(1000*CHOOSE(CONTROL!$C$42, 0.0916, 0.0916)*CHOOSE(CONTROL!$C$42, 121.5, 121.5)*CHOOSE(CONTROL!$C$42, 30, 30))/1000000</f>
        <v>0.33388200000000001</v>
      </c>
      <c r="X102" s="56">
        <f>(30*0.1790888*145000/1000000)+(30*0.2374*100000/1000000)</f>
        <v>1.4912362799999999</v>
      </c>
      <c r="Y102" s="56"/>
      <c r="Z102" s="17"/>
      <c r="AA102" s="55"/>
      <c r="AB102" s="48">
        <f>(B102*194.205+C102*267.466+D102*133.845+E102*153.484+F102*40+G102*85+H102*0+I102*100+J102*300)/(194.205+267.466+133.845+153.484+0+40+85+100+300)</f>
        <v>7.3628631620094191</v>
      </c>
      <c r="AC102" s="45">
        <f>(M102*'RAP TEMPLATE-GAS AVAILABILITY'!O101+N102*'RAP TEMPLATE-GAS AVAILABILITY'!P101+O102*'RAP TEMPLATE-GAS AVAILABILITY'!Q101+P102*'RAP TEMPLATE-GAS AVAILABILITY'!R101)/('RAP TEMPLATE-GAS AVAILABILITY'!O101+'RAP TEMPLATE-GAS AVAILABILITY'!P101+'RAP TEMPLATE-GAS AVAILABILITY'!Q101+'RAP TEMPLATE-GAS AVAILABILITY'!R101)</f>
        <v>7.3230316546762602</v>
      </c>
    </row>
    <row r="103" spans="1:29" ht="15.75" x14ac:dyDescent="0.25">
      <c r="A103" s="16">
        <v>44013</v>
      </c>
      <c r="B103" s="17">
        <f>CHOOSE(CONTROL!$C$42, 7.1691, 7.1691) * CHOOSE(CONTROL!$C$21, $C$9, 100%, $E$9)</f>
        <v>7.1691000000000003</v>
      </c>
      <c r="C103" s="17">
        <f>CHOOSE(CONTROL!$C$42, 7.1771, 7.1771) * CHOOSE(CONTROL!$C$21, $C$9, 100%, $E$9)</f>
        <v>7.1771000000000003</v>
      </c>
      <c r="D103" s="17">
        <f>CHOOSE(CONTROL!$C$42, 7.4215, 7.4215) * CHOOSE(CONTROL!$C$21, $C$9, 100%, $E$9)</f>
        <v>7.4215</v>
      </c>
      <c r="E103" s="17">
        <f>CHOOSE(CONTROL!$C$42, 7.4527, 7.4527) * CHOOSE(CONTROL!$C$21, $C$9, 100%, $E$9)</f>
        <v>7.4527000000000001</v>
      </c>
      <c r="F103" s="17">
        <f>CHOOSE(CONTROL!$C$42, 7.1804, 7.1804)*CHOOSE(CONTROL!$C$21, $C$9, 100%, $E$9)</f>
        <v>7.1803999999999997</v>
      </c>
      <c r="G103" s="17">
        <f>CHOOSE(CONTROL!$C$42, 7.1969, 7.1969)*CHOOSE(CONTROL!$C$21, $C$9, 100%, $E$9)</f>
        <v>7.1969000000000003</v>
      </c>
      <c r="H103" s="17">
        <f>CHOOSE(CONTROL!$C$42, 7.441, 7.441) * CHOOSE(CONTROL!$C$21, $C$9, 100%, $E$9)</f>
        <v>7.4409999999999998</v>
      </c>
      <c r="I103" s="17">
        <f>CHOOSE(CONTROL!$C$42, 7.2126, 7.2126)* CHOOSE(CONTROL!$C$21, $C$9, 100%, $E$9)</f>
        <v>7.2126000000000001</v>
      </c>
      <c r="J103" s="17">
        <f>CHOOSE(CONTROL!$C$42, 7.173, 7.173)* CHOOSE(CONTROL!$C$21, $C$9, 100%, $E$9)</f>
        <v>7.173</v>
      </c>
      <c r="K103" s="52">
        <f>CHOOSE(CONTROL!$C$42, 7.2066, 7.2066) * CHOOSE(CONTROL!$C$21, $C$9, 100%, $E$9)</f>
        <v>7.2065999999999999</v>
      </c>
      <c r="L103" s="17">
        <f>CHOOSE(CONTROL!$C$42, 8.028, 8.028) * CHOOSE(CONTROL!$C$21, $C$9, 100%, $E$9)</f>
        <v>8.0280000000000005</v>
      </c>
      <c r="M103" s="17">
        <f>CHOOSE(CONTROL!$C$42, 7.1155, 7.1155) * CHOOSE(CONTROL!$C$21, $C$9, 100%, $E$9)</f>
        <v>7.1154999999999999</v>
      </c>
      <c r="N103" s="17">
        <f>CHOOSE(CONTROL!$C$42, 7.1318, 7.1318) * CHOOSE(CONTROL!$C$21, $C$9, 100%, $E$9)</f>
        <v>7.1318000000000001</v>
      </c>
      <c r="O103" s="17">
        <f>CHOOSE(CONTROL!$C$42, 7.3811, 7.3811) * CHOOSE(CONTROL!$C$21, $C$9, 100%, $E$9)</f>
        <v>7.3811</v>
      </c>
      <c r="P103" s="17">
        <f>CHOOSE(CONTROL!$C$42, 7.1546, 7.1546) * CHOOSE(CONTROL!$C$21, $C$9, 100%, $E$9)</f>
        <v>7.1546000000000003</v>
      </c>
      <c r="Q103" s="17">
        <f>CHOOSE(CONTROL!$C$42, 7.9758, 7.9758) * CHOOSE(CONTROL!$C$21, $C$9, 100%, $E$9)</f>
        <v>7.9757999999999996</v>
      </c>
      <c r="R103" s="17">
        <f>CHOOSE(CONTROL!$C$42, 8.5828, 8.5828) * CHOOSE(CONTROL!$C$21, $C$9, 100%, $E$9)</f>
        <v>8.5828000000000007</v>
      </c>
      <c r="S103" s="17">
        <f>CHOOSE(CONTROL!$C$42, 6.9403, 6.9403) * CHOOSE(CONTROL!$C$21, $C$9, 100%, $E$9)</f>
        <v>6.9402999999999997</v>
      </c>
      <c r="T10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03" s="56">
        <f>(1000*CHOOSE(CONTROL!$C$42, 695, 695)*CHOOSE(CONTROL!$C$42, 0.5599, 0.5599)*CHOOSE(CONTROL!$C$42, 31, 31))/1000000</f>
        <v>12.063045499999998</v>
      </c>
      <c r="V103" s="56">
        <f>(1000*CHOOSE(CONTROL!$C$42, 500, 500)*CHOOSE(CONTROL!$C$42, 0.275, 0.275)*CHOOSE(CONTROL!$C$42, 31, 31))/1000000</f>
        <v>4.2625000000000002</v>
      </c>
      <c r="W103" s="56">
        <f>(1000*CHOOSE(CONTROL!$C$42, 0.0916, 0.0916)*CHOOSE(CONTROL!$C$42, 121.5, 121.5)*CHOOSE(CONTROL!$C$42, 31, 31))/1000000</f>
        <v>0.34501139999999997</v>
      </c>
      <c r="X103" s="56">
        <f>(31*0.1790888*145000/1000000)+(31*0.2374*100000/1000000)</f>
        <v>1.5409441560000001</v>
      </c>
      <c r="Y103" s="56"/>
      <c r="Z103" s="17"/>
      <c r="AA103" s="55"/>
      <c r="AB103" s="48">
        <f>(B103*194.205+C103*267.466+D103*133.845+E103*153.484+F103*40+G103*85+H103*0+I103*100+J103*300)/(194.205+267.466+133.845+153.484+0+40+85+100+300)</f>
        <v>7.2380052342229204</v>
      </c>
      <c r="AC103" s="45">
        <f>(M103*'RAP TEMPLATE-GAS AVAILABILITY'!O102+N103*'RAP TEMPLATE-GAS AVAILABILITY'!P102+O103*'RAP TEMPLATE-GAS AVAILABILITY'!Q102+P103*'RAP TEMPLATE-GAS AVAILABILITY'!R102)/('RAP TEMPLATE-GAS AVAILABILITY'!O102+'RAP TEMPLATE-GAS AVAILABILITY'!P102+'RAP TEMPLATE-GAS AVAILABILITY'!Q102+'RAP TEMPLATE-GAS AVAILABILITY'!R102)</f>
        <v>7.1993992805755385</v>
      </c>
    </row>
    <row r="104" spans="1:29" ht="15.75" x14ac:dyDescent="0.25">
      <c r="A104" s="16">
        <v>44044</v>
      </c>
      <c r="B104" s="17">
        <f>CHOOSE(CONTROL!$C$42, 6.8296, 6.8296) * CHOOSE(CONTROL!$C$21, $C$9, 100%, $E$9)</f>
        <v>6.8296000000000001</v>
      </c>
      <c r="C104" s="17">
        <f>CHOOSE(CONTROL!$C$42, 6.8376, 6.8376) * CHOOSE(CONTROL!$C$21, $C$9, 100%, $E$9)</f>
        <v>6.8376000000000001</v>
      </c>
      <c r="D104" s="17">
        <f>CHOOSE(CONTROL!$C$42, 7.0821, 7.0821) * CHOOSE(CONTROL!$C$21, $C$9, 100%, $E$9)</f>
        <v>7.0820999999999996</v>
      </c>
      <c r="E104" s="17">
        <f>CHOOSE(CONTROL!$C$42, 7.1133, 7.1133) * CHOOSE(CONTROL!$C$21, $C$9, 100%, $E$9)</f>
        <v>7.1132999999999997</v>
      </c>
      <c r="F104" s="17">
        <f>CHOOSE(CONTROL!$C$42, 6.8412, 6.8412)*CHOOSE(CONTROL!$C$21, $C$9, 100%, $E$9)</f>
        <v>6.8411999999999997</v>
      </c>
      <c r="G104" s="17">
        <f>CHOOSE(CONTROL!$C$42, 6.8577, 6.8577)*CHOOSE(CONTROL!$C$21, $C$9, 100%, $E$9)</f>
        <v>6.8577000000000004</v>
      </c>
      <c r="H104" s="17">
        <f>CHOOSE(CONTROL!$C$42, 7.1016, 7.1016) * CHOOSE(CONTROL!$C$21, $C$9, 100%, $E$9)</f>
        <v>7.1016000000000004</v>
      </c>
      <c r="I104" s="17">
        <f>CHOOSE(CONTROL!$C$42, 6.8721, 6.8721)* CHOOSE(CONTROL!$C$21, $C$9, 100%, $E$9)</f>
        <v>6.8720999999999997</v>
      </c>
      <c r="J104" s="17">
        <f>CHOOSE(CONTROL!$C$42, 6.8338, 6.8338)* CHOOSE(CONTROL!$C$21, $C$9, 100%, $E$9)</f>
        <v>6.8338000000000001</v>
      </c>
      <c r="K104" s="52">
        <f>CHOOSE(CONTROL!$C$42, 6.866, 6.866) * CHOOSE(CONTROL!$C$21, $C$9, 100%, $E$9)</f>
        <v>6.8659999999999997</v>
      </c>
      <c r="L104" s="17">
        <f>CHOOSE(CONTROL!$C$42, 7.6886, 7.6886) * CHOOSE(CONTROL!$C$21, $C$9, 100%, $E$9)</f>
        <v>7.6886000000000001</v>
      </c>
      <c r="M104" s="17">
        <f>CHOOSE(CONTROL!$C$42, 6.7793, 6.7793) * CHOOSE(CONTROL!$C$21, $C$9, 100%, $E$9)</f>
        <v>6.7793000000000001</v>
      </c>
      <c r="N104" s="17">
        <f>CHOOSE(CONTROL!$C$42, 6.7957, 6.7957) * CHOOSE(CONTROL!$C$21, $C$9, 100%, $E$9)</f>
        <v>6.7957000000000001</v>
      </c>
      <c r="O104" s="17">
        <f>CHOOSE(CONTROL!$C$42, 7.0447, 7.0447) * CHOOSE(CONTROL!$C$21, $C$9, 100%, $E$9)</f>
        <v>7.0446999999999997</v>
      </c>
      <c r="P104" s="17">
        <f>CHOOSE(CONTROL!$C$42, 6.8171, 6.8171) * CHOOSE(CONTROL!$C$21, $C$9, 100%, $E$9)</f>
        <v>6.8170999999999999</v>
      </c>
      <c r="Q104" s="17">
        <f>CHOOSE(CONTROL!$C$42, 7.6394, 7.6394) * CHOOSE(CONTROL!$C$21, $C$9, 100%, $E$9)</f>
        <v>7.6394000000000002</v>
      </c>
      <c r="R104" s="17">
        <f>CHOOSE(CONTROL!$C$42, 8.2455, 8.2455) * CHOOSE(CONTROL!$C$21, $C$9, 100%, $E$9)</f>
        <v>8.2454999999999998</v>
      </c>
      <c r="S104" s="17">
        <f>CHOOSE(CONTROL!$C$42, 6.6111, 6.6111) * CHOOSE(CONTROL!$C$21, $C$9, 100%, $E$9)</f>
        <v>6.6111000000000004</v>
      </c>
      <c r="T10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04" s="56">
        <f>(1000*CHOOSE(CONTROL!$C$42, 695, 695)*CHOOSE(CONTROL!$C$42, 0.5599, 0.5599)*CHOOSE(CONTROL!$C$42, 31, 31))/1000000</f>
        <v>12.063045499999998</v>
      </c>
      <c r="V104" s="56">
        <f>(1000*CHOOSE(CONTROL!$C$42, 500, 500)*CHOOSE(CONTROL!$C$42, 0.275, 0.275)*CHOOSE(CONTROL!$C$42, 31, 31))/1000000</f>
        <v>4.2625000000000002</v>
      </c>
      <c r="W104" s="56">
        <f>(1000*CHOOSE(CONTROL!$C$42, 0.0916, 0.0916)*CHOOSE(CONTROL!$C$42, 121.5, 121.5)*CHOOSE(CONTROL!$C$42, 31, 31))/1000000</f>
        <v>0.34501139999999997</v>
      </c>
      <c r="X104" s="56">
        <f>(31*0.1790888*145000/1000000)+(31*0.2374*100000/1000000)</f>
        <v>1.5409441560000001</v>
      </c>
      <c r="Y104" s="56"/>
      <c r="Z104" s="17"/>
      <c r="AA104" s="55"/>
      <c r="AB104" s="48">
        <f>(B104*194.205+C104*267.466+D104*133.845+E104*153.484+F104*40+G104*85+H104*0+I104*100+J104*300)/(194.205+267.466+133.845+153.484+0+40+85+100+300)</f>
        <v>6.8985493730769232</v>
      </c>
      <c r="AC104" s="45">
        <f>(M104*'RAP TEMPLATE-GAS AVAILABILITY'!O103+N104*'RAP TEMPLATE-GAS AVAILABILITY'!P103+O104*'RAP TEMPLATE-GAS AVAILABILITY'!Q103+P104*'RAP TEMPLATE-GAS AVAILABILITY'!R103)/('RAP TEMPLATE-GAS AVAILABILITY'!O103+'RAP TEMPLATE-GAS AVAILABILITY'!P103+'RAP TEMPLATE-GAS AVAILABILITY'!Q103+'RAP TEMPLATE-GAS AVAILABILITY'!R103)</f>
        <v>6.8629791366906483</v>
      </c>
    </row>
    <row r="105" spans="1:29" ht="15.75" x14ac:dyDescent="0.25">
      <c r="A105" s="16">
        <v>44075</v>
      </c>
      <c r="B105" s="17">
        <f>CHOOSE(CONTROL!$C$42, 6.4098, 6.4098) * CHOOSE(CONTROL!$C$21, $C$9, 100%, $E$9)</f>
        <v>6.4097999999999997</v>
      </c>
      <c r="C105" s="17">
        <f>CHOOSE(CONTROL!$C$42, 6.4178, 6.4178) * CHOOSE(CONTROL!$C$21, $C$9, 100%, $E$9)</f>
        <v>6.4177999999999997</v>
      </c>
      <c r="D105" s="17">
        <f>CHOOSE(CONTROL!$C$42, 6.6622, 6.6622) * CHOOSE(CONTROL!$C$21, $C$9, 100%, $E$9)</f>
        <v>6.6622000000000003</v>
      </c>
      <c r="E105" s="17">
        <f>CHOOSE(CONTROL!$C$42, 6.6934, 6.6934) * CHOOSE(CONTROL!$C$21, $C$9, 100%, $E$9)</f>
        <v>6.6933999999999996</v>
      </c>
      <c r="F105" s="17">
        <f>CHOOSE(CONTROL!$C$42, 6.4214, 6.4214)*CHOOSE(CONTROL!$C$21, $C$9, 100%, $E$9)</f>
        <v>6.4214000000000002</v>
      </c>
      <c r="G105" s="17">
        <f>CHOOSE(CONTROL!$C$42, 6.4379, 6.4379)*CHOOSE(CONTROL!$C$21, $C$9, 100%, $E$9)</f>
        <v>6.4379</v>
      </c>
      <c r="H105" s="17">
        <f>CHOOSE(CONTROL!$C$42, 6.6817, 6.6817) * CHOOSE(CONTROL!$C$21, $C$9, 100%, $E$9)</f>
        <v>6.6817000000000002</v>
      </c>
      <c r="I105" s="17">
        <f>CHOOSE(CONTROL!$C$42, 6.4509, 6.4509)* CHOOSE(CONTROL!$C$21, $C$9, 100%, $E$9)</f>
        <v>6.4508999999999999</v>
      </c>
      <c r="J105" s="17">
        <f>CHOOSE(CONTROL!$C$42, 6.414, 6.414)* CHOOSE(CONTROL!$C$21, $C$9, 100%, $E$9)</f>
        <v>6.4139999999999997</v>
      </c>
      <c r="K105" s="52">
        <f>CHOOSE(CONTROL!$C$42, 6.4449, 6.4449) * CHOOSE(CONTROL!$C$21, $C$9, 100%, $E$9)</f>
        <v>6.4448999999999996</v>
      </c>
      <c r="L105" s="17">
        <f>CHOOSE(CONTROL!$C$42, 7.2687, 7.2687) * CHOOSE(CONTROL!$C$21, $C$9, 100%, $E$9)</f>
        <v>7.2686999999999999</v>
      </c>
      <c r="M105" s="17">
        <f>CHOOSE(CONTROL!$C$42, 6.3633, 6.3633) * CHOOSE(CONTROL!$C$21, $C$9, 100%, $E$9)</f>
        <v>6.3632999999999997</v>
      </c>
      <c r="N105" s="17">
        <f>CHOOSE(CONTROL!$C$42, 6.3797, 6.3797) * CHOOSE(CONTROL!$C$21, $C$9, 100%, $E$9)</f>
        <v>6.3796999999999997</v>
      </c>
      <c r="O105" s="17">
        <f>CHOOSE(CONTROL!$C$42, 6.6286, 6.6286) * CHOOSE(CONTROL!$C$21, $C$9, 100%, $E$9)</f>
        <v>6.6285999999999996</v>
      </c>
      <c r="P105" s="17">
        <f>CHOOSE(CONTROL!$C$42, 6.3998, 6.3998) * CHOOSE(CONTROL!$C$21, $C$9, 100%, $E$9)</f>
        <v>6.3997999999999999</v>
      </c>
      <c r="Q105" s="17">
        <f>CHOOSE(CONTROL!$C$42, 7.2233, 7.2233) * CHOOSE(CONTROL!$C$21, $C$9, 100%, $E$9)</f>
        <v>7.2233000000000001</v>
      </c>
      <c r="R105" s="17">
        <f>CHOOSE(CONTROL!$C$42, 7.8284, 7.8284) * CHOOSE(CONTROL!$C$21, $C$9, 100%, $E$9)</f>
        <v>7.8284000000000002</v>
      </c>
      <c r="S105" s="17">
        <f>CHOOSE(CONTROL!$C$42, 6.204, 6.204) * CHOOSE(CONTROL!$C$21, $C$9, 100%, $E$9)</f>
        <v>6.2039999999999997</v>
      </c>
      <c r="T10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05" s="56">
        <f>(1000*CHOOSE(CONTROL!$C$42, 695, 695)*CHOOSE(CONTROL!$C$42, 0.5599, 0.5599)*CHOOSE(CONTROL!$C$42, 30, 30))/1000000</f>
        <v>11.673914999999997</v>
      </c>
      <c r="V105" s="56">
        <f>(1000*CHOOSE(CONTROL!$C$42, 500, 500)*CHOOSE(CONTROL!$C$42, 0.275, 0.275)*CHOOSE(CONTROL!$C$42, 30, 30))/1000000</f>
        <v>4.125</v>
      </c>
      <c r="W105" s="56">
        <f>(1000*CHOOSE(CONTROL!$C$42, 0.0916, 0.0916)*CHOOSE(CONTROL!$C$42, 121.5, 121.5)*CHOOSE(CONTROL!$C$42, 30, 30))/1000000</f>
        <v>0.33388200000000001</v>
      </c>
      <c r="X105" s="56">
        <f>(30*0.1790888*145000/1000000)+(30*0.2374*100000/1000000)</f>
        <v>1.4912362799999999</v>
      </c>
      <c r="Y105" s="56"/>
      <c r="Z105" s="17"/>
      <c r="AA105" s="55"/>
      <c r="AB105" s="48">
        <f>(B105*194.205+C105*267.466+D105*133.845+E105*153.484+F105*40+G105*85+H105*0+I105*100+J105*300)/(194.205+267.466+133.845+153.484+0+40+85+100+300)</f>
        <v>6.4786169296703289</v>
      </c>
      <c r="AC105" s="45">
        <f>(M105*'RAP TEMPLATE-GAS AVAILABILITY'!O104+N105*'RAP TEMPLATE-GAS AVAILABILITY'!P104+O105*'RAP TEMPLATE-GAS AVAILABILITY'!Q104+P105*'RAP TEMPLATE-GAS AVAILABILITY'!R104)/('RAP TEMPLATE-GAS AVAILABILITY'!O104+'RAP TEMPLATE-GAS AVAILABILITY'!P104+'RAP TEMPLATE-GAS AVAILABILITY'!Q104+'RAP TEMPLATE-GAS AVAILABILITY'!R104)</f>
        <v>6.446764028776979</v>
      </c>
    </row>
    <row r="106" spans="1:29" ht="15.75" x14ac:dyDescent="0.25">
      <c r="A106" s="16">
        <v>44105</v>
      </c>
      <c r="B106" s="17">
        <f>CHOOSE(CONTROL!$C$42, 6.2911, 6.2911) * CHOOSE(CONTROL!$C$21, $C$9, 100%, $E$9)</f>
        <v>6.2911000000000001</v>
      </c>
      <c r="C106" s="17">
        <f>CHOOSE(CONTROL!$C$42, 6.2964, 6.2964) * CHOOSE(CONTROL!$C$21, $C$9, 100%, $E$9)</f>
        <v>6.2964000000000002</v>
      </c>
      <c r="D106" s="17">
        <f>CHOOSE(CONTROL!$C$42, 6.5457, 6.5457) * CHOOSE(CONTROL!$C$21, $C$9, 100%, $E$9)</f>
        <v>6.5457000000000001</v>
      </c>
      <c r="E106" s="17">
        <f>CHOOSE(CONTROL!$C$42, 6.5746, 6.5746) * CHOOSE(CONTROL!$C$21, $C$9, 100%, $E$9)</f>
        <v>6.5746000000000002</v>
      </c>
      <c r="F106" s="17">
        <f>CHOOSE(CONTROL!$C$42, 6.3049, 6.3049)*CHOOSE(CONTROL!$C$21, $C$9, 100%, $E$9)</f>
        <v>6.3048999999999999</v>
      </c>
      <c r="G106" s="17">
        <f>CHOOSE(CONTROL!$C$42, 6.3213, 6.3213)*CHOOSE(CONTROL!$C$21, $C$9, 100%, $E$9)</f>
        <v>6.3212999999999999</v>
      </c>
      <c r="H106" s="17">
        <f>CHOOSE(CONTROL!$C$42, 6.5647, 6.5647) * CHOOSE(CONTROL!$C$21, $C$9, 100%, $E$9)</f>
        <v>6.5647000000000002</v>
      </c>
      <c r="I106" s="17">
        <f>CHOOSE(CONTROL!$C$42, 6.3336, 6.3336)* CHOOSE(CONTROL!$C$21, $C$9, 100%, $E$9)</f>
        <v>6.3335999999999997</v>
      </c>
      <c r="J106" s="17">
        <f>CHOOSE(CONTROL!$C$42, 6.2975, 6.2975)* CHOOSE(CONTROL!$C$21, $C$9, 100%, $E$9)</f>
        <v>6.2975000000000003</v>
      </c>
      <c r="K106" s="52">
        <f>CHOOSE(CONTROL!$C$42, 6.3275, 6.3275) * CHOOSE(CONTROL!$C$21, $C$9, 100%, $E$9)</f>
        <v>6.3274999999999997</v>
      </c>
      <c r="L106" s="17">
        <f>CHOOSE(CONTROL!$C$42, 7.1517, 7.1517) * CHOOSE(CONTROL!$C$21, $C$9, 100%, $E$9)</f>
        <v>7.1516999999999999</v>
      </c>
      <c r="M106" s="17">
        <f>CHOOSE(CONTROL!$C$42, 6.2478, 6.2478) * CHOOSE(CONTROL!$C$21, $C$9, 100%, $E$9)</f>
        <v>6.2477999999999998</v>
      </c>
      <c r="N106" s="17">
        <f>CHOOSE(CONTROL!$C$42, 6.2641, 6.2641) * CHOOSE(CONTROL!$C$21, $C$9, 100%, $E$9)</f>
        <v>6.2641</v>
      </c>
      <c r="O106" s="17">
        <f>CHOOSE(CONTROL!$C$42, 6.5127, 6.5127) * CHOOSE(CONTROL!$C$21, $C$9, 100%, $E$9)</f>
        <v>6.5126999999999997</v>
      </c>
      <c r="P106" s="17">
        <f>CHOOSE(CONTROL!$C$42, 6.2835, 6.2835) * CHOOSE(CONTROL!$C$21, $C$9, 100%, $E$9)</f>
        <v>6.2835000000000001</v>
      </c>
      <c r="Q106" s="17">
        <f>CHOOSE(CONTROL!$C$42, 7.1074, 7.1074) * CHOOSE(CONTROL!$C$21, $C$9, 100%, $E$9)</f>
        <v>7.1074000000000002</v>
      </c>
      <c r="R106" s="17">
        <f>CHOOSE(CONTROL!$C$42, 7.7122, 7.7122) * CHOOSE(CONTROL!$C$21, $C$9, 100%, $E$9)</f>
        <v>7.7122000000000002</v>
      </c>
      <c r="S106" s="17">
        <f>CHOOSE(CONTROL!$C$42, 6.0905, 6.0905) * CHOOSE(CONTROL!$C$21, $C$9, 100%, $E$9)</f>
        <v>6.0904999999999996</v>
      </c>
      <c r="T10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06" s="56">
        <f>(1000*CHOOSE(CONTROL!$C$42, 695, 695)*CHOOSE(CONTROL!$C$42, 0.5599, 0.5599)*CHOOSE(CONTROL!$C$42, 31, 31))/1000000</f>
        <v>12.063045499999998</v>
      </c>
      <c r="V106" s="56">
        <f>(1000*CHOOSE(CONTROL!$C$42, 500, 500)*CHOOSE(CONTROL!$C$42, 0.275, 0.275)*CHOOSE(CONTROL!$C$42, 31, 31))/1000000</f>
        <v>4.2625000000000002</v>
      </c>
      <c r="W106" s="56">
        <f>(1000*CHOOSE(CONTROL!$C$42, 0.0916, 0.0916)*CHOOSE(CONTROL!$C$42, 121.5, 121.5)*CHOOSE(CONTROL!$C$42, 31, 31))/1000000</f>
        <v>0.34501139999999997</v>
      </c>
      <c r="X106" s="56">
        <f>(31*0.1790888*145000/1000000)+(31*0.2374*100000/1000000)</f>
        <v>1.5409441560000001</v>
      </c>
      <c r="Y106" s="56"/>
      <c r="Z106" s="17"/>
      <c r="AA106" s="55"/>
      <c r="AB106" s="48">
        <f>(B106*131.881+C106*277.167+D106*79.08+E106*225.872+F106*40+G106*85+H106*0+I106*100+J106*300)/(131.881+277.167+79.08+225.872+0+40+85+100+300)</f>
        <v>6.3677153874899108</v>
      </c>
      <c r="AC106" s="45">
        <f>(M106*'RAP TEMPLATE-GAS AVAILABILITY'!O105+N106*'RAP TEMPLATE-GAS AVAILABILITY'!P105+O106*'RAP TEMPLATE-GAS AVAILABILITY'!Q105+P106*'RAP TEMPLATE-GAS AVAILABILITY'!R105)/('RAP TEMPLATE-GAS AVAILABILITY'!O105+'RAP TEMPLATE-GAS AVAILABILITY'!P105+'RAP TEMPLATE-GAS AVAILABILITY'!Q105+'RAP TEMPLATE-GAS AVAILABILITY'!R105)</f>
        <v>6.3310136690647481</v>
      </c>
    </row>
    <row r="107" spans="1:29" ht="15.75" x14ac:dyDescent="0.25">
      <c r="A107" s="16">
        <v>44136</v>
      </c>
      <c r="B107" s="17">
        <f>CHOOSE(CONTROL!$C$42, 6.4694, 6.4694) * CHOOSE(CONTROL!$C$21, $C$9, 100%, $E$9)</f>
        <v>6.4694000000000003</v>
      </c>
      <c r="C107" s="17">
        <f>CHOOSE(CONTROL!$C$42, 6.4745, 6.4745) * CHOOSE(CONTROL!$C$21, $C$9, 100%, $E$9)</f>
        <v>6.4744999999999999</v>
      </c>
      <c r="D107" s="17">
        <f>CHOOSE(CONTROL!$C$42, 6.5558, 6.5558) * CHOOSE(CONTROL!$C$21, $C$9, 100%, $E$9)</f>
        <v>6.5557999999999996</v>
      </c>
      <c r="E107" s="17">
        <f>CHOOSE(CONTROL!$C$42, 6.5896, 6.5896) * CHOOSE(CONTROL!$C$21, $C$9, 100%, $E$9)</f>
        <v>6.5895999999999999</v>
      </c>
      <c r="F107" s="17">
        <f>CHOOSE(CONTROL!$C$42, 6.4873, 6.4873)*CHOOSE(CONTROL!$C$21, $C$9, 100%, $E$9)</f>
        <v>6.4873000000000003</v>
      </c>
      <c r="G107" s="17">
        <f>CHOOSE(CONTROL!$C$42, 6.504, 6.504)*CHOOSE(CONTROL!$C$21, $C$9, 100%, $E$9)</f>
        <v>6.5039999999999996</v>
      </c>
      <c r="H107" s="17">
        <f>CHOOSE(CONTROL!$C$42, 6.5785, 6.5785) * CHOOSE(CONTROL!$C$21, $C$9, 100%, $E$9)</f>
        <v>6.5785</v>
      </c>
      <c r="I107" s="17">
        <f>CHOOSE(CONTROL!$C$42, 6.5144, 6.5144)* CHOOSE(CONTROL!$C$21, $C$9, 100%, $E$9)</f>
        <v>6.5144000000000002</v>
      </c>
      <c r="J107" s="17">
        <f>CHOOSE(CONTROL!$C$42, 6.4799, 6.4799)* CHOOSE(CONTROL!$C$21, $C$9, 100%, $E$9)</f>
        <v>6.4798999999999998</v>
      </c>
      <c r="K107" s="52">
        <f>CHOOSE(CONTROL!$C$42, 6.5084, 6.5084) * CHOOSE(CONTROL!$C$21, $C$9, 100%, $E$9)</f>
        <v>6.5084</v>
      </c>
      <c r="L107" s="17">
        <f>CHOOSE(CONTROL!$C$42, 7.1655, 7.1655) * CHOOSE(CONTROL!$C$21, $C$9, 100%, $E$9)</f>
        <v>7.1654999999999998</v>
      </c>
      <c r="M107" s="17">
        <f>CHOOSE(CONTROL!$C$42, 6.4287, 6.4287) * CHOOSE(CONTROL!$C$21, $C$9, 100%, $E$9)</f>
        <v>6.4287000000000001</v>
      </c>
      <c r="N107" s="17">
        <f>CHOOSE(CONTROL!$C$42, 6.4452, 6.4452) * CHOOSE(CONTROL!$C$21, $C$9, 100%, $E$9)</f>
        <v>6.4451999999999998</v>
      </c>
      <c r="O107" s="17">
        <f>CHOOSE(CONTROL!$C$42, 6.5263, 6.5263) * CHOOSE(CONTROL!$C$21, $C$9, 100%, $E$9)</f>
        <v>6.5263</v>
      </c>
      <c r="P107" s="17">
        <f>CHOOSE(CONTROL!$C$42, 6.4627, 6.4627) * CHOOSE(CONTROL!$C$21, $C$9, 100%, $E$9)</f>
        <v>6.4626999999999999</v>
      </c>
      <c r="Q107" s="17">
        <f>CHOOSE(CONTROL!$C$42, 7.121, 7.121) * CHOOSE(CONTROL!$C$21, $C$9, 100%, $E$9)</f>
        <v>7.1210000000000004</v>
      </c>
      <c r="R107" s="17">
        <f>CHOOSE(CONTROL!$C$42, 7.7258, 7.7258) * CHOOSE(CONTROL!$C$21, $C$9, 100%, $E$9)</f>
        <v>7.7257999999999996</v>
      </c>
      <c r="S107" s="17">
        <f>CHOOSE(CONTROL!$C$42, 6.2639, 6.2639) * CHOOSE(CONTROL!$C$21, $C$9, 100%, $E$9)</f>
        <v>6.2638999999999996</v>
      </c>
      <c r="T10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07" s="56">
        <f>(1000*CHOOSE(CONTROL!$C$42, 695, 695)*CHOOSE(CONTROL!$C$42, 0.5599, 0.5599)*CHOOSE(CONTROL!$C$42, 30, 30))/1000000</f>
        <v>11.673914999999997</v>
      </c>
      <c r="V107" s="56">
        <f>(1000*CHOOSE(CONTROL!$C$42, 500, 500)*CHOOSE(CONTROL!$C$42, 0.275, 0.275)*CHOOSE(CONTROL!$C$42, 30, 30))/1000000</f>
        <v>4.125</v>
      </c>
      <c r="W107" s="56">
        <f>(1000*CHOOSE(CONTROL!$C$42, 0.0916, 0.0916)*CHOOSE(CONTROL!$C$42, 121.5, 121.5)*CHOOSE(CONTROL!$C$42, 30, 30))/1000000</f>
        <v>0.33388200000000001</v>
      </c>
      <c r="X107" s="56">
        <f>(30*0.2374*100000/1000000)</f>
        <v>0.71220000000000006</v>
      </c>
      <c r="Y107" s="56"/>
      <c r="Z107" s="17"/>
      <c r="AA107" s="55"/>
      <c r="AB107" s="48">
        <f>(B107*122.58+C107*297.941+D107*89.177+E107*140.302+F107*40+G107*60+H107*0+I107*100+J107*300)/(122.58+297.941+89.177+140.302+0+40+60+100+300)</f>
        <v>6.5011658193913036</v>
      </c>
      <c r="AC107" s="45">
        <f>(M107*'RAP TEMPLATE-GAS AVAILABILITY'!O106+N107*'RAP TEMPLATE-GAS AVAILABILITY'!P106+O107*'RAP TEMPLATE-GAS AVAILABILITY'!Q106+P107*'RAP TEMPLATE-GAS AVAILABILITY'!R106)/('RAP TEMPLATE-GAS AVAILABILITY'!O106+'RAP TEMPLATE-GAS AVAILABILITY'!P106+'RAP TEMPLATE-GAS AVAILABILITY'!Q106+'RAP TEMPLATE-GAS AVAILABILITY'!R106)</f>
        <v>6.4787776978417266</v>
      </c>
    </row>
    <row r="108" spans="1:29" ht="15.75" x14ac:dyDescent="0.25">
      <c r="A108" s="16">
        <v>44166</v>
      </c>
      <c r="B108" s="17">
        <f>CHOOSE(CONTROL!$C$42, 6.924, 6.924) * CHOOSE(CONTROL!$C$21, $C$9, 100%, $E$9)</f>
        <v>6.9240000000000004</v>
      </c>
      <c r="C108" s="17">
        <f>CHOOSE(CONTROL!$C$42, 6.929, 6.929) * CHOOSE(CONTROL!$C$21, $C$9, 100%, $E$9)</f>
        <v>6.9290000000000003</v>
      </c>
      <c r="D108" s="17">
        <f>CHOOSE(CONTROL!$C$42, 7.0104, 7.0104) * CHOOSE(CONTROL!$C$21, $C$9, 100%, $E$9)</f>
        <v>7.0103999999999997</v>
      </c>
      <c r="E108" s="17">
        <f>CHOOSE(CONTROL!$C$42, 7.0442, 7.0442) * CHOOSE(CONTROL!$C$21, $C$9, 100%, $E$9)</f>
        <v>7.0442</v>
      </c>
      <c r="F108" s="17">
        <f>CHOOSE(CONTROL!$C$42, 6.9443, 6.9443)*CHOOSE(CONTROL!$C$21, $C$9, 100%, $E$9)</f>
        <v>6.9443000000000001</v>
      </c>
      <c r="G108" s="17">
        <f>CHOOSE(CONTROL!$C$42, 6.9616, 6.9616)*CHOOSE(CONTROL!$C$21, $C$9, 100%, $E$9)</f>
        <v>6.9615999999999998</v>
      </c>
      <c r="H108" s="17">
        <f>CHOOSE(CONTROL!$C$42, 7.033, 7.033) * CHOOSE(CONTROL!$C$21, $C$9, 100%, $E$9)</f>
        <v>7.0330000000000004</v>
      </c>
      <c r="I108" s="17">
        <f>CHOOSE(CONTROL!$C$42, 6.9704, 6.9704)* CHOOSE(CONTROL!$C$21, $C$9, 100%, $E$9)</f>
        <v>6.9703999999999997</v>
      </c>
      <c r="J108" s="17">
        <f>CHOOSE(CONTROL!$C$42, 6.9369, 6.9369)* CHOOSE(CONTROL!$C$21, $C$9, 100%, $E$9)</f>
        <v>6.9368999999999996</v>
      </c>
      <c r="K108" s="52">
        <f>CHOOSE(CONTROL!$C$42, 6.9644, 6.9644) * CHOOSE(CONTROL!$C$21, $C$9, 100%, $E$9)</f>
        <v>6.9644000000000004</v>
      </c>
      <c r="L108" s="17">
        <f>CHOOSE(CONTROL!$C$42, 7.62, 7.62) * CHOOSE(CONTROL!$C$21, $C$9, 100%, $E$9)</f>
        <v>7.62</v>
      </c>
      <c r="M108" s="17">
        <f>CHOOSE(CONTROL!$C$42, 6.8815, 6.8815) * CHOOSE(CONTROL!$C$21, $C$9, 100%, $E$9)</f>
        <v>6.8815</v>
      </c>
      <c r="N108" s="17">
        <f>CHOOSE(CONTROL!$C$42, 6.8987, 6.8987) * CHOOSE(CONTROL!$C$21, $C$9, 100%, $E$9)</f>
        <v>6.8986999999999998</v>
      </c>
      <c r="O108" s="17">
        <f>CHOOSE(CONTROL!$C$42, 6.9768, 6.9768) * CHOOSE(CONTROL!$C$21, $C$9, 100%, $E$9)</f>
        <v>6.9767999999999999</v>
      </c>
      <c r="P108" s="17">
        <f>CHOOSE(CONTROL!$C$42, 6.9146, 6.9146) * CHOOSE(CONTROL!$C$21, $C$9, 100%, $E$9)</f>
        <v>6.9146000000000001</v>
      </c>
      <c r="Q108" s="17">
        <f>CHOOSE(CONTROL!$C$42, 7.5715, 7.5715) * CHOOSE(CONTROL!$C$21, $C$9, 100%, $E$9)</f>
        <v>7.5715000000000003</v>
      </c>
      <c r="R108" s="17">
        <f>CHOOSE(CONTROL!$C$42, 8.1774, 8.1774) * CHOOSE(CONTROL!$C$21, $C$9, 100%, $E$9)</f>
        <v>8.1774000000000004</v>
      </c>
      <c r="S108" s="17">
        <f>CHOOSE(CONTROL!$C$42, 6.7046, 6.7046) * CHOOSE(CONTROL!$C$21, $C$9, 100%, $E$9)</f>
        <v>6.7046000000000001</v>
      </c>
      <c r="T10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08" s="56">
        <f>(1000*CHOOSE(CONTROL!$C$42, 695, 695)*CHOOSE(CONTROL!$C$42, 0.5599, 0.5599)*CHOOSE(CONTROL!$C$42, 31, 31))/1000000</f>
        <v>12.063045499999998</v>
      </c>
      <c r="V108" s="56">
        <f>(1000*CHOOSE(CONTROL!$C$42, 500, 500)*CHOOSE(CONTROL!$C$42, 0.275, 0.275)*CHOOSE(CONTROL!$C$42, 31, 31))/1000000</f>
        <v>4.2625000000000002</v>
      </c>
      <c r="W108" s="56">
        <f>(1000*CHOOSE(CONTROL!$C$42, 0.0916, 0.0916)*CHOOSE(CONTROL!$C$42, 121.5, 121.5)*CHOOSE(CONTROL!$C$42, 31, 31))/1000000</f>
        <v>0.34501139999999997</v>
      </c>
      <c r="X108" s="56">
        <f>(31*0.2374*100000/1000000)</f>
        <v>0.73594000000000004</v>
      </c>
      <c r="Y108" s="56"/>
      <c r="Z108" s="17"/>
      <c r="AA108" s="55"/>
      <c r="AB108" s="48">
        <f>(B108*122.58+C108*297.941+D108*89.177+E108*140.302+F108*40+G108*60+H108*0+I108*100+J108*300)/(122.58+297.941+89.177+140.302+0+40+60+100+300)</f>
        <v>6.9567277375652168</v>
      </c>
      <c r="AC108" s="45">
        <f>(M108*'RAP TEMPLATE-GAS AVAILABILITY'!O107+N108*'RAP TEMPLATE-GAS AVAILABILITY'!P107+O108*'RAP TEMPLATE-GAS AVAILABILITY'!Q107+P108*'RAP TEMPLATE-GAS AVAILABILITY'!R107)/('RAP TEMPLATE-GAS AVAILABILITY'!O107+'RAP TEMPLATE-GAS AVAILABILITY'!P107+'RAP TEMPLATE-GAS AVAILABILITY'!Q107+'RAP TEMPLATE-GAS AVAILABILITY'!R107)</f>
        <v>6.9304460431654675</v>
      </c>
    </row>
    <row r="109" spans="1:29" ht="15.75" x14ac:dyDescent="0.25">
      <c r="A109" s="16">
        <v>44197</v>
      </c>
      <c r="B109" s="17">
        <f>CHOOSE(CONTROL!$C$42, 7.467, 7.467) * CHOOSE(CONTROL!$C$21, $C$9, 100%, $E$9)</f>
        <v>7.4669999999999996</v>
      </c>
      <c r="C109" s="17">
        <f>CHOOSE(CONTROL!$C$42, 7.4721, 7.4721) * CHOOSE(CONTROL!$C$21, $C$9, 100%, $E$9)</f>
        <v>7.4721000000000002</v>
      </c>
      <c r="D109" s="17">
        <f>CHOOSE(CONTROL!$C$42, 7.5689, 7.5689) * CHOOSE(CONTROL!$C$21, $C$9, 100%, $E$9)</f>
        <v>7.5689000000000002</v>
      </c>
      <c r="E109" s="17">
        <f>CHOOSE(CONTROL!$C$42, 7.6027, 7.6027) * CHOOSE(CONTROL!$C$21, $C$9, 100%, $E$9)</f>
        <v>7.6026999999999996</v>
      </c>
      <c r="F109" s="17">
        <f>CHOOSE(CONTROL!$C$42, 7.4813, 7.4813)*CHOOSE(CONTROL!$C$21, $C$9, 100%, $E$9)</f>
        <v>7.4813000000000001</v>
      </c>
      <c r="G109" s="17">
        <f>CHOOSE(CONTROL!$C$42, 7.4977, 7.4977)*CHOOSE(CONTROL!$C$21, $C$9, 100%, $E$9)</f>
        <v>7.4977</v>
      </c>
      <c r="H109" s="17">
        <f>CHOOSE(CONTROL!$C$42, 7.5916, 7.5916) * CHOOSE(CONTROL!$C$21, $C$9, 100%, $E$9)</f>
        <v>7.5915999999999997</v>
      </c>
      <c r="I109" s="17">
        <f>CHOOSE(CONTROL!$C$42, 7.5151, 7.5151)* CHOOSE(CONTROL!$C$21, $C$9, 100%, $E$9)</f>
        <v>7.5151000000000003</v>
      </c>
      <c r="J109" s="17">
        <f>CHOOSE(CONTROL!$C$42, 7.4739, 7.4739)* CHOOSE(CONTROL!$C$21, $C$9, 100%, $E$9)</f>
        <v>7.4739000000000004</v>
      </c>
      <c r="K109" s="52">
        <f>CHOOSE(CONTROL!$C$42, 7.5091, 7.5091) * CHOOSE(CONTROL!$C$21, $C$9, 100%, $E$9)</f>
        <v>7.5091000000000001</v>
      </c>
      <c r="L109" s="17">
        <f>CHOOSE(CONTROL!$C$42, 8.1786, 8.1786) * CHOOSE(CONTROL!$C$21, $C$9, 100%, $E$9)</f>
        <v>8.1785999999999994</v>
      </c>
      <c r="M109" s="17">
        <f>CHOOSE(CONTROL!$C$42, 7.4136, 7.4136) * CHOOSE(CONTROL!$C$21, $C$9, 100%, $E$9)</f>
        <v>7.4135999999999997</v>
      </c>
      <c r="N109" s="17">
        <f>CHOOSE(CONTROL!$C$42, 7.4299, 7.4299) * CHOOSE(CONTROL!$C$21, $C$9, 100%, $E$9)</f>
        <v>7.4298999999999999</v>
      </c>
      <c r="O109" s="17">
        <f>CHOOSE(CONTROL!$C$42, 7.5303, 7.5303) * CHOOSE(CONTROL!$C$21, $C$9, 100%, $E$9)</f>
        <v>7.5303000000000004</v>
      </c>
      <c r="P109" s="17">
        <f>CHOOSE(CONTROL!$C$42, 7.4544, 7.4544) * CHOOSE(CONTROL!$C$21, $C$9, 100%, $E$9)</f>
        <v>7.4543999999999997</v>
      </c>
      <c r="Q109" s="17">
        <f>CHOOSE(CONTROL!$C$42, 8.125, 8.125) * CHOOSE(CONTROL!$C$21, $C$9, 100%, $E$9)</f>
        <v>8.125</v>
      </c>
      <c r="R109" s="17">
        <f>CHOOSE(CONTROL!$C$42, 8.7323, 8.7323) * CHOOSE(CONTROL!$C$21, $C$9, 100%, $E$9)</f>
        <v>8.7323000000000004</v>
      </c>
      <c r="S109" s="17">
        <f>CHOOSE(CONTROL!$C$42, 7.2312, 7.2312) * CHOOSE(CONTROL!$C$21, $C$9, 100%, $E$9)</f>
        <v>7.2312000000000003</v>
      </c>
      <c r="T10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09" s="56">
        <f>(1000*CHOOSE(CONTROL!$C$42, 695, 695)*CHOOSE(CONTROL!$C$42, 0.5599, 0.5599)*CHOOSE(CONTROL!$C$42, 31, 31))/1000000</f>
        <v>12.063045499999998</v>
      </c>
      <c r="V109" s="56">
        <f>(1000*CHOOSE(CONTROL!$C$42, 500, 500)*CHOOSE(CONTROL!$C$42, 0.275, 0.275)*CHOOSE(CONTROL!$C$42, 31, 31))/1000000</f>
        <v>4.2625000000000002</v>
      </c>
      <c r="W109" s="56">
        <f>(1000*CHOOSE(CONTROL!$C$42, 0.0916, 0.0916)*CHOOSE(CONTROL!$C$42, 121.5, 121.5)*CHOOSE(CONTROL!$C$42, 31, 31))/1000000</f>
        <v>0.34501139999999997</v>
      </c>
      <c r="X109" s="56">
        <f>(31*0.2374*100000/1000000)</f>
        <v>0.73594000000000004</v>
      </c>
      <c r="Y109" s="56"/>
      <c r="Z109" s="17"/>
      <c r="AA109" s="55"/>
      <c r="AB109" s="48">
        <f>(B109*122.58+C109*297.941+D109*89.177+E109*140.302+F109*40+G109*60+H109*0+I109*100+J109*300)/(122.58+297.941+89.177+140.302+0+40+60+100+300)</f>
        <v>7.5008605363478269</v>
      </c>
      <c r="AC109" s="45">
        <f>(M109*'RAP TEMPLATE-GAS AVAILABILITY'!O108+N109*'RAP TEMPLATE-GAS AVAILABILITY'!P108+O109*'RAP TEMPLATE-GAS AVAILABILITY'!Q108+P109*'RAP TEMPLATE-GAS AVAILABILITY'!R108)/('RAP TEMPLATE-GAS AVAILABILITY'!O108+'RAP TEMPLATE-GAS AVAILABILITY'!P108+'RAP TEMPLATE-GAS AVAILABILITY'!Q108+'RAP TEMPLATE-GAS AVAILABILITY'!R108)</f>
        <v>7.4733014388489201</v>
      </c>
    </row>
    <row r="110" spans="1:29" ht="15.75" x14ac:dyDescent="0.25">
      <c r="A110" s="16">
        <v>44228</v>
      </c>
      <c r="B110" s="17">
        <f>CHOOSE(CONTROL!$C$42, 7.6154, 7.6154) * CHOOSE(CONTROL!$C$21, $C$9, 100%, $E$9)</f>
        <v>7.6154000000000002</v>
      </c>
      <c r="C110" s="17">
        <f>CHOOSE(CONTROL!$C$42, 7.6205, 7.6205) * CHOOSE(CONTROL!$C$21, $C$9, 100%, $E$9)</f>
        <v>7.6204999999999998</v>
      </c>
      <c r="D110" s="17">
        <f>CHOOSE(CONTROL!$C$42, 7.7173, 7.7173) * CHOOSE(CONTROL!$C$21, $C$9, 100%, $E$9)</f>
        <v>7.7172999999999998</v>
      </c>
      <c r="E110" s="17">
        <f>CHOOSE(CONTROL!$C$42, 7.751, 7.751) * CHOOSE(CONTROL!$C$21, $C$9, 100%, $E$9)</f>
        <v>7.7510000000000003</v>
      </c>
      <c r="F110" s="17">
        <f>CHOOSE(CONTROL!$C$42, 7.6296, 7.6296)*CHOOSE(CONTROL!$C$21, $C$9, 100%, $E$9)</f>
        <v>7.6295999999999999</v>
      </c>
      <c r="G110" s="17">
        <f>CHOOSE(CONTROL!$C$42, 7.646, 7.646)*CHOOSE(CONTROL!$C$21, $C$9, 100%, $E$9)</f>
        <v>7.6459999999999999</v>
      </c>
      <c r="H110" s="17">
        <f>CHOOSE(CONTROL!$C$42, 7.7399, 7.7399) * CHOOSE(CONTROL!$C$21, $C$9, 100%, $E$9)</f>
        <v>7.7398999999999996</v>
      </c>
      <c r="I110" s="17">
        <f>CHOOSE(CONTROL!$C$42, 7.6639, 7.6639)* CHOOSE(CONTROL!$C$21, $C$9, 100%, $E$9)</f>
        <v>7.6638999999999999</v>
      </c>
      <c r="J110" s="17">
        <f>CHOOSE(CONTROL!$C$42, 7.6222, 7.6222)* CHOOSE(CONTROL!$C$21, $C$9, 100%, $E$9)</f>
        <v>7.6222000000000003</v>
      </c>
      <c r="K110" s="52">
        <f>CHOOSE(CONTROL!$C$42, 7.6579, 7.6579) * CHOOSE(CONTROL!$C$21, $C$9, 100%, $E$9)</f>
        <v>7.6578999999999997</v>
      </c>
      <c r="L110" s="17">
        <f>CHOOSE(CONTROL!$C$42, 8.3269, 8.3269) * CHOOSE(CONTROL!$C$21, $C$9, 100%, $E$9)</f>
        <v>8.3269000000000002</v>
      </c>
      <c r="M110" s="17">
        <f>CHOOSE(CONTROL!$C$42, 7.5607, 7.5607) * CHOOSE(CONTROL!$C$21, $C$9, 100%, $E$9)</f>
        <v>7.5606999999999998</v>
      </c>
      <c r="N110" s="17">
        <f>CHOOSE(CONTROL!$C$42, 7.5769, 7.5769) * CHOOSE(CONTROL!$C$21, $C$9, 100%, $E$9)</f>
        <v>7.5769000000000002</v>
      </c>
      <c r="O110" s="17">
        <f>CHOOSE(CONTROL!$C$42, 7.6773, 7.6773) * CHOOSE(CONTROL!$C$21, $C$9, 100%, $E$9)</f>
        <v>7.6772999999999998</v>
      </c>
      <c r="P110" s="17">
        <f>CHOOSE(CONTROL!$C$42, 7.6019, 7.6019) * CHOOSE(CONTROL!$C$21, $C$9, 100%, $E$9)</f>
        <v>7.6018999999999997</v>
      </c>
      <c r="Q110" s="17">
        <f>CHOOSE(CONTROL!$C$42, 8.272, 8.272) * CHOOSE(CONTROL!$C$21, $C$9, 100%, $E$9)</f>
        <v>8.2720000000000002</v>
      </c>
      <c r="R110" s="17">
        <f>CHOOSE(CONTROL!$C$42, 8.8797, 8.8797) * CHOOSE(CONTROL!$C$21, $C$9, 100%, $E$9)</f>
        <v>8.8796999999999997</v>
      </c>
      <c r="S110" s="17">
        <f>CHOOSE(CONTROL!$C$42, 7.3751, 7.3751) * CHOOSE(CONTROL!$C$21, $C$9, 100%, $E$9)</f>
        <v>7.3750999999999998</v>
      </c>
      <c r="T11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10" s="56">
        <f>(1000*CHOOSE(CONTROL!$C$42, 695, 695)*CHOOSE(CONTROL!$C$42, 0.5599, 0.5599)*CHOOSE(CONTROL!$C$42, 28, 28))/1000000</f>
        <v>10.895653999999999</v>
      </c>
      <c r="V110" s="56">
        <f>(1000*CHOOSE(CONTROL!$C$42, 500, 500)*CHOOSE(CONTROL!$C$42, 0.275, 0.275)*CHOOSE(CONTROL!$C$42, 28, 28))/1000000</f>
        <v>3.85</v>
      </c>
      <c r="W110" s="56">
        <f>(1000*CHOOSE(CONTROL!$C$42, 0.0916, 0.0916)*CHOOSE(CONTROL!$C$42, 121.5, 121.5)*CHOOSE(CONTROL!$C$42, 28, 28))/1000000</f>
        <v>0.31162319999999999</v>
      </c>
      <c r="X110" s="56">
        <f>(28*0.2374*100000/1000000)</f>
        <v>0.66471999999999998</v>
      </c>
      <c r="Y110" s="56"/>
      <c r="Z110" s="17"/>
      <c r="AA110" s="55"/>
      <c r="AB110" s="48">
        <f>(B110*122.58+C110*297.941+D110*89.177+E110*140.302+F110*40+G110*60+H110*0+I110*100+J110*300)/(122.58+297.941+89.177+140.302+0+40+60+100+300)</f>
        <v>7.6492483361739145</v>
      </c>
      <c r="AC110" s="45">
        <f>(M110*'RAP TEMPLATE-GAS AVAILABILITY'!O109+N110*'RAP TEMPLATE-GAS AVAILABILITY'!P109+O110*'RAP TEMPLATE-GAS AVAILABILITY'!Q109+P110*'RAP TEMPLATE-GAS AVAILABILITY'!R109)/('RAP TEMPLATE-GAS AVAILABILITY'!O109+'RAP TEMPLATE-GAS AVAILABILITY'!P109+'RAP TEMPLATE-GAS AVAILABILITY'!Q109+'RAP TEMPLATE-GAS AVAILABILITY'!R109)</f>
        <v>7.620407913669065</v>
      </c>
    </row>
    <row r="111" spans="1:29" ht="15.75" x14ac:dyDescent="0.25">
      <c r="A111" s="16">
        <v>44256</v>
      </c>
      <c r="B111" s="17">
        <f>CHOOSE(CONTROL!$C$42, 7.4147, 7.4147) * CHOOSE(CONTROL!$C$21, $C$9, 100%, $E$9)</f>
        <v>7.4146999999999998</v>
      </c>
      <c r="C111" s="17">
        <f>CHOOSE(CONTROL!$C$42, 7.4198, 7.4198) * CHOOSE(CONTROL!$C$21, $C$9, 100%, $E$9)</f>
        <v>7.4198000000000004</v>
      </c>
      <c r="D111" s="17">
        <f>CHOOSE(CONTROL!$C$42, 7.5166, 7.5166) * CHOOSE(CONTROL!$C$21, $C$9, 100%, $E$9)</f>
        <v>7.5166000000000004</v>
      </c>
      <c r="E111" s="17">
        <f>CHOOSE(CONTROL!$C$42, 7.5504, 7.5504) * CHOOSE(CONTROL!$C$21, $C$9, 100%, $E$9)</f>
        <v>7.5503999999999998</v>
      </c>
      <c r="F111" s="17">
        <f>CHOOSE(CONTROL!$C$42, 7.4283, 7.4283)*CHOOSE(CONTROL!$C$21, $C$9, 100%, $E$9)</f>
        <v>7.4283000000000001</v>
      </c>
      <c r="G111" s="17">
        <f>CHOOSE(CONTROL!$C$42, 7.4445, 7.4445)*CHOOSE(CONTROL!$C$21, $C$9, 100%, $E$9)</f>
        <v>7.4444999999999997</v>
      </c>
      <c r="H111" s="17">
        <f>CHOOSE(CONTROL!$C$42, 7.5392, 7.5392) * CHOOSE(CONTROL!$C$21, $C$9, 100%, $E$9)</f>
        <v>7.5392000000000001</v>
      </c>
      <c r="I111" s="17">
        <f>CHOOSE(CONTROL!$C$42, 7.4626, 7.4626)* CHOOSE(CONTROL!$C$21, $C$9, 100%, $E$9)</f>
        <v>7.4626000000000001</v>
      </c>
      <c r="J111" s="17">
        <f>CHOOSE(CONTROL!$C$42, 7.4209, 7.4209)* CHOOSE(CONTROL!$C$21, $C$9, 100%, $E$9)</f>
        <v>7.4208999999999996</v>
      </c>
      <c r="K111" s="52">
        <f>CHOOSE(CONTROL!$C$42, 7.4566, 7.4566) * CHOOSE(CONTROL!$C$21, $C$9, 100%, $E$9)</f>
        <v>7.4565999999999999</v>
      </c>
      <c r="L111" s="17">
        <f>CHOOSE(CONTROL!$C$42, 8.1262, 8.1262) * CHOOSE(CONTROL!$C$21, $C$9, 100%, $E$9)</f>
        <v>8.1262000000000008</v>
      </c>
      <c r="M111" s="17">
        <f>CHOOSE(CONTROL!$C$42, 7.3612, 7.3612) * CHOOSE(CONTROL!$C$21, $C$9, 100%, $E$9)</f>
        <v>7.3612000000000002</v>
      </c>
      <c r="N111" s="17">
        <f>CHOOSE(CONTROL!$C$42, 7.3773, 7.3773) * CHOOSE(CONTROL!$C$21, $C$9, 100%, $E$9)</f>
        <v>7.3773</v>
      </c>
      <c r="O111" s="17">
        <f>CHOOSE(CONTROL!$C$42, 7.4784, 7.4784) * CHOOSE(CONTROL!$C$21, $C$9, 100%, $E$9)</f>
        <v>7.4783999999999997</v>
      </c>
      <c r="P111" s="17">
        <f>CHOOSE(CONTROL!$C$42, 7.4024, 7.4024) * CHOOSE(CONTROL!$C$21, $C$9, 100%, $E$9)</f>
        <v>7.4024000000000001</v>
      </c>
      <c r="Q111" s="17">
        <f>CHOOSE(CONTROL!$C$42, 8.0731, 8.0731) * CHOOSE(CONTROL!$C$21, $C$9, 100%, $E$9)</f>
        <v>8.0731000000000002</v>
      </c>
      <c r="R111" s="17">
        <f>CHOOSE(CONTROL!$C$42, 8.6803, 8.6803) * CHOOSE(CONTROL!$C$21, $C$9, 100%, $E$9)</f>
        <v>8.6803000000000008</v>
      </c>
      <c r="S111" s="17">
        <f>CHOOSE(CONTROL!$C$42, 7.1805, 7.1805) * CHOOSE(CONTROL!$C$21, $C$9, 100%, $E$9)</f>
        <v>7.1805000000000003</v>
      </c>
      <c r="T11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11" s="56">
        <f>(1000*CHOOSE(CONTROL!$C$42, 695, 695)*CHOOSE(CONTROL!$C$42, 0.5599, 0.5599)*CHOOSE(CONTROL!$C$42, 31, 31))/1000000</f>
        <v>12.063045499999998</v>
      </c>
      <c r="V111" s="56">
        <f>(1000*CHOOSE(CONTROL!$C$42, 500, 500)*CHOOSE(CONTROL!$C$42, 0.275, 0.275)*CHOOSE(CONTROL!$C$42, 31, 31))/1000000</f>
        <v>4.2625000000000002</v>
      </c>
      <c r="W111" s="56">
        <f>(1000*CHOOSE(CONTROL!$C$42, 0.0916, 0.0916)*CHOOSE(CONTROL!$C$42, 121.5, 121.5)*CHOOSE(CONTROL!$C$42, 31, 31))/1000000</f>
        <v>0.34501139999999997</v>
      </c>
      <c r="X111" s="56">
        <f>(31*0.2374*100000/1000000)</f>
        <v>0.73594000000000004</v>
      </c>
      <c r="Y111" s="56"/>
      <c r="Z111" s="17"/>
      <c r="AA111" s="55"/>
      <c r="AB111" s="48">
        <f>(B111*122.58+C111*297.941+D111*89.177+E111*140.302+F111*40+G111*60+H111*0+I111*100+J111*300)/(122.58+297.941+89.177+140.302+0+40+60+100+300)</f>
        <v>7.4482892319999996</v>
      </c>
      <c r="AC111" s="45">
        <f>(M111*'RAP TEMPLATE-GAS AVAILABILITY'!O110+N111*'RAP TEMPLATE-GAS AVAILABILITY'!P110+O111*'RAP TEMPLATE-GAS AVAILABILITY'!Q110+P111*'RAP TEMPLATE-GAS AVAILABILITY'!R110)/('RAP TEMPLATE-GAS AVAILABILITY'!O110+'RAP TEMPLATE-GAS AVAILABILITY'!P110+'RAP TEMPLATE-GAS AVAILABILITY'!Q110+'RAP TEMPLATE-GAS AVAILABILITY'!R110)</f>
        <v>7.4211741007194254</v>
      </c>
    </row>
    <row r="112" spans="1:29" ht="15.75" x14ac:dyDescent="0.25">
      <c r="A112" s="16">
        <v>44287</v>
      </c>
      <c r="B112" s="17">
        <f>CHOOSE(CONTROL!$C$42, 7.4087, 7.4087) * CHOOSE(CONTROL!$C$21, $C$9, 100%, $E$9)</f>
        <v>7.4086999999999996</v>
      </c>
      <c r="C112" s="17">
        <f>CHOOSE(CONTROL!$C$42, 7.4132, 7.4132) * CHOOSE(CONTROL!$C$21, $C$9, 100%, $E$9)</f>
        <v>7.4131999999999998</v>
      </c>
      <c r="D112" s="17">
        <f>CHOOSE(CONTROL!$C$42, 7.6608, 7.6608) * CHOOSE(CONTROL!$C$21, $C$9, 100%, $E$9)</f>
        <v>7.6608000000000001</v>
      </c>
      <c r="E112" s="17">
        <f>CHOOSE(CONTROL!$C$42, 7.6926, 7.6926) * CHOOSE(CONTROL!$C$21, $C$9, 100%, $E$9)</f>
        <v>7.6925999999999997</v>
      </c>
      <c r="F112" s="17">
        <f>CHOOSE(CONTROL!$C$42, 7.4203, 7.4203)*CHOOSE(CONTROL!$C$21, $C$9, 100%, $E$9)</f>
        <v>7.4203000000000001</v>
      </c>
      <c r="G112" s="17">
        <f>CHOOSE(CONTROL!$C$42, 7.4363, 7.4363)*CHOOSE(CONTROL!$C$21, $C$9, 100%, $E$9)</f>
        <v>7.4363000000000001</v>
      </c>
      <c r="H112" s="17">
        <f>CHOOSE(CONTROL!$C$42, 7.682, 7.682) * CHOOSE(CONTROL!$C$21, $C$9, 100%, $E$9)</f>
        <v>7.6820000000000004</v>
      </c>
      <c r="I112" s="17">
        <f>CHOOSE(CONTROL!$C$42, 7.4543, 7.4543)* CHOOSE(CONTROL!$C$21, $C$9, 100%, $E$9)</f>
        <v>7.4542999999999999</v>
      </c>
      <c r="J112" s="17">
        <f>CHOOSE(CONTROL!$C$42, 7.4129, 7.4129)* CHOOSE(CONTROL!$C$21, $C$9, 100%, $E$9)</f>
        <v>7.4128999999999996</v>
      </c>
      <c r="K112" s="52">
        <f>CHOOSE(CONTROL!$C$42, 7.4483, 7.4483) * CHOOSE(CONTROL!$C$21, $C$9, 100%, $E$9)</f>
        <v>7.4482999999999997</v>
      </c>
      <c r="L112" s="17">
        <f>CHOOSE(CONTROL!$C$42, 8.269, 8.269) * CHOOSE(CONTROL!$C$21, $C$9, 100%, $E$9)</f>
        <v>8.2690000000000001</v>
      </c>
      <c r="M112" s="17">
        <f>CHOOSE(CONTROL!$C$42, 7.3533, 7.3533) * CHOOSE(CONTROL!$C$21, $C$9, 100%, $E$9)</f>
        <v>7.3532999999999999</v>
      </c>
      <c r="N112" s="17">
        <f>CHOOSE(CONTROL!$C$42, 7.3691, 7.3691) * CHOOSE(CONTROL!$C$21, $C$9, 100%, $E$9)</f>
        <v>7.3691000000000004</v>
      </c>
      <c r="O112" s="17">
        <f>CHOOSE(CONTROL!$C$42, 7.6199, 7.6199) * CHOOSE(CONTROL!$C$21, $C$9, 100%, $E$9)</f>
        <v>7.6199000000000003</v>
      </c>
      <c r="P112" s="17">
        <f>CHOOSE(CONTROL!$C$42, 7.3941, 7.3941) * CHOOSE(CONTROL!$C$21, $C$9, 100%, $E$9)</f>
        <v>7.3940999999999999</v>
      </c>
      <c r="Q112" s="17">
        <f>CHOOSE(CONTROL!$C$42, 8.2146, 8.2146) * CHOOSE(CONTROL!$C$21, $C$9, 100%, $E$9)</f>
        <v>8.2146000000000008</v>
      </c>
      <c r="R112" s="17">
        <f>CHOOSE(CONTROL!$C$42, 8.8222, 8.8222) * CHOOSE(CONTROL!$C$21, $C$9, 100%, $E$9)</f>
        <v>8.8222000000000005</v>
      </c>
      <c r="S112" s="17">
        <f>CHOOSE(CONTROL!$C$42, 7.174, 7.174) * CHOOSE(CONTROL!$C$21, $C$9, 100%, $E$9)</f>
        <v>7.1740000000000004</v>
      </c>
      <c r="T11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12" s="56">
        <f>(1000*CHOOSE(CONTROL!$C$42, 695, 695)*CHOOSE(CONTROL!$C$42, 0.5599, 0.5599)*CHOOSE(CONTROL!$C$42, 30, 30))/1000000</f>
        <v>11.673914999999997</v>
      </c>
      <c r="V112" s="56">
        <f>(1000*CHOOSE(CONTROL!$C$42, 500, 500)*CHOOSE(CONTROL!$C$42, 0.275, 0.275)*CHOOSE(CONTROL!$C$42, 30, 30))/1000000</f>
        <v>4.125</v>
      </c>
      <c r="W112" s="56">
        <f>(1000*CHOOSE(CONTROL!$C$42, 0.0916, 0.0916)*CHOOSE(CONTROL!$C$42, 121.5, 121.5)*CHOOSE(CONTROL!$C$42, 30, 30))/1000000</f>
        <v>0.33388200000000001</v>
      </c>
      <c r="X112" s="56">
        <f>(30*0.1790888*145000/1000000)+(30*0.2374*100000/1000000)</f>
        <v>1.4912362799999999</v>
      </c>
      <c r="Y112" s="56"/>
      <c r="Z112" s="17"/>
      <c r="AA112" s="55"/>
      <c r="AB112" s="48">
        <f>(B112*141.293+C112*267.993+D112*115.016+E112*189.698+F112*40+G112*85+H112*0+I112*100+J112*300)/(141.293+267.993+115.016+189.698+0+40+85+100+300)</f>
        <v>7.4835077193704604</v>
      </c>
      <c r="AC112" s="45">
        <f>(M112*'RAP TEMPLATE-GAS AVAILABILITY'!O111+N112*'RAP TEMPLATE-GAS AVAILABILITY'!P111+O112*'RAP TEMPLATE-GAS AVAILABILITY'!Q111+P112*'RAP TEMPLATE-GAS AVAILABILITY'!R111)/('RAP TEMPLATE-GAS AVAILABILITY'!O111+'RAP TEMPLATE-GAS AVAILABILITY'!P111+'RAP TEMPLATE-GAS AVAILABILITY'!Q111+'RAP TEMPLATE-GAS AVAILABILITY'!R111)</f>
        <v>7.4376093525179856</v>
      </c>
    </row>
    <row r="113" spans="1:29" ht="15.75" x14ac:dyDescent="0.25">
      <c r="A113" s="16">
        <v>44317</v>
      </c>
      <c r="B113" s="17">
        <f>CHOOSE(CONTROL!$C$42, 7.4907, 7.4907) * CHOOSE(CONTROL!$C$21, $C$9, 100%, $E$9)</f>
        <v>7.4907000000000004</v>
      </c>
      <c r="C113" s="17">
        <f>CHOOSE(CONTROL!$C$42, 7.4987, 7.4987) * CHOOSE(CONTROL!$C$21, $C$9, 100%, $E$9)</f>
        <v>7.4987000000000004</v>
      </c>
      <c r="D113" s="17">
        <f>CHOOSE(CONTROL!$C$42, 7.7432, 7.7432) * CHOOSE(CONTROL!$C$21, $C$9, 100%, $E$9)</f>
        <v>7.7431999999999999</v>
      </c>
      <c r="E113" s="17">
        <f>CHOOSE(CONTROL!$C$42, 7.7744, 7.7744) * CHOOSE(CONTROL!$C$21, $C$9, 100%, $E$9)</f>
        <v>7.7744</v>
      </c>
      <c r="F113" s="17">
        <f>CHOOSE(CONTROL!$C$42, 7.5013, 7.5013)*CHOOSE(CONTROL!$C$21, $C$9, 100%, $E$9)</f>
        <v>7.5012999999999996</v>
      </c>
      <c r="G113" s="17">
        <f>CHOOSE(CONTROL!$C$42, 7.5175, 7.5175)*CHOOSE(CONTROL!$C$21, $C$9, 100%, $E$9)</f>
        <v>7.5175000000000001</v>
      </c>
      <c r="H113" s="17">
        <f>CHOOSE(CONTROL!$C$42, 7.7627, 7.7627) * CHOOSE(CONTROL!$C$21, $C$9, 100%, $E$9)</f>
        <v>7.7626999999999997</v>
      </c>
      <c r="I113" s="17">
        <f>CHOOSE(CONTROL!$C$42, 7.5352, 7.5352)* CHOOSE(CONTROL!$C$21, $C$9, 100%, $E$9)</f>
        <v>7.5351999999999997</v>
      </c>
      <c r="J113" s="17">
        <f>CHOOSE(CONTROL!$C$42, 7.4939, 7.4939)* CHOOSE(CONTROL!$C$21, $C$9, 100%, $E$9)</f>
        <v>7.4939</v>
      </c>
      <c r="K113" s="52">
        <f>CHOOSE(CONTROL!$C$42, 7.5292, 7.5292) * CHOOSE(CONTROL!$C$21, $C$9, 100%, $E$9)</f>
        <v>7.5292000000000003</v>
      </c>
      <c r="L113" s="17">
        <f>CHOOSE(CONTROL!$C$42, 8.3497, 8.3497) * CHOOSE(CONTROL!$C$21, $C$9, 100%, $E$9)</f>
        <v>8.3497000000000003</v>
      </c>
      <c r="M113" s="17">
        <f>CHOOSE(CONTROL!$C$42, 7.4335, 7.4335) * CHOOSE(CONTROL!$C$21, $C$9, 100%, $E$9)</f>
        <v>7.4335000000000004</v>
      </c>
      <c r="N113" s="17">
        <f>CHOOSE(CONTROL!$C$42, 7.4496, 7.4496) * CHOOSE(CONTROL!$C$21, $C$9, 100%, $E$9)</f>
        <v>7.4496000000000002</v>
      </c>
      <c r="O113" s="17">
        <f>CHOOSE(CONTROL!$C$42, 7.6999, 7.6999) * CHOOSE(CONTROL!$C$21, $C$9, 100%, $E$9)</f>
        <v>7.6999000000000004</v>
      </c>
      <c r="P113" s="17">
        <f>CHOOSE(CONTROL!$C$42, 7.4743, 7.4743) * CHOOSE(CONTROL!$C$21, $C$9, 100%, $E$9)</f>
        <v>7.4743000000000004</v>
      </c>
      <c r="Q113" s="17">
        <f>CHOOSE(CONTROL!$C$42, 8.2946, 8.2946) * CHOOSE(CONTROL!$C$21, $C$9, 100%, $E$9)</f>
        <v>8.2946000000000009</v>
      </c>
      <c r="R113" s="17">
        <f>CHOOSE(CONTROL!$C$42, 8.9023, 8.9023) * CHOOSE(CONTROL!$C$21, $C$9, 100%, $E$9)</f>
        <v>8.9023000000000003</v>
      </c>
      <c r="S113" s="17">
        <f>CHOOSE(CONTROL!$C$42, 7.2522, 7.2522) * CHOOSE(CONTROL!$C$21, $C$9, 100%, $E$9)</f>
        <v>7.2522000000000002</v>
      </c>
      <c r="T11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13" s="56">
        <f>(1000*CHOOSE(CONTROL!$C$42, 695, 695)*CHOOSE(CONTROL!$C$42, 0.5599, 0.5599)*CHOOSE(CONTROL!$C$42, 31, 31))/1000000</f>
        <v>12.063045499999998</v>
      </c>
      <c r="V113" s="56">
        <f>(1000*CHOOSE(CONTROL!$C$42, 500, 500)*CHOOSE(CONTROL!$C$42, 0.275, 0.275)*CHOOSE(CONTROL!$C$42, 31, 31))/1000000</f>
        <v>4.2625000000000002</v>
      </c>
      <c r="W113" s="56">
        <f>(1000*CHOOSE(CONTROL!$C$42, 0.0916, 0.0916)*CHOOSE(CONTROL!$C$42, 121.5, 121.5)*CHOOSE(CONTROL!$C$42, 31, 31))/1000000</f>
        <v>0.34501139999999997</v>
      </c>
      <c r="X113" s="56">
        <f>(31*0.1790888*145000/1000000)+(31*0.2374*100000/1000000)</f>
        <v>1.5409441560000001</v>
      </c>
      <c r="Y113" s="56"/>
      <c r="Z113" s="17"/>
      <c r="AA113" s="55"/>
      <c r="AB113" s="48">
        <f>(B113*194.205+C113*267.466+D113*133.845+E113*153.484+F113*40+G113*85+H113*0+I113*100+J113*300)/(194.205+267.466+133.845+153.484+0+40+85+100+300)</f>
        <v>7.5594527482731548</v>
      </c>
      <c r="AC113" s="45">
        <f>(M113*'RAP TEMPLATE-GAS AVAILABILITY'!O112+N113*'RAP TEMPLATE-GAS AVAILABILITY'!P112+O113*'RAP TEMPLATE-GAS AVAILABILITY'!Q112+P113*'RAP TEMPLATE-GAS AVAILABILITY'!R112)/('RAP TEMPLATE-GAS AVAILABILITY'!O112+'RAP TEMPLATE-GAS AVAILABILITY'!P112+'RAP TEMPLATE-GAS AVAILABILITY'!Q112+'RAP TEMPLATE-GAS AVAILABILITY'!R112)</f>
        <v>7.5178223021582742</v>
      </c>
    </row>
    <row r="114" spans="1:29" ht="15.75" x14ac:dyDescent="0.25">
      <c r="A114" s="16">
        <v>44348</v>
      </c>
      <c r="B114" s="17">
        <f>CHOOSE(CONTROL!$C$42, 7.7187, 7.7187) * CHOOSE(CONTROL!$C$21, $C$9, 100%, $E$9)</f>
        <v>7.7187000000000001</v>
      </c>
      <c r="C114" s="17">
        <f>CHOOSE(CONTROL!$C$42, 7.7267, 7.7267) * CHOOSE(CONTROL!$C$21, $C$9, 100%, $E$9)</f>
        <v>7.7267000000000001</v>
      </c>
      <c r="D114" s="17">
        <f>CHOOSE(CONTROL!$C$42, 7.9711, 7.9711) * CHOOSE(CONTROL!$C$21, $C$9, 100%, $E$9)</f>
        <v>7.9710999999999999</v>
      </c>
      <c r="E114" s="17">
        <f>CHOOSE(CONTROL!$C$42, 8.0023, 8.0023) * CHOOSE(CONTROL!$C$21, $C$9, 100%, $E$9)</f>
        <v>8.0023</v>
      </c>
      <c r="F114" s="17">
        <f>CHOOSE(CONTROL!$C$42, 7.7296, 7.7296)*CHOOSE(CONTROL!$C$21, $C$9, 100%, $E$9)</f>
        <v>7.7295999999999996</v>
      </c>
      <c r="G114" s="17">
        <f>CHOOSE(CONTROL!$C$42, 7.7459, 7.7459)*CHOOSE(CONTROL!$C$21, $C$9, 100%, $E$9)</f>
        <v>7.7458999999999998</v>
      </c>
      <c r="H114" s="17">
        <f>CHOOSE(CONTROL!$C$42, 7.9906, 7.9906) * CHOOSE(CONTROL!$C$21, $C$9, 100%, $E$9)</f>
        <v>7.9905999999999997</v>
      </c>
      <c r="I114" s="17">
        <f>CHOOSE(CONTROL!$C$42, 7.7639, 7.7639)* CHOOSE(CONTROL!$C$21, $C$9, 100%, $E$9)</f>
        <v>7.7638999999999996</v>
      </c>
      <c r="J114" s="17">
        <f>CHOOSE(CONTROL!$C$42, 7.7222, 7.7222)* CHOOSE(CONTROL!$C$21, $C$9, 100%, $E$9)</f>
        <v>7.7222</v>
      </c>
      <c r="K114" s="52">
        <f>CHOOSE(CONTROL!$C$42, 7.7579, 7.7579) * CHOOSE(CONTROL!$C$21, $C$9, 100%, $E$9)</f>
        <v>7.7579000000000002</v>
      </c>
      <c r="L114" s="17">
        <f>CHOOSE(CONTROL!$C$42, 8.5776, 8.5776) * CHOOSE(CONTROL!$C$21, $C$9, 100%, $E$9)</f>
        <v>8.5776000000000003</v>
      </c>
      <c r="M114" s="17">
        <f>CHOOSE(CONTROL!$C$42, 7.6597, 7.6597) * CHOOSE(CONTROL!$C$21, $C$9, 100%, $E$9)</f>
        <v>7.6597</v>
      </c>
      <c r="N114" s="17">
        <f>CHOOSE(CONTROL!$C$42, 7.6759, 7.6759) * CHOOSE(CONTROL!$C$21, $C$9, 100%, $E$9)</f>
        <v>7.6759000000000004</v>
      </c>
      <c r="O114" s="17">
        <f>CHOOSE(CONTROL!$C$42, 7.9258, 7.9258) * CHOOSE(CONTROL!$C$21, $C$9, 100%, $E$9)</f>
        <v>7.9257999999999997</v>
      </c>
      <c r="P114" s="17">
        <f>CHOOSE(CONTROL!$C$42, 7.7009, 7.7009) * CHOOSE(CONTROL!$C$21, $C$9, 100%, $E$9)</f>
        <v>7.7008999999999999</v>
      </c>
      <c r="Q114" s="17">
        <f>CHOOSE(CONTROL!$C$42, 8.5205, 8.5205) * CHOOSE(CONTROL!$C$21, $C$9, 100%, $E$9)</f>
        <v>8.5205000000000002</v>
      </c>
      <c r="R114" s="17">
        <f>CHOOSE(CONTROL!$C$42, 9.1288, 9.1288) * CHOOSE(CONTROL!$C$21, $C$9, 100%, $E$9)</f>
        <v>9.1288</v>
      </c>
      <c r="S114" s="17">
        <f>CHOOSE(CONTROL!$C$42, 7.4732, 7.4732) * CHOOSE(CONTROL!$C$21, $C$9, 100%, $E$9)</f>
        <v>7.4732000000000003</v>
      </c>
      <c r="T11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14" s="56">
        <f>(1000*CHOOSE(CONTROL!$C$42, 695, 695)*CHOOSE(CONTROL!$C$42, 0.5599, 0.5599)*CHOOSE(CONTROL!$C$42, 30, 30))/1000000</f>
        <v>11.673914999999997</v>
      </c>
      <c r="V114" s="56">
        <f>(1000*CHOOSE(CONTROL!$C$42, 500, 500)*CHOOSE(CONTROL!$C$42, 0.275, 0.275)*CHOOSE(CONTROL!$C$42, 30, 30))/1000000</f>
        <v>4.125</v>
      </c>
      <c r="W114" s="56">
        <f>(1000*CHOOSE(CONTROL!$C$42, 0.0916, 0.0916)*CHOOSE(CONTROL!$C$42, 121.5, 121.5)*CHOOSE(CONTROL!$C$42, 30, 30))/1000000</f>
        <v>0.33388200000000001</v>
      </c>
      <c r="X114" s="56">
        <f>(30*0.1790888*145000/1000000)+(30*0.2374*100000/1000000)</f>
        <v>1.4912362799999999</v>
      </c>
      <c r="Y114" s="56"/>
      <c r="Z114" s="17"/>
      <c r="AA114" s="55"/>
      <c r="AB114" s="48">
        <f>(B114*194.205+C114*267.466+D114*133.845+E114*153.484+F114*40+G114*85+H114*0+I114*100+J114*300)/(194.205+267.466+133.845+153.484+0+40+85+100+300)</f>
        <v>7.7875918904238626</v>
      </c>
      <c r="AC114" s="45">
        <f>(M114*'RAP TEMPLATE-GAS AVAILABILITY'!O113+N114*'RAP TEMPLATE-GAS AVAILABILITY'!P113+O114*'RAP TEMPLATE-GAS AVAILABILITY'!Q113+P114*'RAP TEMPLATE-GAS AVAILABILITY'!R113)/('RAP TEMPLATE-GAS AVAILABILITY'!O113+'RAP TEMPLATE-GAS AVAILABILITY'!P113+'RAP TEMPLATE-GAS AVAILABILITY'!Q113+'RAP TEMPLATE-GAS AVAILABILITY'!R113)</f>
        <v>7.7440187050359706</v>
      </c>
    </row>
    <row r="115" spans="1:29" ht="15.75" x14ac:dyDescent="0.25">
      <c r="A115" s="16">
        <v>44378</v>
      </c>
      <c r="B115" s="17">
        <f>CHOOSE(CONTROL!$C$42, 7.5864, 7.5864) * CHOOSE(CONTROL!$C$21, $C$9, 100%, $E$9)</f>
        <v>7.5864000000000003</v>
      </c>
      <c r="C115" s="17">
        <f>CHOOSE(CONTROL!$C$42, 7.5944, 7.5944) * CHOOSE(CONTROL!$C$21, $C$9, 100%, $E$9)</f>
        <v>7.5944000000000003</v>
      </c>
      <c r="D115" s="17">
        <f>CHOOSE(CONTROL!$C$42, 7.8389, 7.8389) * CHOOSE(CONTROL!$C$21, $C$9, 100%, $E$9)</f>
        <v>7.8388999999999998</v>
      </c>
      <c r="E115" s="17">
        <f>CHOOSE(CONTROL!$C$42, 7.8701, 7.8701) * CHOOSE(CONTROL!$C$21, $C$9, 100%, $E$9)</f>
        <v>7.8700999999999999</v>
      </c>
      <c r="F115" s="17">
        <f>CHOOSE(CONTROL!$C$42, 7.5978, 7.5978)*CHOOSE(CONTROL!$C$21, $C$9, 100%, $E$9)</f>
        <v>7.5978000000000003</v>
      </c>
      <c r="G115" s="17">
        <f>CHOOSE(CONTROL!$C$42, 7.6142, 7.6142)*CHOOSE(CONTROL!$C$21, $C$9, 100%, $E$9)</f>
        <v>7.6142000000000003</v>
      </c>
      <c r="H115" s="17">
        <f>CHOOSE(CONTROL!$C$42, 7.8584, 7.8584) * CHOOSE(CONTROL!$C$21, $C$9, 100%, $E$9)</f>
        <v>7.8583999999999996</v>
      </c>
      <c r="I115" s="17">
        <f>CHOOSE(CONTROL!$C$42, 7.6312, 7.6312)* CHOOSE(CONTROL!$C$21, $C$9, 100%, $E$9)</f>
        <v>7.6311999999999998</v>
      </c>
      <c r="J115" s="17">
        <f>CHOOSE(CONTROL!$C$42, 7.5904, 7.5904)* CHOOSE(CONTROL!$C$21, $C$9, 100%, $E$9)</f>
        <v>7.5903999999999998</v>
      </c>
      <c r="K115" s="52">
        <f>CHOOSE(CONTROL!$C$42, 7.6252, 7.6252) * CHOOSE(CONTROL!$C$21, $C$9, 100%, $E$9)</f>
        <v>7.6252000000000004</v>
      </c>
      <c r="L115" s="17">
        <f>CHOOSE(CONTROL!$C$42, 8.4454, 8.4454) * CHOOSE(CONTROL!$C$21, $C$9, 100%, $E$9)</f>
        <v>8.4453999999999994</v>
      </c>
      <c r="M115" s="17">
        <f>CHOOSE(CONTROL!$C$42, 7.5291, 7.5291) * CHOOSE(CONTROL!$C$21, $C$9, 100%, $E$9)</f>
        <v>7.5290999999999997</v>
      </c>
      <c r="N115" s="17">
        <f>CHOOSE(CONTROL!$C$42, 7.5454, 7.5454) * CHOOSE(CONTROL!$C$21, $C$9, 100%, $E$9)</f>
        <v>7.5453999999999999</v>
      </c>
      <c r="O115" s="17">
        <f>CHOOSE(CONTROL!$C$42, 7.7947, 7.7947) * CHOOSE(CONTROL!$C$21, $C$9, 100%, $E$9)</f>
        <v>7.7946999999999997</v>
      </c>
      <c r="P115" s="17">
        <f>CHOOSE(CONTROL!$C$42, 7.5694, 7.5694) * CHOOSE(CONTROL!$C$21, $C$9, 100%, $E$9)</f>
        <v>7.5693999999999999</v>
      </c>
      <c r="Q115" s="17">
        <f>CHOOSE(CONTROL!$C$42, 8.3894, 8.3894) * CHOOSE(CONTROL!$C$21, $C$9, 100%, $E$9)</f>
        <v>8.3894000000000002</v>
      </c>
      <c r="R115" s="17">
        <f>CHOOSE(CONTROL!$C$42, 8.9974, 8.9974) * CHOOSE(CONTROL!$C$21, $C$9, 100%, $E$9)</f>
        <v>8.9974000000000007</v>
      </c>
      <c r="S115" s="17">
        <f>CHOOSE(CONTROL!$C$42, 7.345, 7.345) * CHOOSE(CONTROL!$C$21, $C$9, 100%, $E$9)</f>
        <v>7.3449999999999998</v>
      </c>
      <c r="T11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15" s="56">
        <f>(1000*CHOOSE(CONTROL!$C$42, 695, 695)*CHOOSE(CONTROL!$C$42, 0.5599, 0.5599)*CHOOSE(CONTROL!$C$42, 31, 31))/1000000</f>
        <v>12.063045499999998</v>
      </c>
      <c r="V115" s="56">
        <f>(1000*CHOOSE(CONTROL!$C$42, 500, 500)*CHOOSE(CONTROL!$C$42, 0.275, 0.275)*CHOOSE(CONTROL!$C$42, 31, 31))/1000000</f>
        <v>4.2625000000000002</v>
      </c>
      <c r="W115" s="56">
        <f>(1000*CHOOSE(CONTROL!$C$42, 0.0916, 0.0916)*CHOOSE(CONTROL!$C$42, 121.5, 121.5)*CHOOSE(CONTROL!$C$42, 31, 31))/1000000</f>
        <v>0.34501139999999997</v>
      </c>
      <c r="X115" s="56">
        <f>(31*0.1790888*145000/1000000)+(31*0.2374*100000/1000000)</f>
        <v>1.5409441560000001</v>
      </c>
      <c r="Y115" s="56"/>
      <c r="Z115" s="17"/>
      <c r="AA115" s="55"/>
      <c r="AB115" s="48">
        <f>(B115*194.205+C115*267.466+D115*133.845+E115*153.484+F115*40+G115*85+H115*0+I115*100+J115*300)/(194.205+267.466+133.845+153.484+0+40+85+100+300)</f>
        <v>7.6554565159340671</v>
      </c>
      <c r="AC115" s="45">
        <f>(M115*'RAP TEMPLATE-GAS AVAILABILITY'!O114+N115*'RAP TEMPLATE-GAS AVAILABILITY'!P114+O115*'RAP TEMPLATE-GAS AVAILABILITY'!Q114+P115*'RAP TEMPLATE-GAS AVAILABILITY'!R114)/('RAP TEMPLATE-GAS AVAILABILITY'!O114+'RAP TEMPLATE-GAS AVAILABILITY'!P114+'RAP TEMPLATE-GAS AVAILABILITY'!Q114+'RAP TEMPLATE-GAS AVAILABILITY'!R114)</f>
        <v>7.6131719424460425</v>
      </c>
    </row>
    <row r="116" spans="1:29" ht="15.75" x14ac:dyDescent="0.25">
      <c r="A116" s="16">
        <v>44409</v>
      </c>
      <c r="B116" s="17">
        <f>CHOOSE(CONTROL!$C$42, 7.2272, 7.2272) * CHOOSE(CONTROL!$C$21, $C$9, 100%, $E$9)</f>
        <v>7.2271999999999998</v>
      </c>
      <c r="C116" s="17">
        <f>CHOOSE(CONTROL!$C$42, 7.2351, 7.2351) * CHOOSE(CONTROL!$C$21, $C$9, 100%, $E$9)</f>
        <v>7.2351000000000001</v>
      </c>
      <c r="D116" s="17">
        <f>CHOOSE(CONTROL!$C$42, 7.4796, 7.4796) * CHOOSE(CONTROL!$C$21, $C$9, 100%, $E$9)</f>
        <v>7.4795999999999996</v>
      </c>
      <c r="E116" s="17">
        <f>CHOOSE(CONTROL!$C$42, 7.5108, 7.5108) * CHOOSE(CONTROL!$C$21, $C$9, 100%, $E$9)</f>
        <v>7.5107999999999997</v>
      </c>
      <c r="F116" s="17">
        <f>CHOOSE(CONTROL!$C$42, 7.2387, 7.2387)*CHOOSE(CONTROL!$C$21, $C$9, 100%, $E$9)</f>
        <v>7.2386999999999997</v>
      </c>
      <c r="G116" s="17">
        <f>CHOOSE(CONTROL!$C$42, 7.2552, 7.2552)*CHOOSE(CONTROL!$C$21, $C$9, 100%, $E$9)</f>
        <v>7.2552000000000003</v>
      </c>
      <c r="H116" s="17">
        <f>CHOOSE(CONTROL!$C$42, 7.4991, 7.4991) * CHOOSE(CONTROL!$C$21, $C$9, 100%, $E$9)</f>
        <v>7.4991000000000003</v>
      </c>
      <c r="I116" s="17">
        <f>CHOOSE(CONTROL!$C$42, 7.2708, 7.2708)* CHOOSE(CONTROL!$C$21, $C$9, 100%, $E$9)</f>
        <v>7.2708000000000004</v>
      </c>
      <c r="J116" s="17">
        <f>CHOOSE(CONTROL!$C$42, 7.2313, 7.2313)* CHOOSE(CONTROL!$C$21, $C$9, 100%, $E$9)</f>
        <v>7.2313000000000001</v>
      </c>
      <c r="K116" s="52">
        <f>CHOOSE(CONTROL!$C$42, 7.2648, 7.2648) * CHOOSE(CONTROL!$C$21, $C$9, 100%, $E$9)</f>
        <v>7.2648000000000001</v>
      </c>
      <c r="L116" s="17">
        <f>CHOOSE(CONTROL!$C$42, 8.0861, 8.0861) * CHOOSE(CONTROL!$C$21, $C$9, 100%, $E$9)</f>
        <v>8.0861000000000001</v>
      </c>
      <c r="M116" s="17">
        <f>CHOOSE(CONTROL!$C$42, 7.1733, 7.1733) * CHOOSE(CONTROL!$C$21, $C$9, 100%, $E$9)</f>
        <v>7.1733000000000002</v>
      </c>
      <c r="N116" s="17">
        <f>CHOOSE(CONTROL!$C$42, 7.1896, 7.1896) * CHOOSE(CONTROL!$C$21, $C$9, 100%, $E$9)</f>
        <v>7.1896000000000004</v>
      </c>
      <c r="O116" s="17">
        <f>CHOOSE(CONTROL!$C$42, 7.4387, 7.4387) * CHOOSE(CONTROL!$C$21, $C$9, 100%, $E$9)</f>
        <v>7.4386999999999999</v>
      </c>
      <c r="P116" s="17">
        <f>CHOOSE(CONTROL!$C$42, 7.2123, 7.2123) * CHOOSE(CONTROL!$C$21, $C$9, 100%, $E$9)</f>
        <v>7.2122999999999999</v>
      </c>
      <c r="Q116" s="17">
        <f>CHOOSE(CONTROL!$C$42, 8.0334, 8.0334) * CHOOSE(CONTROL!$C$21, $C$9, 100%, $E$9)</f>
        <v>8.0334000000000003</v>
      </c>
      <c r="R116" s="17">
        <f>CHOOSE(CONTROL!$C$42, 8.6405, 8.6405) * CHOOSE(CONTROL!$C$21, $C$9, 100%, $E$9)</f>
        <v>8.6404999999999994</v>
      </c>
      <c r="S116" s="17">
        <f>CHOOSE(CONTROL!$C$42, 6.9966, 6.9966) * CHOOSE(CONTROL!$C$21, $C$9, 100%, $E$9)</f>
        <v>6.9965999999999999</v>
      </c>
      <c r="T11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16" s="56">
        <f>(1000*CHOOSE(CONTROL!$C$42, 695, 695)*CHOOSE(CONTROL!$C$42, 0.5599, 0.5599)*CHOOSE(CONTROL!$C$42, 31, 31))/1000000</f>
        <v>12.063045499999998</v>
      </c>
      <c r="V116" s="56">
        <f>(1000*CHOOSE(CONTROL!$C$42, 500, 500)*CHOOSE(CONTROL!$C$42, 0.275, 0.275)*CHOOSE(CONTROL!$C$42, 31, 31))/1000000</f>
        <v>4.2625000000000002</v>
      </c>
      <c r="W116" s="56">
        <f>(1000*CHOOSE(CONTROL!$C$42, 0.0916, 0.0916)*CHOOSE(CONTROL!$C$42, 121.5, 121.5)*CHOOSE(CONTROL!$C$42, 31, 31))/1000000</f>
        <v>0.34501139999999997</v>
      </c>
      <c r="X116" s="56">
        <f>(31*0.1790888*145000/1000000)+(31*0.2374*100000/1000000)</f>
        <v>1.5409441560000001</v>
      </c>
      <c r="Y116" s="56"/>
      <c r="Z116" s="17"/>
      <c r="AA116" s="55"/>
      <c r="AB116" s="48">
        <f>(B116*194.205+C116*267.466+D116*133.845+E116*153.484+F116*40+G116*85+H116*0+I116*100+J116*300)/(194.205+267.466+133.845+153.484+0+40+85+100+300)</f>
        <v>7.2961588083202518</v>
      </c>
      <c r="AC116" s="45">
        <f>(M116*'RAP TEMPLATE-GAS AVAILABILITY'!O115+N116*'RAP TEMPLATE-GAS AVAILABILITY'!P115+O116*'RAP TEMPLATE-GAS AVAILABILITY'!Q115+P116*'RAP TEMPLATE-GAS AVAILABILITY'!R115)/('RAP TEMPLATE-GAS AVAILABILITY'!O115+'RAP TEMPLATE-GAS AVAILABILITY'!P115+'RAP TEMPLATE-GAS AVAILABILITY'!Q115+'RAP TEMPLATE-GAS AVAILABILITY'!R115)</f>
        <v>7.2571287769784174</v>
      </c>
    </row>
    <row r="117" spans="1:29" ht="15.75" x14ac:dyDescent="0.25">
      <c r="A117" s="16">
        <v>44440</v>
      </c>
      <c r="B117" s="17">
        <f>CHOOSE(CONTROL!$C$42, 6.7828, 6.7828) * CHOOSE(CONTROL!$C$21, $C$9, 100%, $E$9)</f>
        <v>6.7827999999999999</v>
      </c>
      <c r="C117" s="17">
        <f>CHOOSE(CONTROL!$C$42, 6.7908, 6.7908) * CHOOSE(CONTROL!$C$21, $C$9, 100%, $E$9)</f>
        <v>6.7907999999999999</v>
      </c>
      <c r="D117" s="17">
        <f>CHOOSE(CONTROL!$C$42, 7.0353, 7.0353) * CHOOSE(CONTROL!$C$21, $C$9, 100%, $E$9)</f>
        <v>7.0353000000000003</v>
      </c>
      <c r="E117" s="17">
        <f>CHOOSE(CONTROL!$C$42, 7.0665, 7.0665) * CHOOSE(CONTROL!$C$21, $C$9, 100%, $E$9)</f>
        <v>7.0664999999999996</v>
      </c>
      <c r="F117" s="17">
        <f>CHOOSE(CONTROL!$C$42, 6.7944, 6.7944)*CHOOSE(CONTROL!$C$21, $C$9, 100%, $E$9)</f>
        <v>6.7944000000000004</v>
      </c>
      <c r="G117" s="17">
        <f>CHOOSE(CONTROL!$C$42, 6.811, 6.811)*CHOOSE(CONTROL!$C$21, $C$9, 100%, $E$9)</f>
        <v>6.8109999999999999</v>
      </c>
      <c r="H117" s="17">
        <f>CHOOSE(CONTROL!$C$42, 7.0548, 7.0548) * CHOOSE(CONTROL!$C$21, $C$9, 100%, $E$9)</f>
        <v>7.0548000000000002</v>
      </c>
      <c r="I117" s="17">
        <f>CHOOSE(CONTROL!$C$42, 6.8251, 6.8251)* CHOOSE(CONTROL!$C$21, $C$9, 100%, $E$9)</f>
        <v>6.8250999999999999</v>
      </c>
      <c r="J117" s="17">
        <f>CHOOSE(CONTROL!$C$42, 6.787, 6.787)* CHOOSE(CONTROL!$C$21, $C$9, 100%, $E$9)</f>
        <v>6.7869999999999999</v>
      </c>
      <c r="K117" s="52">
        <f>CHOOSE(CONTROL!$C$42, 6.8191, 6.8191) * CHOOSE(CONTROL!$C$21, $C$9, 100%, $E$9)</f>
        <v>6.8190999999999997</v>
      </c>
      <c r="L117" s="17">
        <f>CHOOSE(CONTROL!$C$42, 7.6418, 7.6418) * CHOOSE(CONTROL!$C$21, $C$9, 100%, $E$9)</f>
        <v>7.6417999999999999</v>
      </c>
      <c r="M117" s="17">
        <f>CHOOSE(CONTROL!$C$42, 6.733, 6.733) * CHOOSE(CONTROL!$C$21, $C$9, 100%, $E$9)</f>
        <v>6.7329999999999997</v>
      </c>
      <c r="N117" s="17">
        <f>CHOOSE(CONTROL!$C$42, 6.7494, 6.7494) * CHOOSE(CONTROL!$C$21, $C$9, 100%, $E$9)</f>
        <v>6.7493999999999996</v>
      </c>
      <c r="O117" s="17">
        <f>CHOOSE(CONTROL!$C$42, 6.9983, 6.9983) * CHOOSE(CONTROL!$C$21, $C$9, 100%, $E$9)</f>
        <v>6.9983000000000004</v>
      </c>
      <c r="P117" s="17">
        <f>CHOOSE(CONTROL!$C$42, 6.7706, 6.7706) * CHOOSE(CONTROL!$C$21, $C$9, 100%, $E$9)</f>
        <v>6.7706</v>
      </c>
      <c r="Q117" s="17">
        <f>CHOOSE(CONTROL!$C$42, 7.593, 7.593) * CHOOSE(CONTROL!$C$21, $C$9, 100%, $E$9)</f>
        <v>7.593</v>
      </c>
      <c r="R117" s="17">
        <f>CHOOSE(CONTROL!$C$42, 8.199, 8.199) * CHOOSE(CONTROL!$C$21, $C$9, 100%, $E$9)</f>
        <v>8.1989999999999998</v>
      </c>
      <c r="S117" s="17">
        <f>CHOOSE(CONTROL!$C$42, 6.5657, 6.5657) * CHOOSE(CONTROL!$C$21, $C$9, 100%, $E$9)</f>
        <v>6.5656999999999996</v>
      </c>
      <c r="T11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17" s="56">
        <f>(1000*CHOOSE(CONTROL!$C$42, 695, 695)*CHOOSE(CONTROL!$C$42, 0.5599, 0.5599)*CHOOSE(CONTROL!$C$42, 30, 30))/1000000</f>
        <v>11.673914999999997</v>
      </c>
      <c r="V117" s="56">
        <f>(1000*CHOOSE(CONTROL!$C$42, 500, 500)*CHOOSE(CONTROL!$C$42, 0.275, 0.275)*CHOOSE(CONTROL!$C$42, 30, 30))/1000000</f>
        <v>4.125</v>
      </c>
      <c r="W117" s="56">
        <f>(1000*CHOOSE(CONTROL!$C$42, 0.0916, 0.0916)*CHOOSE(CONTROL!$C$42, 121.5, 121.5)*CHOOSE(CONTROL!$C$42, 30, 30))/1000000</f>
        <v>0.33388200000000001</v>
      </c>
      <c r="X117" s="56">
        <f>(30*0.1790888*145000/1000000)+(30*0.2374*100000/1000000)</f>
        <v>1.4912362799999999</v>
      </c>
      <c r="Y117" s="56"/>
      <c r="Z117" s="17"/>
      <c r="AA117" s="55"/>
      <c r="AB117" s="48">
        <f>(B117*194.205+C117*267.466+D117*133.845+E117*153.484+F117*40+G117*85+H117*0+I117*100+J117*300)/(194.205+267.466+133.845+153.484+0+40+85+100+300)</f>
        <v>6.8517403463893247</v>
      </c>
      <c r="AC117" s="45">
        <f>(M117*'RAP TEMPLATE-GAS AVAILABILITY'!O116+N117*'RAP TEMPLATE-GAS AVAILABILITY'!P116+O117*'RAP TEMPLATE-GAS AVAILABILITY'!Q116+P117*'RAP TEMPLATE-GAS AVAILABILITY'!R116)/('RAP TEMPLATE-GAS AVAILABILITY'!O116+'RAP TEMPLATE-GAS AVAILABILITY'!P116+'RAP TEMPLATE-GAS AVAILABILITY'!Q116+'RAP TEMPLATE-GAS AVAILABILITY'!R116)</f>
        <v>6.8166223021582732</v>
      </c>
    </row>
    <row r="118" spans="1:29" ht="15.75" x14ac:dyDescent="0.25">
      <c r="A118" s="16">
        <v>44470</v>
      </c>
      <c r="B118" s="17">
        <f>CHOOSE(CONTROL!$C$42, 6.6573, 6.6573) * CHOOSE(CONTROL!$C$21, $C$9, 100%, $E$9)</f>
        <v>6.6573000000000002</v>
      </c>
      <c r="C118" s="17">
        <f>CHOOSE(CONTROL!$C$42, 6.6626, 6.6626) * CHOOSE(CONTROL!$C$21, $C$9, 100%, $E$9)</f>
        <v>6.6626000000000003</v>
      </c>
      <c r="D118" s="17">
        <f>CHOOSE(CONTROL!$C$42, 6.912, 6.912) * CHOOSE(CONTROL!$C$21, $C$9, 100%, $E$9)</f>
        <v>6.9119999999999999</v>
      </c>
      <c r="E118" s="17">
        <f>CHOOSE(CONTROL!$C$42, 6.9409, 6.9409) * CHOOSE(CONTROL!$C$21, $C$9, 100%, $E$9)</f>
        <v>6.9409000000000001</v>
      </c>
      <c r="F118" s="17">
        <f>CHOOSE(CONTROL!$C$42, 6.6711, 6.6711)*CHOOSE(CONTROL!$C$21, $C$9, 100%, $E$9)</f>
        <v>6.6711</v>
      </c>
      <c r="G118" s="17">
        <f>CHOOSE(CONTROL!$C$42, 6.6875, 6.6875)*CHOOSE(CONTROL!$C$21, $C$9, 100%, $E$9)</f>
        <v>6.6875</v>
      </c>
      <c r="H118" s="17">
        <f>CHOOSE(CONTROL!$C$42, 6.931, 6.931) * CHOOSE(CONTROL!$C$21, $C$9, 100%, $E$9)</f>
        <v>6.931</v>
      </c>
      <c r="I118" s="17">
        <f>CHOOSE(CONTROL!$C$42, 6.701, 6.701)* CHOOSE(CONTROL!$C$21, $C$9, 100%, $E$9)</f>
        <v>6.7009999999999996</v>
      </c>
      <c r="J118" s="17">
        <f>CHOOSE(CONTROL!$C$42, 6.6637, 6.6637)* CHOOSE(CONTROL!$C$21, $C$9, 100%, $E$9)</f>
        <v>6.6637000000000004</v>
      </c>
      <c r="K118" s="52">
        <f>CHOOSE(CONTROL!$C$42, 6.6949, 6.6949) * CHOOSE(CONTROL!$C$21, $C$9, 100%, $E$9)</f>
        <v>6.6948999999999996</v>
      </c>
      <c r="L118" s="17">
        <f>CHOOSE(CONTROL!$C$42, 7.518, 7.518) * CHOOSE(CONTROL!$C$21, $C$9, 100%, $E$9)</f>
        <v>7.5179999999999998</v>
      </c>
      <c r="M118" s="17">
        <f>CHOOSE(CONTROL!$C$42, 6.6108, 6.6108) * CHOOSE(CONTROL!$C$21, $C$9, 100%, $E$9)</f>
        <v>6.6108000000000002</v>
      </c>
      <c r="N118" s="17">
        <f>CHOOSE(CONTROL!$C$42, 6.627, 6.627) * CHOOSE(CONTROL!$C$21, $C$9, 100%, $E$9)</f>
        <v>6.6269999999999998</v>
      </c>
      <c r="O118" s="17">
        <f>CHOOSE(CONTROL!$C$42, 6.8757, 6.8757) * CHOOSE(CONTROL!$C$21, $C$9, 100%, $E$9)</f>
        <v>6.8757000000000001</v>
      </c>
      <c r="P118" s="17">
        <f>CHOOSE(CONTROL!$C$42, 6.6476, 6.6476) * CHOOSE(CONTROL!$C$21, $C$9, 100%, $E$9)</f>
        <v>6.6475999999999997</v>
      </c>
      <c r="Q118" s="17">
        <f>CHOOSE(CONTROL!$C$42, 7.4704, 7.4704) * CHOOSE(CONTROL!$C$21, $C$9, 100%, $E$9)</f>
        <v>7.4703999999999997</v>
      </c>
      <c r="R118" s="17">
        <f>CHOOSE(CONTROL!$C$42, 8.076, 8.076) * CHOOSE(CONTROL!$C$21, $C$9, 100%, $E$9)</f>
        <v>8.0760000000000005</v>
      </c>
      <c r="S118" s="17">
        <f>CHOOSE(CONTROL!$C$42, 6.4457, 6.4457) * CHOOSE(CONTROL!$C$21, $C$9, 100%, $E$9)</f>
        <v>6.4457000000000004</v>
      </c>
      <c r="T11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18" s="56">
        <f>(1000*CHOOSE(CONTROL!$C$42, 695, 695)*CHOOSE(CONTROL!$C$42, 0.5599, 0.5599)*CHOOSE(CONTROL!$C$42, 31, 31))/1000000</f>
        <v>12.063045499999998</v>
      </c>
      <c r="V118" s="56">
        <f>(1000*CHOOSE(CONTROL!$C$42, 500, 500)*CHOOSE(CONTROL!$C$42, 0.275, 0.275)*CHOOSE(CONTROL!$C$42, 31, 31))/1000000</f>
        <v>4.2625000000000002</v>
      </c>
      <c r="W118" s="56">
        <f>(1000*CHOOSE(CONTROL!$C$42, 0.0916, 0.0916)*CHOOSE(CONTROL!$C$42, 121.5, 121.5)*CHOOSE(CONTROL!$C$42, 31, 31))/1000000</f>
        <v>0.34501139999999997</v>
      </c>
      <c r="X118" s="56">
        <f>(31*0.1790888*145000/1000000)+(31*0.2374*100000/1000000)</f>
        <v>1.5409441560000001</v>
      </c>
      <c r="Y118" s="56"/>
      <c r="Z118" s="17"/>
      <c r="AA118" s="55"/>
      <c r="AB118" s="48">
        <f>(B118*131.881+C118*277.167+D118*79.08+E118*225.872+F118*40+G118*85+H118*0+I118*100+J118*300)/(131.881+277.167+79.08+225.872+0+40+85+100+300)</f>
        <v>6.7340368525423742</v>
      </c>
      <c r="AC118" s="45">
        <f>(M118*'RAP TEMPLATE-GAS AVAILABILITY'!O117+N118*'RAP TEMPLATE-GAS AVAILABILITY'!P117+O118*'RAP TEMPLATE-GAS AVAILABILITY'!Q117+P118*'RAP TEMPLATE-GAS AVAILABILITY'!R117)/('RAP TEMPLATE-GAS AVAILABILITY'!O117+'RAP TEMPLATE-GAS AVAILABILITY'!P117+'RAP TEMPLATE-GAS AVAILABILITY'!Q117+'RAP TEMPLATE-GAS AVAILABILITY'!R117)</f>
        <v>6.6941489208633094</v>
      </c>
    </row>
    <row r="119" spans="1:29" ht="15.75" x14ac:dyDescent="0.25">
      <c r="A119" s="16">
        <v>44501</v>
      </c>
      <c r="B119" s="17">
        <f>CHOOSE(CONTROL!$C$42, 6.846, 6.846) * CHOOSE(CONTROL!$C$21, $C$9, 100%, $E$9)</f>
        <v>6.8460000000000001</v>
      </c>
      <c r="C119" s="17">
        <f>CHOOSE(CONTROL!$C$42, 6.8511, 6.8511) * CHOOSE(CONTROL!$C$21, $C$9, 100%, $E$9)</f>
        <v>6.8510999999999997</v>
      </c>
      <c r="D119" s="17">
        <f>CHOOSE(CONTROL!$C$42, 6.9325, 6.9325) * CHOOSE(CONTROL!$C$21, $C$9, 100%, $E$9)</f>
        <v>6.9325000000000001</v>
      </c>
      <c r="E119" s="17">
        <f>CHOOSE(CONTROL!$C$42, 6.9663, 6.9663) * CHOOSE(CONTROL!$C$21, $C$9, 100%, $E$9)</f>
        <v>6.9663000000000004</v>
      </c>
      <c r="F119" s="17">
        <f>CHOOSE(CONTROL!$C$42, 6.864, 6.864)*CHOOSE(CONTROL!$C$21, $C$9, 100%, $E$9)</f>
        <v>6.8639999999999999</v>
      </c>
      <c r="G119" s="17">
        <f>CHOOSE(CONTROL!$C$42, 6.8807, 6.8807)*CHOOSE(CONTROL!$C$21, $C$9, 100%, $E$9)</f>
        <v>6.8807</v>
      </c>
      <c r="H119" s="17">
        <f>CHOOSE(CONTROL!$C$42, 6.9551, 6.9551) * CHOOSE(CONTROL!$C$21, $C$9, 100%, $E$9)</f>
        <v>6.9550999999999998</v>
      </c>
      <c r="I119" s="17">
        <f>CHOOSE(CONTROL!$C$42, 6.8922, 6.8922)* CHOOSE(CONTROL!$C$21, $C$9, 100%, $E$9)</f>
        <v>6.8921999999999999</v>
      </c>
      <c r="J119" s="17">
        <f>CHOOSE(CONTROL!$C$42, 6.8566, 6.8566)* CHOOSE(CONTROL!$C$21, $C$9, 100%, $E$9)</f>
        <v>6.8566000000000003</v>
      </c>
      <c r="K119" s="52">
        <f>CHOOSE(CONTROL!$C$42, 6.8862, 6.8862) * CHOOSE(CONTROL!$C$21, $C$9, 100%, $E$9)</f>
        <v>6.8861999999999997</v>
      </c>
      <c r="L119" s="17">
        <f>CHOOSE(CONTROL!$C$42, 7.5421, 7.5421) * CHOOSE(CONTROL!$C$21, $C$9, 100%, $E$9)</f>
        <v>7.5420999999999996</v>
      </c>
      <c r="M119" s="17">
        <f>CHOOSE(CONTROL!$C$42, 6.8019, 6.8019) * CHOOSE(CONTROL!$C$21, $C$9, 100%, $E$9)</f>
        <v>6.8018999999999998</v>
      </c>
      <c r="N119" s="17">
        <f>CHOOSE(CONTROL!$C$42, 6.8185, 6.8185) * CHOOSE(CONTROL!$C$21, $C$9, 100%, $E$9)</f>
        <v>6.8185000000000002</v>
      </c>
      <c r="O119" s="17">
        <f>CHOOSE(CONTROL!$C$42, 6.8996, 6.8996) * CHOOSE(CONTROL!$C$21, $C$9, 100%, $E$9)</f>
        <v>6.8996000000000004</v>
      </c>
      <c r="P119" s="17">
        <f>CHOOSE(CONTROL!$C$42, 6.8371, 6.8371) * CHOOSE(CONTROL!$C$21, $C$9, 100%, $E$9)</f>
        <v>6.8371000000000004</v>
      </c>
      <c r="Q119" s="17">
        <f>CHOOSE(CONTROL!$C$42, 7.4943, 7.4943) * CHOOSE(CONTROL!$C$21, $C$9, 100%, $E$9)</f>
        <v>7.4943</v>
      </c>
      <c r="R119" s="17">
        <f>CHOOSE(CONTROL!$C$42, 8.1, 8.1) * CHOOSE(CONTROL!$C$21, $C$9, 100%, $E$9)</f>
        <v>8.1</v>
      </c>
      <c r="S119" s="17">
        <f>CHOOSE(CONTROL!$C$42, 6.6291, 6.6291) * CHOOSE(CONTROL!$C$21, $C$9, 100%, $E$9)</f>
        <v>6.6291000000000002</v>
      </c>
      <c r="T11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19" s="56">
        <f>(1000*CHOOSE(CONTROL!$C$42, 695, 695)*CHOOSE(CONTROL!$C$42, 0.5599, 0.5599)*CHOOSE(CONTROL!$C$42, 30, 30))/1000000</f>
        <v>11.673914999999997</v>
      </c>
      <c r="V119" s="56">
        <f>(1000*CHOOSE(CONTROL!$C$42, 500, 500)*CHOOSE(CONTROL!$C$42, 0.275, 0.275)*CHOOSE(CONTROL!$C$42, 30, 30))/1000000</f>
        <v>4.125</v>
      </c>
      <c r="W119" s="56">
        <f>(1000*CHOOSE(CONTROL!$C$42, 0.0916, 0.0916)*CHOOSE(CONTROL!$C$42, 121.5, 121.5)*CHOOSE(CONTROL!$C$42, 30, 30))/1000000</f>
        <v>0.33388200000000001</v>
      </c>
      <c r="X119" s="56">
        <f>(30*0.2374*100000/1000000)</f>
        <v>0.71220000000000006</v>
      </c>
      <c r="Y119" s="56"/>
      <c r="Z119" s="17"/>
      <c r="AA119" s="55"/>
      <c r="AB119" s="48">
        <f>(B119*122.58+C119*297.941+D119*89.177+E119*140.302+F119*40+G119*60+H119*0+I119*100+J119*300)/(122.58+297.941+89.177+140.302+0+40+60+100+300)</f>
        <v>6.8779249045217403</v>
      </c>
      <c r="AC119" s="45">
        <f>(M119*'RAP TEMPLATE-GAS AVAILABILITY'!O118+N119*'RAP TEMPLATE-GAS AVAILABILITY'!P118+O119*'RAP TEMPLATE-GAS AVAILABILITY'!Q118+P119*'RAP TEMPLATE-GAS AVAILABILITY'!R118)/('RAP TEMPLATE-GAS AVAILABILITY'!O118+'RAP TEMPLATE-GAS AVAILABILITY'!P118+'RAP TEMPLATE-GAS AVAILABILITY'!Q118+'RAP TEMPLATE-GAS AVAILABILITY'!R118)</f>
        <v>6.8522014388489216</v>
      </c>
    </row>
    <row r="120" spans="1:29" ht="15.75" x14ac:dyDescent="0.25">
      <c r="A120" s="16">
        <v>44531</v>
      </c>
      <c r="B120" s="17">
        <f>CHOOSE(CONTROL!$C$42, 7.3271, 7.3271) * CHOOSE(CONTROL!$C$21, $C$9, 100%, $E$9)</f>
        <v>7.3270999999999997</v>
      </c>
      <c r="C120" s="17">
        <f>CHOOSE(CONTROL!$C$42, 7.3322, 7.3322) * CHOOSE(CONTROL!$C$21, $C$9, 100%, $E$9)</f>
        <v>7.3322000000000003</v>
      </c>
      <c r="D120" s="17">
        <f>CHOOSE(CONTROL!$C$42, 7.4136, 7.4136) * CHOOSE(CONTROL!$C$21, $C$9, 100%, $E$9)</f>
        <v>7.4135999999999997</v>
      </c>
      <c r="E120" s="17">
        <f>CHOOSE(CONTROL!$C$42, 7.4473, 7.4473) * CHOOSE(CONTROL!$C$21, $C$9, 100%, $E$9)</f>
        <v>7.4473000000000003</v>
      </c>
      <c r="F120" s="17">
        <f>CHOOSE(CONTROL!$C$42, 7.3475, 7.3475)*CHOOSE(CONTROL!$C$21, $C$9, 100%, $E$9)</f>
        <v>7.3475000000000001</v>
      </c>
      <c r="G120" s="17">
        <f>CHOOSE(CONTROL!$C$42, 7.3648, 7.3648)*CHOOSE(CONTROL!$C$21, $C$9, 100%, $E$9)</f>
        <v>7.3647999999999998</v>
      </c>
      <c r="H120" s="17">
        <f>CHOOSE(CONTROL!$C$42, 7.4362, 7.4362) * CHOOSE(CONTROL!$C$21, $C$9, 100%, $E$9)</f>
        <v>7.4362000000000004</v>
      </c>
      <c r="I120" s="17">
        <f>CHOOSE(CONTROL!$C$42, 7.3748, 7.3748)* CHOOSE(CONTROL!$C$21, $C$9, 100%, $E$9)</f>
        <v>7.3747999999999996</v>
      </c>
      <c r="J120" s="17">
        <f>CHOOSE(CONTROL!$C$42, 7.3401, 7.3401)* CHOOSE(CONTROL!$C$21, $C$9, 100%, $E$9)</f>
        <v>7.3400999999999996</v>
      </c>
      <c r="K120" s="52">
        <f>CHOOSE(CONTROL!$C$42, 7.3688, 7.3688) * CHOOSE(CONTROL!$C$21, $C$9, 100%, $E$9)</f>
        <v>7.3688000000000002</v>
      </c>
      <c r="L120" s="17">
        <f>CHOOSE(CONTROL!$C$42, 8.0232, 8.0232) * CHOOSE(CONTROL!$C$21, $C$9, 100%, $E$9)</f>
        <v>8.0231999999999992</v>
      </c>
      <c r="M120" s="17">
        <f>CHOOSE(CONTROL!$C$42, 7.281, 7.281) * CHOOSE(CONTROL!$C$21, $C$9, 100%, $E$9)</f>
        <v>7.2809999999999997</v>
      </c>
      <c r="N120" s="17">
        <f>CHOOSE(CONTROL!$C$42, 7.2982, 7.2982) * CHOOSE(CONTROL!$C$21, $C$9, 100%, $E$9)</f>
        <v>7.2981999999999996</v>
      </c>
      <c r="O120" s="17">
        <f>CHOOSE(CONTROL!$C$42, 7.3763, 7.3763) * CHOOSE(CONTROL!$C$21, $C$9, 100%, $E$9)</f>
        <v>7.3762999999999996</v>
      </c>
      <c r="P120" s="17">
        <f>CHOOSE(CONTROL!$C$42, 7.3153, 7.3153) * CHOOSE(CONTROL!$C$21, $C$9, 100%, $E$9)</f>
        <v>7.3152999999999997</v>
      </c>
      <c r="Q120" s="17">
        <f>CHOOSE(CONTROL!$C$42, 7.971, 7.971) * CHOOSE(CONTROL!$C$21, $C$9, 100%, $E$9)</f>
        <v>7.9710000000000001</v>
      </c>
      <c r="R120" s="17">
        <f>CHOOSE(CONTROL!$C$42, 8.578, 8.578) * CHOOSE(CONTROL!$C$21, $C$9, 100%, $E$9)</f>
        <v>8.5779999999999994</v>
      </c>
      <c r="S120" s="17">
        <f>CHOOSE(CONTROL!$C$42, 7.0956, 7.0956) * CHOOSE(CONTROL!$C$21, $C$9, 100%, $E$9)</f>
        <v>7.0956000000000001</v>
      </c>
      <c r="T12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20" s="56">
        <f>(1000*CHOOSE(CONTROL!$C$42, 695, 695)*CHOOSE(CONTROL!$C$42, 0.5599, 0.5599)*CHOOSE(CONTROL!$C$42, 31, 31))/1000000</f>
        <v>12.063045499999998</v>
      </c>
      <c r="V120" s="56">
        <f>(1000*CHOOSE(CONTROL!$C$42, 500, 500)*CHOOSE(CONTROL!$C$42, 0.275, 0.275)*CHOOSE(CONTROL!$C$42, 31, 31))/1000000</f>
        <v>4.2625000000000002</v>
      </c>
      <c r="W120" s="56">
        <f>(1000*CHOOSE(CONTROL!$C$42, 0.0916, 0.0916)*CHOOSE(CONTROL!$C$42, 121.5, 121.5)*CHOOSE(CONTROL!$C$42, 31, 31))/1000000</f>
        <v>0.34501139999999997</v>
      </c>
      <c r="X120" s="56">
        <f>(31*0.2374*100000/1000000)</f>
        <v>0.73594000000000004</v>
      </c>
      <c r="Y120" s="56"/>
      <c r="Z120" s="17"/>
      <c r="AA120" s="55"/>
      <c r="AB120" s="48">
        <f>(B120*122.58+C120*297.941+D120*89.177+E120*140.302+F120*40+G120*60+H120*0+I120*100+J120*300)/(122.58+297.941+89.177+140.302+0+40+60+100+300)</f>
        <v>7.3600092260869543</v>
      </c>
      <c r="AC120" s="45">
        <f>(M120*'RAP TEMPLATE-GAS AVAILABILITY'!O119+N120*'RAP TEMPLATE-GAS AVAILABILITY'!P119+O120*'RAP TEMPLATE-GAS AVAILABILITY'!Q119+P120*'RAP TEMPLATE-GAS AVAILABILITY'!R119)/('RAP TEMPLATE-GAS AVAILABILITY'!O119+'RAP TEMPLATE-GAS AVAILABILITY'!P119+'RAP TEMPLATE-GAS AVAILABILITY'!Q119+'RAP TEMPLATE-GAS AVAILABILITY'!R119)</f>
        <v>7.3301187050359706</v>
      </c>
    </row>
    <row r="121" spans="1:29" ht="15.75" x14ac:dyDescent="0.25">
      <c r="A121" s="16">
        <v>44562</v>
      </c>
      <c r="B121" s="17">
        <f>CHOOSE(CONTROL!$C$42, 7.7808, 7.7808) * CHOOSE(CONTROL!$C$21, $C$9, 100%, $E$9)</f>
        <v>7.7808000000000002</v>
      </c>
      <c r="C121" s="17">
        <f>CHOOSE(CONTROL!$C$42, 7.7859, 7.7859) * CHOOSE(CONTROL!$C$21, $C$9, 100%, $E$9)</f>
        <v>7.7858999999999998</v>
      </c>
      <c r="D121" s="17">
        <f>CHOOSE(CONTROL!$C$42, 7.8827, 7.8827) * CHOOSE(CONTROL!$C$21, $C$9, 100%, $E$9)</f>
        <v>7.8826999999999998</v>
      </c>
      <c r="E121" s="17">
        <f>CHOOSE(CONTROL!$C$42, 7.9165, 7.9165) * CHOOSE(CONTROL!$C$21, $C$9, 100%, $E$9)</f>
        <v>7.9165000000000001</v>
      </c>
      <c r="F121" s="17">
        <f>CHOOSE(CONTROL!$C$42, 7.7951, 7.7951)*CHOOSE(CONTROL!$C$21, $C$9, 100%, $E$9)</f>
        <v>7.7950999999999997</v>
      </c>
      <c r="G121" s="17">
        <f>CHOOSE(CONTROL!$C$42, 7.8115, 7.8115)*CHOOSE(CONTROL!$C$21, $C$9, 100%, $E$9)</f>
        <v>7.8114999999999997</v>
      </c>
      <c r="H121" s="17">
        <f>CHOOSE(CONTROL!$C$42, 7.9053, 7.9053) * CHOOSE(CONTROL!$C$21, $C$9, 100%, $E$9)</f>
        <v>7.9053000000000004</v>
      </c>
      <c r="I121" s="17">
        <f>CHOOSE(CONTROL!$C$42, 7.8299, 7.8299)* CHOOSE(CONTROL!$C$21, $C$9, 100%, $E$9)</f>
        <v>7.8299000000000003</v>
      </c>
      <c r="J121" s="17">
        <f>CHOOSE(CONTROL!$C$42, 7.7877, 7.7877)* CHOOSE(CONTROL!$C$21, $C$9, 100%, $E$9)</f>
        <v>7.7877000000000001</v>
      </c>
      <c r="K121" s="52">
        <f>CHOOSE(CONTROL!$C$42, 7.8238, 7.8238) * CHOOSE(CONTROL!$C$21, $C$9, 100%, $E$9)</f>
        <v>7.8238000000000003</v>
      </c>
      <c r="L121" s="17">
        <f>CHOOSE(CONTROL!$C$42, 8.4923, 8.4923) * CHOOSE(CONTROL!$C$21, $C$9, 100%, $E$9)</f>
        <v>8.4923000000000002</v>
      </c>
      <c r="M121" s="17">
        <f>CHOOSE(CONTROL!$C$42, 7.7246, 7.7246) * CHOOSE(CONTROL!$C$21, $C$9, 100%, $E$9)</f>
        <v>7.7245999999999997</v>
      </c>
      <c r="N121" s="17">
        <f>CHOOSE(CONTROL!$C$42, 7.7409, 7.7409) * CHOOSE(CONTROL!$C$21, $C$9, 100%, $E$9)</f>
        <v>7.7408999999999999</v>
      </c>
      <c r="O121" s="17">
        <f>CHOOSE(CONTROL!$C$42, 7.8413, 7.8413) * CHOOSE(CONTROL!$C$21, $C$9, 100%, $E$9)</f>
        <v>7.8413000000000004</v>
      </c>
      <c r="P121" s="17">
        <f>CHOOSE(CONTROL!$C$42, 7.7663, 7.7663) * CHOOSE(CONTROL!$C$21, $C$9, 100%, $E$9)</f>
        <v>7.7663000000000002</v>
      </c>
      <c r="Q121" s="17">
        <f>CHOOSE(CONTROL!$C$42, 8.436, 8.436) * CHOOSE(CONTROL!$C$21, $C$9, 100%, $E$9)</f>
        <v>8.4359999999999999</v>
      </c>
      <c r="R121" s="17">
        <f>CHOOSE(CONTROL!$C$42, 9.044, 9.044) * CHOOSE(CONTROL!$C$21, $C$9, 100%, $E$9)</f>
        <v>9.0440000000000005</v>
      </c>
      <c r="S121" s="17">
        <f>CHOOSE(CONTROL!$C$42, 7.5355, 7.5355) * CHOOSE(CONTROL!$C$21, $C$9, 100%, $E$9)</f>
        <v>7.5354999999999999</v>
      </c>
      <c r="T12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21" s="56">
        <f>(1000*CHOOSE(CONTROL!$C$42, 695, 695)*CHOOSE(CONTROL!$C$42, 0.5599, 0.5599)*CHOOSE(CONTROL!$C$42, 31, 31))/1000000</f>
        <v>12.063045499999998</v>
      </c>
      <c r="V121" s="56">
        <f>(1000*CHOOSE(CONTROL!$C$42, 500, 500)*CHOOSE(CONTROL!$C$42, 0.275, 0.275)*CHOOSE(CONTROL!$C$42, 31, 31))/1000000</f>
        <v>4.2625000000000002</v>
      </c>
      <c r="W121" s="56">
        <f>(1000*CHOOSE(CONTROL!$C$42, 0.0916, 0.0916)*CHOOSE(CONTROL!$C$42, 121.5, 121.5)*CHOOSE(CONTROL!$C$42, 31, 31))/1000000</f>
        <v>0.34501139999999997</v>
      </c>
      <c r="X121" s="56">
        <f>(31*0.2374*100000/1000000)</f>
        <v>0.73594000000000004</v>
      </c>
      <c r="Y121" s="56"/>
      <c r="Z121" s="17"/>
      <c r="AA121" s="55"/>
      <c r="AB121" s="48">
        <f>(B121*122.58+C121*297.941+D121*89.177+E121*140.302+F121*40+G121*60+H121*0+I121*100+J121*300)/(122.58+297.941+89.177+140.302+0+40+60+100+300)</f>
        <v>7.8147474928695644</v>
      </c>
      <c r="AC121" s="45">
        <f>(M121*'RAP TEMPLATE-GAS AVAILABILITY'!O120+N121*'RAP TEMPLATE-GAS AVAILABILITY'!P120+O121*'RAP TEMPLATE-GAS AVAILABILITY'!Q120+P121*'RAP TEMPLATE-GAS AVAILABILITY'!R120)/('RAP TEMPLATE-GAS AVAILABILITY'!O120+'RAP TEMPLATE-GAS AVAILABILITY'!P120+'RAP TEMPLATE-GAS AVAILABILITY'!Q120+'RAP TEMPLATE-GAS AVAILABILITY'!R120)</f>
        <v>7.7844309352517991</v>
      </c>
    </row>
    <row r="122" spans="1:29" ht="15.75" x14ac:dyDescent="0.25">
      <c r="A122" s="16">
        <v>44593</v>
      </c>
      <c r="B122" s="17">
        <f>CHOOSE(CONTROL!$C$42, 7.9354, 7.9354) * CHOOSE(CONTROL!$C$21, $C$9, 100%, $E$9)</f>
        <v>7.9353999999999996</v>
      </c>
      <c r="C122" s="17">
        <f>CHOOSE(CONTROL!$C$42, 7.9405, 7.9405) * CHOOSE(CONTROL!$C$21, $C$9, 100%, $E$9)</f>
        <v>7.9405000000000001</v>
      </c>
      <c r="D122" s="17">
        <f>CHOOSE(CONTROL!$C$42, 8.0373, 8.0373) * CHOOSE(CONTROL!$C$21, $C$9, 100%, $E$9)</f>
        <v>8.0373000000000001</v>
      </c>
      <c r="E122" s="17">
        <f>CHOOSE(CONTROL!$C$42, 8.0711, 8.0711) * CHOOSE(CONTROL!$C$21, $C$9, 100%, $E$9)</f>
        <v>8.0710999999999995</v>
      </c>
      <c r="F122" s="17">
        <f>CHOOSE(CONTROL!$C$42, 7.9497, 7.9497)*CHOOSE(CONTROL!$C$21, $C$9, 100%, $E$9)</f>
        <v>7.9497</v>
      </c>
      <c r="G122" s="17">
        <f>CHOOSE(CONTROL!$C$42, 7.9661, 7.9661)*CHOOSE(CONTROL!$C$21, $C$9, 100%, $E$9)</f>
        <v>7.9661</v>
      </c>
      <c r="H122" s="17">
        <f>CHOOSE(CONTROL!$C$42, 8.06, 8.06) * CHOOSE(CONTROL!$C$21, $C$9, 100%, $E$9)</f>
        <v>8.06</v>
      </c>
      <c r="I122" s="17">
        <f>CHOOSE(CONTROL!$C$42, 7.985, 7.985)* CHOOSE(CONTROL!$C$21, $C$9, 100%, $E$9)</f>
        <v>7.9850000000000003</v>
      </c>
      <c r="J122" s="17">
        <f>CHOOSE(CONTROL!$C$42, 7.9423, 7.9423)* CHOOSE(CONTROL!$C$21, $C$9, 100%, $E$9)</f>
        <v>7.9423000000000004</v>
      </c>
      <c r="K122" s="52">
        <f>CHOOSE(CONTROL!$C$42, 7.9789, 7.9789) * CHOOSE(CONTROL!$C$21, $C$9, 100%, $E$9)</f>
        <v>7.9789000000000003</v>
      </c>
      <c r="L122" s="17">
        <f>CHOOSE(CONTROL!$C$42, 8.647, 8.647) * CHOOSE(CONTROL!$C$21, $C$9, 100%, $E$9)</f>
        <v>8.6470000000000002</v>
      </c>
      <c r="M122" s="17">
        <f>CHOOSE(CONTROL!$C$42, 7.8778, 7.8778) * CHOOSE(CONTROL!$C$21, $C$9, 100%, $E$9)</f>
        <v>7.8777999999999997</v>
      </c>
      <c r="N122" s="17">
        <f>CHOOSE(CONTROL!$C$42, 7.8941, 7.8941) * CHOOSE(CONTROL!$C$21, $C$9, 100%, $E$9)</f>
        <v>7.8940999999999999</v>
      </c>
      <c r="O122" s="17">
        <f>CHOOSE(CONTROL!$C$42, 7.9945, 7.9945) * CHOOSE(CONTROL!$C$21, $C$9, 100%, $E$9)</f>
        <v>7.9945000000000004</v>
      </c>
      <c r="P122" s="17">
        <f>CHOOSE(CONTROL!$C$42, 7.92, 7.92) * CHOOSE(CONTROL!$C$21, $C$9, 100%, $E$9)</f>
        <v>7.92</v>
      </c>
      <c r="Q122" s="17">
        <f>CHOOSE(CONTROL!$C$42, 8.5892, 8.5892) * CHOOSE(CONTROL!$C$21, $C$9, 100%, $E$9)</f>
        <v>8.5891999999999999</v>
      </c>
      <c r="R122" s="17">
        <f>CHOOSE(CONTROL!$C$42, 9.1976, 9.1976) * CHOOSE(CONTROL!$C$21, $C$9, 100%, $E$9)</f>
        <v>9.1975999999999996</v>
      </c>
      <c r="S122" s="17">
        <f>CHOOSE(CONTROL!$C$42, 7.6854, 7.6854) * CHOOSE(CONTROL!$C$21, $C$9, 100%, $E$9)</f>
        <v>7.6853999999999996</v>
      </c>
      <c r="T12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22" s="56">
        <f>(1000*CHOOSE(CONTROL!$C$42, 695, 695)*CHOOSE(CONTROL!$C$42, 0.5599, 0.5599)*CHOOSE(CONTROL!$C$42, 28, 28))/1000000</f>
        <v>10.895653999999999</v>
      </c>
      <c r="V122" s="56">
        <f>(1000*CHOOSE(CONTROL!$C$42, 500, 500)*CHOOSE(CONTROL!$C$42, 0.275, 0.275)*CHOOSE(CONTROL!$C$42, 28, 28))/1000000</f>
        <v>3.85</v>
      </c>
      <c r="W122" s="56">
        <f>(1000*CHOOSE(CONTROL!$C$42, 0.0916, 0.0916)*CHOOSE(CONTROL!$C$42, 121.5, 121.5)*CHOOSE(CONTROL!$C$42, 28, 28))/1000000</f>
        <v>0.31162319999999999</v>
      </c>
      <c r="X122" s="56">
        <f>(28*0.2374*100000/1000000)</f>
        <v>0.66471999999999998</v>
      </c>
      <c r="Y122" s="56"/>
      <c r="Z122" s="17"/>
      <c r="AA122" s="55"/>
      <c r="AB122" s="48">
        <f>(B122*122.58+C122*297.941+D122*89.177+E122*140.302+F122*40+G122*60+H122*0+I122*100+J122*300)/(122.58+297.941+89.177+140.302+0+40+60+100+300)</f>
        <v>7.9693909711304354</v>
      </c>
      <c r="AC122" s="45">
        <f>(M122*'RAP TEMPLATE-GAS AVAILABILITY'!O121+N122*'RAP TEMPLATE-GAS AVAILABILITY'!P121+O122*'RAP TEMPLATE-GAS AVAILABILITY'!Q121+P122*'RAP TEMPLATE-GAS AVAILABILITY'!R121)/('RAP TEMPLATE-GAS AVAILABILITY'!O121+'RAP TEMPLATE-GAS AVAILABILITY'!P121+'RAP TEMPLATE-GAS AVAILABILITY'!Q121+'RAP TEMPLATE-GAS AVAILABILITY'!R121)</f>
        <v>7.9377028776978413</v>
      </c>
    </row>
    <row r="123" spans="1:29" ht="15.75" x14ac:dyDescent="0.25">
      <c r="A123" s="16">
        <v>44621</v>
      </c>
      <c r="B123" s="17">
        <f>CHOOSE(CONTROL!$C$42, 7.7263, 7.7263) * CHOOSE(CONTROL!$C$21, $C$9, 100%, $E$9)</f>
        <v>7.7263000000000002</v>
      </c>
      <c r="C123" s="17">
        <f>CHOOSE(CONTROL!$C$42, 7.7314, 7.7314) * CHOOSE(CONTROL!$C$21, $C$9, 100%, $E$9)</f>
        <v>7.7313999999999998</v>
      </c>
      <c r="D123" s="17">
        <f>CHOOSE(CONTROL!$C$42, 7.8282, 7.8282) * CHOOSE(CONTROL!$C$21, $C$9, 100%, $E$9)</f>
        <v>7.8281999999999998</v>
      </c>
      <c r="E123" s="17">
        <f>CHOOSE(CONTROL!$C$42, 7.8619, 7.8619) * CHOOSE(CONTROL!$C$21, $C$9, 100%, $E$9)</f>
        <v>7.8619000000000003</v>
      </c>
      <c r="F123" s="17">
        <f>CHOOSE(CONTROL!$C$42, 7.7399, 7.7399)*CHOOSE(CONTROL!$C$21, $C$9, 100%, $E$9)</f>
        <v>7.7398999999999996</v>
      </c>
      <c r="G123" s="17">
        <f>CHOOSE(CONTROL!$C$42, 7.7561, 7.7561)*CHOOSE(CONTROL!$C$21, $C$9, 100%, $E$9)</f>
        <v>7.7561</v>
      </c>
      <c r="H123" s="17">
        <f>CHOOSE(CONTROL!$C$42, 7.8508, 7.8508) * CHOOSE(CONTROL!$C$21, $C$9, 100%, $E$9)</f>
        <v>7.8507999999999996</v>
      </c>
      <c r="I123" s="17">
        <f>CHOOSE(CONTROL!$C$42, 7.7752, 7.7752)* CHOOSE(CONTROL!$C$21, $C$9, 100%, $E$9)</f>
        <v>7.7751999999999999</v>
      </c>
      <c r="J123" s="17">
        <f>CHOOSE(CONTROL!$C$42, 7.7325, 7.7325)* CHOOSE(CONTROL!$C$21, $C$9, 100%, $E$9)</f>
        <v>7.7324999999999999</v>
      </c>
      <c r="K123" s="52">
        <f>CHOOSE(CONTROL!$C$42, 7.7692, 7.7692) * CHOOSE(CONTROL!$C$21, $C$9, 100%, $E$9)</f>
        <v>7.7691999999999997</v>
      </c>
      <c r="L123" s="17">
        <f>CHOOSE(CONTROL!$C$42, 8.4378, 8.4378) * CHOOSE(CONTROL!$C$21, $C$9, 100%, $E$9)</f>
        <v>8.4377999999999993</v>
      </c>
      <c r="M123" s="17">
        <f>CHOOSE(CONTROL!$C$42, 7.6699, 7.6699) * CHOOSE(CONTROL!$C$21, $C$9, 100%, $E$9)</f>
        <v>7.6699000000000002</v>
      </c>
      <c r="N123" s="17">
        <f>CHOOSE(CONTROL!$C$42, 7.6861, 7.6861) * CHOOSE(CONTROL!$C$21, $C$9, 100%, $E$9)</f>
        <v>7.6860999999999997</v>
      </c>
      <c r="O123" s="17">
        <f>CHOOSE(CONTROL!$C$42, 7.7872, 7.7872) * CHOOSE(CONTROL!$C$21, $C$9, 100%, $E$9)</f>
        <v>7.7872000000000003</v>
      </c>
      <c r="P123" s="17">
        <f>CHOOSE(CONTROL!$C$42, 7.7121, 7.7121) * CHOOSE(CONTROL!$C$21, $C$9, 100%, $E$9)</f>
        <v>7.7121000000000004</v>
      </c>
      <c r="Q123" s="17">
        <f>CHOOSE(CONTROL!$C$42, 8.3819, 8.3819) * CHOOSE(CONTROL!$C$21, $C$9, 100%, $E$9)</f>
        <v>8.3818999999999999</v>
      </c>
      <c r="R123" s="17">
        <f>CHOOSE(CONTROL!$C$42, 8.9899, 8.9899) * CHOOSE(CONTROL!$C$21, $C$9, 100%, $E$9)</f>
        <v>8.9899000000000004</v>
      </c>
      <c r="S123" s="17">
        <f>CHOOSE(CONTROL!$C$42, 7.4827, 7.4827) * CHOOSE(CONTROL!$C$21, $C$9, 100%, $E$9)</f>
        <v>7.4827000000000004</v>
      </c>
      <c r="T12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23" s="56">
        <f>(1000*CHOOSE(CONTROL!$C$42, 695, 695)*CHOOSE(CONTROL!$C$42, 0.5599, 0.5599)*CHOOSE(CONTROL!$C$42, 31, 31))/1000000</f>
        <v>12.063045499999998</v>
      </c>
      <c r="V123" s="56">
        <f>(1000*CHOOSE(CONTROL!$C$42, 500, 500)*CHOOSE(CONTROL!$C$42, 0.275, 0.275)*CHOOSE(CONTROL!$C$42, 31, 31))/1000000</f>
        <v>4.2625000000000002</v>
      </c>
      <c r="W123" s="56">
        <f>(1000*CHOOSE(CONTROL!$C$42, 0.0916, 0.0916)*CHOOSE(CONTROL!$C$42, 121.5, 121.5)*CHOOSE(CONTROL!$C$42, 31, 31))/1000000</f>
        <v>0.34501139999999997</v>
      </c>
      <c r="X123" s="56">
        <f>(31*0.2374*100000/1000000)</f>
        <v>0.73594000000000004</v>
      </c>
      <c r="Y123" s="56"/>
      <c r="Z123" s="17"/>
      <c r="AA123" s="55"/>
      <c r="AB123" s="48">
        <f>(B123*122.58+C123*297.941+D123*89.177+E123*140.302+F123*40+G123*60+H123*0+I123*100+J123*300)/(122.58+297.941+89.177+140.302+0+40+60+100+300)</f>
        <v>7.7599639883478257</v>
      </c>
      <c r="AC123" s="45">
        <f>(M123*'RAP TEMPLATE-GAS AVAILABILITY'!O122+N123*'RAP TEMPLATE-GAS AVAILABILITY'!P122+O123*'RAP TEMPLATE-GAS AVAILABILITY'!Q122+P123*'RAP TEMPLATE-GAS AVAILABILITY'!R122)/('RAP TEMPLATE-GAS AVAILABILITY'!O122+'RAP TEMPLATE-GAS AVAILABILITY'!P122+'RAP TEMPLATE-GAS AVAILABILITY'!Q122+'RAP TEMPLATE-GAS AVAILABILITY'!R122)</f>
        <v>7.7300690647482018</v>
      </c>
    </row>
    <row r="124" spans="1:29" ht="15.75" x14ac:dyDescent="0.25">
      <c r="A124" s="16">
        <v>44652</v>
      </c>
      <c r="B124" s="17">
        <f>CHOOSE(CONTROL!$C$42, 7.72, 7.72) * CHOOSE(CONTROL!$C$21, $C$9, 100%, $E$9)</f>
        <v>7.72</v>
      </c>
      <c r="C124" s="17">
        <f>CHOOSE(CONTROL!$C$42, 7.7245, 7.7245) * CHOOSE(CONTROL!$C$21, $C$9, 100%, $E$9)</f>
        <v>7.7244999999999999</v>
      </c>
      <c r="D124" s="17">
        <f>CHOOSE(CONTROL!$C$42, 7.9721, 7.9721) * CHOOSE(CONTROL!$C$21, $C$9, 100%, $E$9)</f>
        <v>7.9721000000000002</v>
      </c>
      <c r="E124" s="17">
        <f>CHOOSE(CONTROL!$C$42, 8.0039, 8.0039) * CHOOSE(CONTROL!$C$21, $C$9, 100%, $E$9)</f>
        <v>8.0038999999999998</v>
      </c>
      <c r="F124" s="17">
        <f>CHOOSE(CONTROL!$C$42, 7.7316, 7.7316)*CHOOSE(CONTROL!$C$21, $C$9, 100%, $E$9)</f>
        <v>7.7316000000000003</v>
      </c>
      <c r="G124" s="17">
        <f>CHOOSE(CONTROL!$C$42, 7.7476, 7.7476)*CHOOSE(CONTROL!$C$21, $C$9, 100%, $E$9)</f>
        <v>7.7476000000000003</v>
      </c>
      <c r="H124" s="17">
        <f>CHOOSE(CONTROL!$C$42, 7.9933, 7.9933) * CHOOSE(CONTROL!$C$21, $C$9, 100%, $E$9)</f>
        <v>7.9932999999999996</v>
      </c>
      <c r="I124" s="17">
        <f>CHOOSE(CONTROL!$C$42, 7.7666, 7.7666)* CHOOSE(CONTROL!$C$21, $C$9, 100%, $E$9)</f>
        <v>7.7666000000000004</v>
      </c>
      <c r="J124" s="17">
        <f>CHOOSE(CONTROL!$C$42, 7.7242, 7.7242)* CHOOSE(CONTROL!$C$21, $C$9, 100%, $E$9)</f>
        <v>7.7241999999999997</v>
      </c>
      <c r="K124" s="52">
        <f>CHOOSE(CONTROL!$C$42, 7.7606, 7.7606) * CHOOSE(CONTROL!$C$21, $C$9, 100%, $E$9)</f>
        <v>7.7606000000000002</v>
      </c>
      <c r="L124" s="17">
        <f>CHOOSE(CONTROL!$C$42, 8.5803, 8.5803) * CHOOSE(CONTROL!$C$21, $C$9, 100%, $E$9)</f>
        <v>8.5802999999999994</v>
      </c>
      <c r="M124" s="17">
        <f>CHOOSE(CONTROL!$C$42, 7.6618, 7.6618) * CHOOSE(CONTROL!$C$21, $C$9, 100%, $E$9)</f>
        <v>7.6618000000000004</v>
      </c>
      <c r="N124" s="17">
        <f>CHOOSE(CONTROL!$C$42, 7.6776, 7.6776) * CHOOSE(CONTROL!$C$21, $C$9, 100%, $E$9)</f>
        <v>7.6776</v>
      </c>
      <c r="O124" s="17">
        <f>CHOOSE(CONTROL!$C$42, 7.9284, 7.9284) * CHOOSE(CONTROL!$C$21, $C$9, 100%, $E$9)</f>
        <v>7.9283999999999999</v>
      </c>
      <c r="P124" s="17">
        <f>CHOOSE(CONTROL!$C$42, 7.7036, 7.7036) * CHOOSE(CONTROL!$C$21, $C$9, 100%, $E$9)</f>
        <v>7.7035999999999998</v>
      </c>
      <c r="Q124" s="17">
        <f>CHOOSE(CONTROL!$C$42, 8.5231, 8.5231) * CHOOSE(CONTROL!$C$21, $C$9, 100%, $E$9)</f>
        <v>8.5230999999999995</v>
      </c>
      <c r="R124" s="17">
        <f>CHOOSE(CONTROL!$C$42, 9.1314, 9.1314) * CHOOSE(CONTROL!$C$21, $C$9, 100%, $E$9)</f>
        <v>9.1313999999999993</v>
      </c>
      <c r="S124" s="17">
        <f>CHOOSE(CONTROL!$C$42, 7.4758, 7.4758) * CHOOSE(CONTROL!$C$21, $C$9, 100%, $E$9)</f>
        <v>7.4757999999999996</v>
      </c>
      <c r="T12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24" s="56">
        <f>(1000*CHOOSE(CONTROL!$C$42, 695, 695)*CHOOSE(CONTROL!$C$42, 0.5599, 0.5599)*CHOOSE(CONTROL!$C$42, 30, 30))/1000000</f>
        <v>11.673914999999997</v>
      </c>
      <c r="V124" s="56">
        <f>(1000*CHOOSE(CONTROL!$C$42, 500, 500)*CHOOSE(CONTROL!$C$42, 0.275, 0.275)*CHOOSE(CONTROL!$C$42, 30, 30))/1000000</f>
        <v>4.125</v>
      </c>
      <c r="W124" s="56">
        <f>(1000*CHOOSE(CONTROL!$C$42, 0.0916, 0.0916)*CHOOSE(CONTROL!$C$42, 121.5, 121.5)*CHOOSE(CONTROL!$C$42, 30, 30))/1000000</f>
        <v>0.33388200000000001</v>
      </c>
      <c r="X124" s="56">
        <f>(30*0.1790888*145000/1000000)+(30*0.2374*100000/1000000)</f>
        <v>1.4912362799999999</v>
      </c>
      <c r="Y124" s="56"/>
      <c r="Z124" s="17"/>
      <c r="AA124" s="55"/>
      <c r="AB124" s="48">
        <f>(B124*141.293+C124*267.993+D124*115.016+E124*189.698+F124*40+G124*85+H124*0+I124*100+J124*300)/(141.293+267.993+115.016+189.698+0+40+85+100+300)</f>
        <v>7.7948884296206611</v>
      </c>
      <c r="AC124" s="45">
        <f>(M124*'RAP TEMPLATE-GAS AVAILABILITY'!O123+N124*'RAP TEMPLATE-GAS AVAILABILITY'!P123+O124*'RAP TEMPLATE-GAS AVAILABILITY'!Q123+P124*'RAP TEMPLATE-GAS AVAILABILITY'!R123)/('RAP TEMPLATE-GAS AVAILABILITY'!O123+'RAP TEMPLATE-GAS AVAILABILITY'!P123+'RAP TEMPLATE-GAS AVAILABILITY'!Q123+'RAP TEMPLATE-GAS AVAILABILITY'!R123)</f>
        <v>7.7462532374100714</v>
      </c>
    </row>
    <row r="125" spans="1:29" ht="15.75" x14ac:dyDescent="0.25">
      <c r="A125" s="16">
        <v>44682</v>
      </c>
      <c r="B125" s="17">
        <f>CHOOSE(CONTROL!$C$42, 7.8054, 7.8054) * CHOOSE(CONTROL!$C$21, $C$9, 100%, $E$9)</f>
        <v>7.8053999999999997</v>
      </c>
      <c r="C125" s="17">
        <f>CHOOSE(CONTROL!$C$42, 7.8134, 7.8134) * CHOOSE(CONTROL!$C$21, $C$9, 100%, $E$9)</f>
        <v>7.8133999999999997</v>
      </c>
      <c r="D125" s="17">
        <f>CHOOSE(CONTROL!$C$42, 8.0579, 8.0579) * CHOOSE(CONTROL!$C$21, $C$9, 100%, $E$9)</f>
        <v>8.0579000000000001</v>
      </c>
      <c r="E125" s="17">
        <f>CHOOSE(CONTROL!$C$42, 8.0891, 8.0891) * CHOOSE(CONTROL!$C$21, $C$9, 100%, $E$9)</f>
        <v>8.0891000000000002</v>
      </c>
      <c r="F125" s="17">
        <f>CHOOSE(CONTROL!$C$42, 7.816, 7.816)*CHOOSE(CONTROL!$C$21, $C$9, 100%, $E$9)</f>
        <v>7.8159999999999998</v>
      </c>
      <c r="G125" s="17">
        <f>CHOOSE(CONTROL!$C$42, 7.8322, 7.8322)*CHOOSE(CONTROL!$C$21, $C$9, 100%, $E$9)</f>
        <v>7.8322000000000003</v>
      </c>
      <c r="H125" s="17">
        <f>CHOOSE(CONTROL!$C$42, 8.0774, 8.0774) * CHOOSE(CONTROL!$C$21, $C$9, 100%, $E$9)</f>
        <v>8.0774000000000008</v>
      </c>
      <c r="I125" s="17">
        <f>CHOOSE(CONTROL!$C$42, 7.8509, 7.8509)* CHOOSE(CONTROL!$C$21, $C$9, 100%, $E$9)</f>
        <v>7.8509000000000002</v>
      </c>
      <c r="J125" s="17">
        <f>CHOOSE(CONTROL!$C$42, 7.8086, 7.8086)* CHOOSE(CONTROL!$C$21, $C$9, 100%, $E$9)</f>
        <v>7.8086000000000002</v>
      </c>
      <c r="K125" s="52">
        <f>CHOOSE(CONTROL!$C$42, 7.8449, 7.8449) * CHOOSE(CONTROL!$C$21, $C$9, 100%, $E$9)</f>
        <v>7.8449</v>
      </c>
      <c r="L125" s="17">
        <f>CHOOSE(CONTROL!$C$42, 8.6644, 8.6644) * CHOOSE(CONTROL!$C$21, $C$9, 100%, $E$9)</f>
        <v>8.6644000000000005</v>
      </c>
      <c r="M125" s="17">
        <f>CHOOSE(CONTROL!$C$42, 7.7453, 7.7453) * CHOOSE(CONTROL!$C$21, $C$9, 100%, $E$9)</f>
        <v>7.7453000000000003</v>
      </c>
      <c r="N125" s="17">
        <f>CHOOSE(CONTROL!$C$42, 7.7614, 7.7614) * CHOOSE(CONTROL!$C$21, $C$9, 100%, $E$9)</f>
        <v>7.7614000000000001</v>
      </c>
      <c r="O125" s="17">
        <f>CHOOSE(CONTROL!$C$42, 8.0117, 8.0117) * CHOOSE(CONTROL!$C$21, $C$9, 100%, $E$9)</f>
        <v>8.0116999999999994</v>
      </c>
      <c r="P125" s="17">
        <f>CHOOSE(CONTROL!$C$42, 7.7871, 7.7871) * CHOOSE(CONTROL!$C$21, $C$9, 100%, $E$9)</f>
        <v>7.7870999999999997</v>
      </c>
      <c r="Q125" s="17">
        <f>CHOOSE(CONTROL!$C$42, 8.6064, 8.6064) * CHOOSE(CONTROL!$C$21, $C$9, 100%, $E$9)</f>
        <v>8.6064000000000007</v>
      </c>
      <c r="R125" s="17">
        <f>CHOOSE(CONTROL!$C$42, 9.215, 9.215) * CHOOSE(CONTROL!$C$21, $C$9, 100%, $E$9)</f>
        <v>9.2149999999999999</v>
      </c>
      <c r="S125" s="17">
        <f>CHOOSE(CONTROL!$C$42, 7.5573, 7.5573) * CHOOSE(CONTROL!$C$21, $C$9, 100%, $E$9)</f>
        <v>7.5572999999999997</v>
      </c>
      <c r="T12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25" s="56">
        <f>(1000*CHOOSE(CONTROL!$C$42, 695, 695)*CHOOSE(CONTROL!$C$42, 0.5599, 0.5599)*CHOOSE(CONTROL!$C$42, 31, 31))/1000000</f>
        <v>12.063045499999998</v>
      </c>
      <c r="V125" s="56">
        <f>(1000*CHOOSE(CONTROL!$C$42, 500, 500)*CHOOSE(CONTROL!$C$42, 0.275, 0.275)*CHOOSE(CONTROL!$C$42, 31, 31))/1000000</f>
        <v>4.2625000000000002</v>
      </c>
      <c r="W125" s="56">
        <f>(1000*CHOOSE(CONTROL!$C$42, 0.0916, 0.0916)*CHOOSE(CONTROL!$C$42, 121.5, 121.5)*CHOOSE(CONTROL!$C$42, 31, 31))/1000000</f>
        <v>0.34501139999999997</v>
      </c>
      <c r="X125" s="56">
        <f>(31*0.1790888*145000/1000000)+(31*0.2374*100000/1000000)</f>
        <v>1.5409441560000001</v>
      </c>
      <c r="Y125" s="56"/>
      <c r="Z125" s="17"/>
      <c r="AA125" s="55"/>
      <c r="AB125" s="48">
        <f>(B125*194.205+C125*267.466+D125*133.845+E125*153.484+F125*40+G125*85+H125*0+I125*100+J125*300)/(194.205+267.466+133.845+153.484+0+40+85+100+300)</f>
        <v>7.8742312412087916</v>
      </c>
      <c r="AC125" s="45">
        <f>(M125*'RAP TEMPLATE-GAS AVAILABILITY'!O124+N125*'RAP TEMPLATE-GAS AVAILABILITY'!P124+O125*'RAP TEMPLATE-GAS AVAILABILITY'!Q124+P125*'RAP TEMPLATE-GAS AVAILABILITY'!R124)/('RAP TEMPLATE-GAS AVAILABILITY'!O124+'RAP TEMPLATE-GAS AVAILABILITY'!P124+'RAP TEMPLATE-GAS AVAILABILITY'!Q124+'RAP TEMPLATE-GAS AVAILABILITY'!R124)</f>
        <v>7.8297661870503594</v>
      </c>
    </row>
    <row r="126" spans="1:29" ht="15.75" x14ac:dyDescent="0.25">
      <c r="A126" s="16">
        <v>44713</v>
      </c>
      <c r="B126" s="17">
        <f>CHOOSE(CONTROL!$C$42, 8.043, 8.043) * CHOOSE(CONTROL!$C$21, $C$9, 100%, $E$9)</f>
        <v>8.0429999999999993</v>
      </c>
      <c r="C126" s="17">
        <f>CHOOSE(CONTROL!$C$42, 8.051, 8.051) * CHOOSE(CONTROL!$C$21, $C$9, 100%, $E$9)</f>
        <v>8.0510000000000002</v>
      </c>
      <c r="D126" s="17">
        <f>CHOOSE(CONTROL!$C$42, 8.2954, 8.2954) * CHOOSE(CONTROL!$C$21, $C$9, 100%, $E$9)</f>
        <v>8.2954000000000008</v>
      </c>
      <c r="E126" s="17">
        <f>CHOOSE(CONTROL!$C$42, 8.3266, 8.3266) * CHOOSE(CONTROL!$C$21, $C$9, 100%, $E$9)</f>
        <v>8.3265999999999991</v>
      </c>
      <c r="F126" s="17">
        <f>CHOOSE(CONTROL!$C$42, 8.0539, 8.0539)*CHOOSE(CONTROL!$C$21, $C$9, 100%, $E$9)</f>
        <v>8.0539000000000005</v>
      </c>
      <c r="G126" s="17">
        <f>CHOOSE(CONTROL!$C$42, 8.0702, 8.0702)*CHOOSE(CONTROL!$C$21, $C$9, 100%, $E$9)</f>
        <v>8.0701999999999998</v>
      </c>
      <c r="H126" s="17">
        <f>CHOOSE(CONTROL!$C$42, 8.3149, 8.3149) * CHOOSE(CONTROL!$C$21, $C$9, 100%, $E$9)</f>
        <v>8.3148999999999997</v>
      </c>
      <c r="I126" s="17">
        <f>CHOOSE(CONTROL!$C$42, 8.0892, 8.0892)* CHOOSE(CONTROL!$C$21, $C$9, 100%, $E$9)</f>
        <v>8.0891999999999999</v>
      </c>
      <c r="J126" s="17">
        <f>CHOOSE(CONTROL!$C$42, 8.0465, 8.0465)* CHOOSE(CONTROL!$C$21, $C$9, 100%, $E$9)</f>
        <v>8.0465</v>
      </c>
      <c r="K126" s="52">
        <f>CHOOSE(CONTROL!$C$42, 8.0832, 8.0832) * CHOOSE(CONTROL!$C$21, $C$9, 100%, $E$9)</f>
        <v>8.0831999999999997</v>
      </c>
      <c r="L126" s="17">
        <f>CHOOSE(CONTROL!$C$42, 8.9019, 8.9019) * CHOOSE(CONTROL!$C$21, $C$9, 100%, $E$9)</f>
        <v>8.9018999999999995</v>
      </c>
      <c r="M126" s="17">
        <f>CHOOSE(CONTROL!$C$42, 7.9811, 7.9811) * CHOOSE(CONTROL!$C$21, $C$9, 100%, $E$9)</f>
        <v>7.9810999999999996</v>
      </c>
      <c r="N126" s="17">
        <f>CHOOSE(CONTROL!$C$42, 7.9973, 7.9973) * CHOOSE(CONTROL!$C$21, $C$9, 100%, $E$9)</f>
        <v>7.9973000000000001</v>
      </c>
      <c r="O126" s="17">
        <f>CHOOSE(CONTROL!$C$42, 8.2472, 8.2472) * CHOOSE(CONTROL!$C$21, $C$9, 100%, $E$9)</f>
        <v>8.2471999999999994</v>
      </c>
      <c r="P126" s="17">
        <f>CHOOSE(CONTROL!$C$42, 8.0233, 8.0233) * CHOOSE(CONTROL!$C$21, $C$9, 100%, $E$9)</f>
        <v>8.0233000000000008</v>
      </c>
      <c r="Q126" s="17">
        <f>CHOOSE(CONTROL!$C$42, 8.8419, 8.8419) * CHOOSE(CONTROL!$C$21, $C$9, 100%, $E$9)</f>
        <v>8.8419000000000008</v>
      </c>
      <c r="R126" s="17">
        <f>CHOOSE(CONTROL!$C$42, 9.451, 9.451) * CHOOSE(CONTROL!$C$21, $C$9, 100%, $E$9)</f>
        <v>9.4510000000000005</v>
      </c>
      <c r="S126" s="17">
        <f>CHOOSE(CONTROL!$C$42, 7.7877, 7.7877) * CHOOSE(CONTROL!$C$21, $C$9, 100%, $E$9)</f>
        <v>7.7877000000000001</v>
      </c>
      <c r="T12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26" s="56">
        <f>(1000*CHOOSE(CONTROL!$C$42, 695, 695)*CHOOSE(CONTROL!$C$42, 0.5599, 0.5599)*CHOOSE(CONTROL!$C$42, 30, 30))/1000000</f>
        <v>11.673914999999997</v>
      </c>
      <c r="V126" s="56">
        <f>(1000*CHOOSE(CONTROL!$C$42, 500, 500)*CHOOSE(CONTROL!$C$42, 0.275, 0.275)*CHOOSE(CONTROL!$C$42, 30, 30))/1000000</f>
        <v>4.125</v>
      </c>
      <c r="W126" s="56">
        <f>(1000*CHOOSE(CONTROL!$C$42, 0.0916, 0.0916)*CHOOSE(CONTROL!$C$42, 121.5, 121.5)*CHOOSE(CONTROL!$C$42, 30, 30))/1000000</f>
        <v>0.33388200000000001</v>
      </c>
      <c r="X126" s="56">
        <f>(30*0.1790888*145000/1000000)+(30*0.2374*100000/1000000)</f>
        <v>1.4912362799999999</v>
      </c>
      <c r="Y126" s="56"/>
      <c r="Z126" s="17"/>
      <c r="AA126" s="55"/>
      <c r="AB126" s="48">
        <f>(B126*194.205+C126*267.466+D126*133.845+E126*153.484+F126*40+G126*85+H126*0+I126*100+J126*300)/(194.205+267.466+133.845+153.484+0+40+85+100+300)</f>
        <v>8.1119703833594983</v>
      </c>
      <c r="AC126" s="45">
        <f>(M126*'RAP TEMPLATE-GAS AVAILABILITY'!O125+N126*'RAP TEMPLATE-GAS AVAILABILITY'!P125+O126*'RAP TEMPLATE-GAS AVAILABILITY'!Q125+P126*'RAP TEMPLATE-GAS AVAILABILITY'!R125)/('RAP TEMPLATE-GAS AVAILABILITY'!O125+'RAP TEMPLATE-GAS AVAILABILITY'!P125+'RAP TEMPLATE-GAS AVAILABILITY'!Q125+'RAP TEMPLATE-GAS AVAILABILITY'!R125)</f>
        <v>8.0655625899280565</v>
      </c>
    </row>
    <row r="127" spans="1:29" ht="15.75" x14ac:dyDescent="0.25">
      <c r="A127" s="16">
        <v>44743</v>
      </c>
      <c r="B127" s="17">
        <f>CHOOSE(CONTROL!$C$42, 7.9051, 7.9051) * CHOOSE(CONTROL!$C$21, $C$9, 100%, $E$9)</f>
        <v>7.9051</v>
      </c>
      <c r="C127" s="17">
        <f>CHOOSE(CONTROL!$C$42, 7.9131, 7.9131) * CHOOSE(CONTROL!$C$21, $C$9, 100%, $E$9)</f>
        <v>7.9131</v>
      </c>
      <c r="D127" s="17">
        <f>CHOOSE(CONTROL!$C$42, 8.1576, 8.1576) * CHOOSE(CONTROL!$C$21, $C$9, 100%, $E$9)</f>
        <v>8.1576000000000004</v>
      </c>
      <c r="E127" s="17">
        <f>CHOOSE(CONTROL!$C$42, 8.1888, 8.1888) * CHOOSE(CONTROL!$C$21, $C$9, 100%, $E$9)</f>
        <v>8.1888000000000005</v>
      </c>
      <c r="F127" s="17">
        <f>CHOOSE(CONTROL!$C$42, 7.9165, 7.9165)*CHOOSE(CONTROL!$C$21, $C$9, 100%, $E$9)</f>
        <v>7.9165000000000001</v>
      </c>
      <c r="G127" s="17">
        <f>CHOOSE(CONTROL!$C$42, 7.9329, 7.9329)*CHOOSE(CONTROL!$C$21, $C$9, 100%, $E$9)</f>
        <v>7.9329000000000001</v>
      </c>
      <c r="H127" s="17">
        <f>CHOOSE(CONTROL!$C$42, 8.1771, 8.1771) * CHOOSE(CONTROL!$C$21, $C$9, 100%, $E$9)</f>
        <v>8.1770999999999994</v>
      </c>
      <c r="I127" s="17">
        <f>CHOOSE(CONTROL!$C$42, 7.9509, 7.9509)* CHOOSE(CONTROL!$C$21, $C$9, 100%, $E$9)</f>
        <v>7.9508999999999999</v>
      </c>
      <c r="J127" s="17">
        <f>CHOOSE(CONTROL!$C$42, 7.9091, 7.9091)* CHOOSE(CONTROL!$C$21, $C$9, 100%, $E$9)</f>
        <v>7.9090999999999996</v>
      </c>
      <c r="K127" s="52">
        <f>CHOOSE(CONTROL!$C$42, 7.9449, 7.9449) * CHOOSE(CONTROL!$C$21, $C$9, 100%, $E$9)</f>
        <v>7.9448999999999996</v>
      </c>
      <c r="L127" s="17">
        <f>CHOOSE(CONTROL!$C$42, 8.7641, 8.7641) * CHOOSE(CONTROL!$C$21, $C$9, 100%, $E$9)</f>
        <v>8.7640999999999991</v>
      </c>
      <c r="M127" s="17">
        <f>CHOOSE(CONTROL!$C$42, 7.8449, 7.8449) * CHOOSE(CONTROL!$C$21, $C$9, 100%, $E$9)</f>
        <v>7.8449</v>
      </c>
      <c r="N127" s="17">
        <f>CHOOSE(CONTROL!$C$42, 7.8612, 7.8612) * CHOOSE(CONTROL!$C$21, $C$9, 100%, $E$9)</f>
        <v>7.8612000000000002</v>
      </c>
      <c r="O127" s="17">
        <f>CHOOSE(CONTROL!$C$42, 8.1106, 8.1106) * CHOOSE(CONTROL!$C$21, $C$9, 100%, $E$9)</f>
        <v>8.1105999999999998</v>
      </c>
      <c r="P127" s="17">
        <f>CHOOSE(CONTROL!$C$42, 7.8863, 7.8863) * CHOOSE(CONTROL!$C$21, $C$9, 100%, $E$9)</f>
        <v>7.8863000000000003</v>
      </c>
      <c r="Q127" s="17">
        <f>CHOOSE(CONTROL!$C$42, 8.7053, 8.7053) * CHOOSE(CONTROL!$C$21, $C$9, 100%, $E$9)</f>
        <v>8.7052999999999994</v>
      </c>
      <c r="R127" s="17">
        <f>CHOOSE(CONTROL!$C$42, 9.314, 9.314) * CHOOSE(CONTROL!$C$21, $C$9, 100%, $E$9)</f>
        <v>9.3140000000000001</v>
      </c>
      <c r="S127" s="17">
        <f>CHOOSE(CONTROL!$C$42, 7.654, 7.654) * CHOOSE(CONTROL!$C$21, $C$9, 100%, $E$9)</f>
        <v>7.6539999999999999</v>
      </c>
      <c r="T12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27" s="56">
        <f>(1000*CHOOSE(CONTROL!$C$42, 695, 695)*CHOOSE(CONTROL!$C$42, 0.5599, 0.5599)*CHOOSE(CONTROL!$C$42, 31, 31))/1000000</f>
        <v>12.063045499999998</v>
      </c>
      <c r="V127" s="56">
        <f>(1000*CHOOSE(CONTROL!$C$42, 500, 500)*CHOOSE(CONTROL!$C$42, 0.275, 0.275)*CHOOSE(CONTROL!$C$42, 31, 31))/1000000</f>
        <v>4.2625000000000002</v>
      </c>
      <c r="W127" s="56">
        <f>(1000*CHOOSE(CONTROL!$C$42, 0.0916, 0.0916)*CHOOSE(CONTROL!$C$42, 121.5, 121.5)*CHOOSE(CONTROL!$C$42, 31, 31))/1000000</f>
        <v>0.34501139999999997</v>
      </c>
      <c r="X127" s="56">
        <f>(31*0.1790888*145000/1000000)+(31*0.2374*100000/1000000)</f>
        <v>1.5409441560000001</v>
      </c>
      <c r="Y127" s="56"/>
      <c r="Z127" s="17"/>
      <c r="AA127" s="55"/>
      <c r="AB127" s="48">
        <f>(B127*194.205+C127*267.466+D127*133.845+E127*153.484+F127*40+G127*85+H127*0+I127*100+J127*300)/(194.205+267.466+133.845+153.484+0+40+85+100+300)</f>
        <v>7.9742350088697025</v>
      </c>
      <c r="AC127" s="45">
        <f>(M127*'RAP TEMPLATE-GAS AVAILABILITY'!O126+N127*'RAP TEMPLATE-GAS AVAILABILITY'!P126+O127*'RAP TEMPLATE-GAS AVAILABILITY'!Q126+P127*'RAP TEMPLATE-GAS AVAILABILITY'!R126)/('RAP TEMPLATE-GAS AVAILABILITY'!O126+'RAP TEMPLATE-GAS AVAILABILITY'!P126+'RAP TEMPLATE-GAS AVAILABILITY'!Q126+'RAP TEMPLATE-GAS AVAILABILITY'!R126)</f>
        <v>7.9291582733812955</v>
      </c>
    </row>
    <row r="128" spans="1:29" ht="15.75" x14ac:dyDescent="0.25">
      <c r="A128" s="16">
        <v>44774</v>
      </c>
      <c r="B128" s="17">
        <f>CHOOSE(CONTROL!$C$42, 7.5308, 7.5308) * CHOOSE(CONTROL!$C$21, $C$9, 100%, $E$9)</f>
        <v>7.5308000000000002</v>
      </c>
      <c r="C128" s="17">
        <f>CHOOSE(CONTROL!$C$42, 7.5387, 7.5387) * CHOOSE(CONTROL!$C$21, $C$9, 100%, $E$9)</f>
        <v>7.5387000000000004</v>
      </c>
      <c r="D128" s="17">
        <f>CHOOSE(CONTROL!$C$42, 7.7832, 7.7832) * CHOOSE(CONTROL!$C$21, $C$9, 100%, $E$9)</f>
        <v>7.7831999999999999</v>
      </c>
      <c r="E128" s="17">
        <f>CHOOSE(CONTROL!$C$42, 7.8144, 7.8144) * CHOOSE(CONTROL!$C$21, $C$9, 100%, $E$9)</f>
        <v>7.8144</v>
      </c>
      <c r="F128" s="17">
        <f>CHOOSE(CONTROL!$C$42, 7.5423, 7.5423)*CHOOSE(CONTROL!$C$21, $C$9, 100%, $E$9)</f>
        <v>7.5423</v>
      </c>
      <c r="G128" s="17">
        <f>CHOOSE(CONTROL!$C$42, 7.5588, 7.5588)*CHOOSE(CONTROL!$C$21, $C$9, 100%, $E$9)</f>
        <v>7.5587999999999997</v>
      </c>
      <c r="H128" s="17">
        <f>CHOOSE(CONTROL!$C$42, 7.8027, 7.8027) * CHOOSE(CONTROL!$C$21, $C$9, 100%, $E$9)</f>
        <v>7.8026999999999997</v>
      </c>
      <c r="I128" s="17">
        <f>CHOOSE(CONTROL!$C$42, 7.5754, 7.5754)* CHOOSE(CONTROL!$C$21, $C$9, 100%, $E$9)</f>
        <v>7.5754000000000001</v>
      </c>
      <c r="J128" s="17">
        <f>CHOOSE(CONTROL!$C$42, 7.5349, 7.5349)* CHOOSE(CONTROL!$C$21, $C$9, 100%, $E$9)</f>
        <v>7.5349000000000004</v>
      </c>
      <c r="K128" s="52">
        <f>CHOOSE(CONTROL!$C$42, 7.5693, 7.5693) * CHOOSE(CONTROL!$C$21, $C$9, 100%, $E$9)</f>
        <v>7.5693000000000001</v>
      </c>
      <c r="L128" s="17">
        <f>CHOOSE(CONTROL!$C$42, 8.3897, 8.3897) * CHOOSE(CONTROL!$C$21, $C$9, 100%, $E$9)</f>
        <v>8.3896999999999995</v>
      </c>
      <c r="M128" s="17">
        <f>CHOOSE(CONTROL!$C$42, 7.4742, 7.4742) * CHOOSE(CONTROL!$C$21, $C$9, 100%, $E$9)</f>
        <v>7.4741999999999997</v>
      </c>
      <c r="N128" s="17">
        <f>CHOOSE(CONTROL!$C$42, 7.4905, 7.4905) * CHOOSE(CONTROL!$C$21, $C$9, 100%, $E$9)</f>
        <v>7.4904999999999999</v>
      </c>
      <c r="O128" s="17">
        <f>CHOOSE(CONTROL!$C$42, 7.7395, 7.7395) * CHOOSE(CONTROL!$C$21, $C$9, 100%, $E$9)</f>
        <v>7.7394999999999996</v>
      </c>
      <c r="P128" s="17">
        <f>CHOOSE(CONTROL!$C$42, 7.5141, 7.5141) * CHOOSE(CONTROL!$C$21, $C$9, 100%, $E$9)</f>
        <v>7.5141</v>
      </c>
      <c r="Q128" s="17">
        <f>CHOOSE(CONTROL!$C$42, 8.3342, 8.3342) * CHOOSE(CONTROL!$C$21, $C$9, 100%, $E$9)</f>
        <v>8.3341999999999992</v>
      </c>
      <c r="R128" s="17">
        <f>CHOOSE(CONTROL!$C$42, 8.9421, 8.9421) * CHOOSE(CONTROL!$C$21, $C$9, 100%, $E$9)</f>
        <v>8.9420999999999999</v>
      </c>
      <c r="S128" s="17">
        <f>CHOOSE(CONTROL!$C$42, 7.291, 7.291) * CHOOSE(CONTROL!$C$21, $C$9, 100%, $E$9)</f>
        <v>7.2910000000000004</v>
      </c>
      <c r="T12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28" s="56">
        <f>(1000*CHOOSE(CONTROL!$C$42, 695, 695)*CHOOSE(CONTROL!$C$42, 0.5599, 0.5599)*CHOOSE(CONTROL!$C$42, 31, 31))/1000000</f>
        <v>12.063045499999998</v>
      </c>
      <c r="V128" s="56">
        <f>(1000*CHOOSE(CONTROL!$C$42, 500, 500)*CHOOSE(CONTROL!$C$42, 0.275, 0.275)*CHOOSE(CONTROL!$C$42, 31, 31))/1000000</f>
        <v>4.2625000000000002</v>
      </c>
      <c r="W128" s="56">
        <f>(1000*CHOOSE(CONTROL!$C$42, 0.0916, 0.0916)*CHOOSE(CONTROL!$C$42, 121.5, 121.5)*CHOOSE(CONTROL!$C$42, 31, 31))/1000000</f>
        <v>0.34501139999999997</v>
      </c>
      <c r="X128" s="56">
        <f>(31*0.1790888*145000/1000000)+(31*0.2374*100000/1000000)</f>
        <v>1.5409441560000001</v>
      </c>
      <c r="Y128" s="56"/>
      <c r="Z128" s="17"/>
      <c r="AA128" s="55"/>
      <c r="AB128" s="48">
        <f>(B128*194.205+C128*267.466+D128*133.845+E128*153.484+F128*40+G128*85+H128*0+I128*100+J128*300)/(194.205+267.466+133.845+153.484+0+40+85+100+300)</f>
        <v>7.5998373012558886</v>
      </c>
      <c r="AC128" s="45">
        <f>(M128*'RAP TEMPLATE-GAS AVAILABILITY'!O127+N128*'RAP TEMPLATE-GAS AVAILABILITY'!P127+O128*'RAP TEMPLATE-GAS AVAILABILITY'!Q127+P128*'RAP TEMPLATE-GAS AVAILABILITY'!R127)/('RAP TEMPLATE-GAS AVAILABILITY'!O127+'RAP TEMPLATE-GAS AVAILABILITY'!P127+'RAP TEMPLATE-GAS AVAILABILITY'!Q127+'RAP TEMPLATE-GAS AVAILABILITY'!R127)</f>
        <v>7.5581302158273376</v>
      </c>
    </row>
    <row r="129" spans="1:29" ht="15.75" x14ac:dyDescent="0.25">
      <c r="A129" s="16">
        <v>44805</v>
      </c>
      <c r="B129" s="17">
        <f>CHOOSE(CONTROL!$C$42, 7.0677, 7.0677) * CHOOSE(CONTROL!$C$21, $C$9, 100%, $E$9)</f>
        <v>7.0677000000000003</v>
      </c>
      <c r="C129" s="17">
        <f>CHOOSE(CONTROL!$C$42, 7.0757, 7.0757) * CHOOSE(CONTROL!$C$21, $C$9, 100%, $E$9)</f>
        <v>7.0757000000000003</v>
      </c>
      <c r="D129" s="17">
        <f>CHOOSE(CONTROL!$C$42, 7.3202, 7.3202) * CHOOSE(CONTROL!$C$21, $C$9, 100%, $E$9)</f>
        <v>7.3201999999999998</v>
      </c>
      <c r="E129" s="17">
        <f>CHOOSE(CONTROL!$C$42, 7.3514, 7.3514) * CHOOSE(CONTROL!$C$21, $C$9, 100%, $E$9)</f>
        <v>7.3513999999999999</v>
      </c>
      <c r="F129" s="17">
        <f>CHOOSE(CONTROL!$C$42, 7.0794, 7.0794)*CHOOSE(CONTROL!$C$21, $C$9, 100%, $E$9)</f>
        <v>7.0793999999999997</v>
      </c>
      <c r="G129" s="17">
        <f>CHOOSE(CONTROL!$C$42, 7.0959, 7.0959)*CHOOSE(CONTROL!$C$21, $C$9, 100%, $E$9)</f>
        <v>7.0959000000000003</v>
      </c>
      <c r="H129" s="17">
        <f>CHOOSE(CONTROL!$C$42, 7.3397, 7.3397) * CHOOSE(CONTROL!$C$21, $C$9, 100%, $E$9)</f>
        <v>7.3396999999999997</v>
      </c>
      <c r="I129" s="17">
        <f>CHOOSE(CONTROL!$C$42, 7.1109, 7.1109)* CHOOSE(CONTROL!$C$21, $C$9, 100%, $E$9)</f>
        <v>7.1109</v>
      </c>
      <c r="J129" s="17">
        <f>CHOOSE(CONTROL!$C$42, 7.072, 7.072)* CHOOSE(CONTROL!$C$21, $C$9, 100%, $E$9)</f>
        <v>7.0720000000000001</v>
      </c>
      <c r="K129" s="52">
        <f>CHOOSE(CONTROL!$C$42, 7.1049, 7.1049) * CHOOSE(CONTROL!$C$21, $C$9, 100%, $E$9)</f>
        <v>7.1048999999999998</v>
      </c>
      <c r="L129" s="17">
        <f>CHOOSE(CONTROL!$C$42, 7.9267, 7.9267) * CHOOSE(CONTROL!$C$21, $C$9, 100%, $E$9)</f>
        <v>7.9267000000000003</v>
      </c>
      <c r="M129" s="17">
        <f>CHOOSE(CONTROL!$C$42, 7.0154, 7.0154) * CHOOSE(CONTROL!$C$21, $C$9, 100%, $E$9)</f>
        <v>7.0153999999999996</v>
      </c>
      <c r="N129" s="17">
        <f>CHOOSE(CONTROL!$C$42, 7.0317, 7.0317) * CHOOSE(CONTROL!$C$21, $C$9, 100%, $E$9)</f>
        <v>7.0316999999999998</v>
      </c>
      <c r="O129" s="17">
        <f>CHOOSE(CONTROL!$C$42, 7.2807, 7.2807) * CHOOSE(CONTROL!$C$21, $C$9, 100%, $E$9)</f>
        <v>7.2807000000000004</v>
      </c>
      <c r="P129" s="17">
        <f>CHOOSE(CONTROL!$C$42, 7.0538, 7.0538) * CHOOSE(CONTROL!$C$21, $C$9, 100%, $E$9)</f>
        <v>7.0537999999999998</v>
      </c>
      <c r="Q129" s="17">
        <f>CHOOSE(CONTROL!$C$42, 7.8754, 7.8754) * CHOOSE(CONTROL!$C$21, $C$9, 100%, $E$9)</f>
        <v>7.8754</v>
      </c>
      <c r="R129" s="17">
        <f>CHOOSE(CONTROL!$C$42, 8.4821, 8.4821) * CHOOSE(CONTROL!$C$21, $C$9, 100%, $E$9)</f>
        <v>8.4821000000000009</v>
      </c>
      <c r="S129" s="17">
        <f>CHOOSE(CONTROL!$C$42, 6.842, 6.842) * CHOOSE(CONTROL!$C$21, $C$9, 100%, $E$9)</f>
        <v>6.8419999999999996</v>
      </c>
      <c r="T12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29" s="56">
        <f>(1000*CHOOSE(CONTROL!$C$42, 695, 695)*CHOOSE(CONTROL!$C$42, 0.5599, 0.5599)*CHOOSE(CONTROL!$C$42, 30, 30))/1000000</f>
        <v>11.673914999999997</v>
      </c>
      <c r="V129" s="56">
        <f>(1000*CHOOSE(CONTROL!$C$42, 500, 500)*CHOOSE(CONTROL!$C$42, 0.275, 0.275)*CHOOSE(CONTROL!$C$42, 30, 30))/1000000</f>
        <v>4.125</v>
      </c>
      <c r="W129" s="56">
        <f>(1000*CHOOSE(CONTROL!$C$42, 0.0916, 0.0916)*CHOOSE(CONTROL!$C$42, 121.5, 121.5)*CHOOSE(CONTROL!$C$42, 30, 30))/1000000</f>
        <v>0.33388200000000001</v>
      </c>
      <c r="X129" s="56">
        <f>(30*0.1790888*145000/1000000)+(30*0.2374*100000/1000000)</f>
        <v>1.4912362799999999</v>
      </c>
      <c r="Y129" s="56"/>
      <c r="Z129" s="17"/>
      <c r="AA129" s="55"/>
      <c r="AB129" s="48">
        <f>(B129*194.205+C129*267.466+D129*133.845+E129*153.484+F129*40+G129*85+H129*0+I129*100+J129*300)/(194.205+267.466+133.845+153.484+0+40+85+100+300)</f>
        <v>7.1367376776295135</v>
      </c>
      <c r="AC129" s="45">
        <f>(M129*'RAP TEMPLATE-GAS AVAILABILITY'!O128+N129*'RAP TEMPLATE-GAS AVAILABILITY'!P128+O129*'RAP TEMPLATE-GAS AVAILABILITY'!Q128+P129*'RAP TEMPLATE-GAS AVAILABILITY'!R128)/('RAP TEMPLATE-GAS AVAILABILITY'!O128+'RAP TEMPLATE-GAS AVAILABILITY'!P128+'RAP TEMPLATE-GAS AVAILABILITY'!Q128+'RAP TEMPLATE-GAS AVAILABILITY'!R128)</f>
        <v>7.0991143884892089</v>
      </c>
    </row>
    <row r="130" spans="1:29" ht="15.75" x14ac:dyDescent="0.25">
      <c r="A130" s="16">
        <v>44835</v>
      </c>
      <c r="B130" s="17">
        <f>CHOOSE(CONTROL!$C$42, 6.937, 6.937) * CHOOSE(CONTROL!$C$21, $C$9, 100%, $E$9)</f>
        <v>6.9370000000000003</v>
      </c>
      <c r="C130" s="17">
        <f>CHOOSE(CONTROL!$C$42, 6.9423, 6.9423) * CHOOSE(CONTROL!$C$21, $C$9, 100%, $E$9)</f>
        <v>6.9423000000000004</v>
      </c>
      <c r="D130" s="17">
        <f>CHOOSE(CONTROL!$C$42, 7.1917, 7.1917) * CHOOSE(CONTROL!$C$21, $C$9, 100%, $E$9)</f>
        <v>7.1917</v>
      </c>
      <c r="E130" s="17">
        <f>CHOOSE(CONTROL!$C$42, 7.2206, 7.2206) * CHOOSE(CONTROL!$C$21, $C$9, 100%, $E$9)</f>
        <v>7.2206000000000001</v>
      </c>
      <c r="F130" s="17">
        <f>CHOOSE(CONTROL!$C$42, 6.9508, 6.9508)*CHOOSE(CONTROL!$C$21, $C$9, 100%, $E$9)</f>
        <v>6.9508000000000001</v>
      </c>
      <c r="G130" s="17">
        <f>CHOOSE(CONTROL!$C$42, 6.9672, 6.9672)*CHOOSE(CONTROL!$C$21, $C$9, 100%, $E$9)</f>
        <v>6.9672000000000001</v>
      </c>
      <c r="H130" s="17">
        <f>CHOOSE(CONTROL!$C$42, 7.2107, 7.2107) * CHOOSE(CONTROL!$C$21, $C$9, 100%, $E$9)</f>
        <v>7.2107000000000001</v>
      </c>
      <c r="I130" s="17">
        <f>CHOOSE(CONTROL!$C$42, 6.9815, 6.9815)* CHOOSE(CONTROL!$C$21, $C$9, 100%, $E$9)</f>
        <v>6.9814999999999996</v>
      </c>
      <c r="J130" s="17">
        <f>CHOOSE(CONTROL!$C$42, 6.9434, 6.9434)* CHOOSE(CONTROL!$C$21, $C$9, 100%, $E$9)</f>
        <v>6.9433999999999996</v>
      </c>
      <c r="K130" s="52">
        <f>CHOOSE(CONTROL!$C$42, 6.9755, 6.9755) * CHOOSE(CONTROL!$C$21, $C$9, 100%, $E$9)</f>
        <v>6.9755000000000003</v>
      </c>
      <c r="L130" s="17">
        <f>CHOOSE(CONTROL!$C$42, 7.7977, 7.7977) * CHOOSE(CONTROL!$C$21, $C$9, 100%, $E$9)</f>
        <v>7.7976999999999999</v>
      </c>
      <c r="M130" s="17">
        <f>CHOOSE(CONTROL!$C$42, 6.888, 6.888) * CHOOSE(CONTROL!$C$21, $C$9, 100%, $E$9)</f>
        <v>6.8879999999999999</v>
      </c>
      <c r="N130" s="17">
        <f>CHOOSE(CONTROL!$C$42, 6.9042, 6.9042) * CHOOSE(CONTROL!$C$21, $C$9, 100%, $E$9)</f>
        <v>6.9042000000000003</v>
      </c>
      <c r="O130" s="17">
        <f>CHOOSE(CONTROL!$C$42, 7.1528, 7.1528) * CHOOSE(CONTROL!$C$21, $C$9, 100%, $E$9)</f>
        <v>7.1528</v>
      </c>
      <c r="P130" s="17">
        <f>CHOOSE(CONTROL!$C$42, 6.9256, 6.9256) * CHOOSE(CONTROL!$C$21, $C$9, 100%, $E$9)</f>
        <v>6.9256000000000002</v>
      </c>
      <c r="Q130" s="17">
        <f>CHOOSE(CONTROL!$C$42, 7.7475, 7.7475) * CHOOSE(CONTROL!$C$21, $C$9, 100%, $E$9)</f>
        <v>7.7474999999999996</v>
      </c>
      <c r="R130" s="17">
        <f>CHOOSE(CONTROL!$C$42, 8.3539, 8.3539) * CHOOSE(CONTROL!$C$21, $C$9, 100%, $E$9)</f>
        <v>8.3538999999999994</v>
      </c>
      <c r="S130" s="17">
        <f>CHOOSE(CONTROL!$C$42, 6.7169, 6.7169) * CHOOSE(CONTROL!$C$21, $C$9, 100%, $E$9)</f>
        <v>6.7168999999999999</v>
      </c>
      <c r="T13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30" s="56">
        <f>(1000*CHOOSE(CONTROL!$C$42, 695, 695)*CHOOSE(CONTROL!$C$42, 0.5599, 0.5599)*CHOOSE(CONTROL!$C$42, 31, 31))/1000000</f>
        <v>12.063045499999998</v>
      </c>
      <c r="V130" s="56">
        <f>(1000*CHOOSE(CONTROL!$C$42, 500, 500)*CHOOSE(CONTROL!$C$42, 0.275, 0.275)*CHOOSE(CONTROL!$C$42, 31, 31))/1000000</f>
        <v>4.2625000000000002</v>
      </c>
      <c r="W130" s="56">
        <f>(1000*CHOOSE(CONTROL!$C$42, 0.0916, 0.0916)*CHOOSE(CONTROL!$C$42, 121.5, 121.5)*CHOOSE(CONTROL!$C$42, 31, 31))/1000000</f>
        <v>0.34501139999999997</v>
      </c>
      <c r="X130" s="56">
        <f>(31*0.1790888*145000/1000000)+(31*0.2374*100000/1000000)</f>
        <v>1.5409441560000001</v>
      </c>
      <c r="Y130" s="56"/>
      <c r="Z130" s="17"/>
      <c r="AA130" s="55"/>
      <c r="AB130" s="48">
        <f>(B130*131.881+C130*277.167+D130*79.08+E130*225.872+F130*40+G130*85+H130*0+I130*100+J130*300)/(131.881+277.167+79.08+225.872+0+40+85+100+300)</f>
        <v>7.0138014207425341</v>
      </c>
      <c r="AC130" s="45">
        <f>(M130*'RAP TEMPLATE-GAS AVAILABILITY'!O129+N130*'RAP TEMPLATE-GAS AVAILABILITY'!P129+O130*'RAP TEMPLATE-GAS AVAILABILITY'!Q129+P130*'RAP TEMPLATE-GAS AVAILABILITY'!R129)/('RAP TEMPLATE-GAS AVAILABILITY'!O129+'RAP TEMPLATE-GAS AVAILABILITY'!P129+'RAP TEMPLATE-GAS AVAILABILITY'!Q129+'RAP TEMPLATE-GAS AVAILABILITY'!R129)</f>
        <v>6.9714359712230216</v>
      </c>
    </row>
    <row r="131" spans="1:29" ht="15.75" x14ac:dyDescent="0.25">
      <c r="A131" s="16">
        <v>44866</v>
      </c>
      <c r="B131" s="17">
        <f>CHOOSE(CONTROL!$C$42, 7.1337, 7.1337) * CHOOSE(CONTROL!$C$21, $C$9, 100%, $E$9)</f>
        <v>7.1337000000000002</v>
      </c>
      <c r="C131" s="17">
        <f>CHOOSE(CONTROL!$C$42, 7.1388, 7.1388) * CHOOSE(CONTROL!$C$21, $C$9, 100%, $E$9)</f>
        <v>7.1387999999999998</v>
      </c>
      <c r="D131" s="17">
        <f>CHOOSE(CONTROL!$C$42, 7.2202, 7.2202) * CHOOSE(CONTROL!$C$21, $C$9, 100%, $E$9)</f>
        <v>7.2202000000000002</v>
      </c>
      <c r="E131" s="17">
        <f>CHOOSE(CONTROL!$C$42, 7.2539, 7.2539) * CHOOSE(CONTROL!$C$21, $C$9, 100%, $E$9)</f>
        <v>7.2538999999999998</v>
      </c>
      <c r="F131" s="17">
        <f>CHOOSE(CONTROL!$C$42, 7.1517, 7.1517)*CHOOSE(CONTROL!$C$21, $C$9, 100%, $E$9)</f>
        <v>7.1516999999999999</v>
      </c>
      <c r="G131" s="17">
        <f>CHOOSE(CONTROL!$C$42, 7.1684, 7.1684)*CHOOSE(CONTROL!$C$21, $C$9, 100%, $E$9)</f>
        <v>7.1684000000000001</v>
      </c>
      <c r="H131" s="17">
        <f>CHOOSE(CONTROL!$C$42, 7.2428, 7.2428) * CHOOSE(CONTROL!$C$21, $C$9, 100%, $E$9)</f>
        <v>7.2427999999999999</v>
      </c>
      <c r="I131" s="17">
        <f>CHOOSE(CONTROL!$C$42, 7.1808, 7.1808)* CHOOSE(CONTROL!$C$21, $C$9, 100%, $E$9)</f>
        <v>7.1807999999999996</v>
      </c>
      <c r="J131" s="17">
        <f>CHOOSE(CONTROL!$C$42, 7.1443, 7.1443)* CHOOSE(CONTROL!$C$21, $C$9, 100%, $E$9)</f>
        <v>7.1443000000000003</v>
      </c>
      <c r="K131" s="52">
        <f>CHOOSE(CONTROL!$C$42, 7.1748, 7.1748) * CHOOSE(CONTROL!$C$21, $C$9, 100%, $E$9)</f>
        <v>7.1748000000000003</v>
      </c>
      <c r="L131" s="17">
        <f>CHOOSE(CONTROL!$C$42, 7.8298, 7.8298) * CHOOSE(CONTROL!$C$21, $C$9, 100%, $E$9)</f>
        <v>7.8297999999999996</v>
      </c>
      <c r="M131" s="17">
        <f>CHOOSE(CONTROL!$C$42, 7.087, 7.087) * CHOOSE(CONTROL!$C$21, $C$9, 100%, $E$9)</f>
        <v>7.0869999999999997</v>
      </c>
      <c r="N131" s="17">
        <f>CHOOSE(CONTROL!$C$42, 7.1036, 7.1036) * CHOOSE(CONTROL!$C$21, $C$9, 100%, $E$9)</f>
        <v>7.1036000000000001</v>
      </c>
      <c r="O131" s="17">
        <f>CHOOSE(CONTROL!$C$42, 7.1847, 7.1847) * CHOOSE(CONTROL!$C$21, $C$9, 100%, $E$9)</f>
        <v>7.1847000000000003</v>
      </c>
      <c r="P131" s="17">
        <f>CHOOSE(CONTROL!$C$42, 7.1231, 7.1231) * CHOOSE(CONTROL!$C$21, $C$9, 100%, $E$9)</f>
        <v>7.1231</v>
      </c>
      <c r="Q131" s="17">
        <f>CHOOSE(CONTROL!$C$42, 7.7794, 7.7794) * CHOOSE(CONTROL!$C$21, $C$9, 100%, $E$9)</f>
        <v>7.7793999999999999</v>
      </c>
      <c r="R131" s="17">
        <f>CHOOSE(CONTROL!$C$42, 8.3858, 8.3858) * CHOOSE(CONTROL!$C$21, $C$9, 100%, $E$9)</f>
        <v>8.3857999999999997</v>
      </c>
      <c r="S131" s="17">
        <f>CHOOSE(CONTROL!$C$42, 6.908, 6.908) * CHOOSE(CONTROL!$C$21, $C$9, 100%, $E$9)</f>
        <v>6.9080000000000004</v>
      </c>
      <c r="T13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31" s="56">
        <f>(1000*CHOOSE(CONTROL!$C$42, 695, 695)*CHOOSE(CONTROL!$C$42, 0.5599, 0.5599)*CHOOSE(CONTROL!$C$42, 30, 30))/1000000</f>
        <v>11.673914999999997</v>
      </c>
      <c r="V131" s="56">
        <f>(1000*CHOOSE(CONTROL!$C$42, 500, 500)*CHOOSE(CONTROL!$C$42, 0.275, 0.275)*CHOOSE(CONTROL!$C$42, 30, 30))/1000000</f>
        <v>4.125</v>
      </c>
      <c r="W131" s="56">
        <f>(1000*CHOOSE(CONTROL!$C$42, 0.0916, 0.0916)*CHOOSE(CONTROL!$C$42, 121.5, 121.5)*CHOOSE(CONTROL!$C$42, 30, 30))/1000000</f>
        <v>0.33388200000000001</v>
      </c>
      <c r="X131" s="56">
        <f>(30*0.2374*100000/1000000)</f>
        <v>0.71220000000000006</v>
      </c>
      <c r="Y131" s="56"/>
      <c r="Z131" s="17"/>
      <c r="AA131" s="55"/>
      <c r="AB131" s="48">
        <f>(B131*122.58+C131*297.941+D131*89.177+E131*140.302+F131*40+G131*60+H131*0+I131*100+J131*300)/(122.58+297.941+89.177+140.302+0+40+60+100+300)</f>
        <v>7.1656909652173919</v>
      </c>
      <c r="AC131" s="45">
        <f>(M131*'RAP TEMPLATE-GAS AVAILABILITY'!O130+N131*'RAP TEMPLATE-GAS AVAILABILITY'!P130+O131*'RAP TEMPLATE-GAS AVAILABILITY'!Q130+P131*'RAP TEMPLATE-GAS AVAILABILITY'!R130)/('RAP TEMPLATE-GAS AVAILABILITY'!O130+'RAP TEMPLATE-GAS AVAILABILITY'!P130+'RAP TEMPLATE-GAS AVAILABILITY'!Q130+'RAP TEMPLATE-GAS AVAILABILITY'!R130)</f>
        <v>7.1374309352517979</v>
      </c>
    </row>
    <row r="132" spans="1:29" ht="15.75" x14ac:dyDescent="0.25">
      <c r="A132" s="16">
        <v>44896</v>
      </c>
      <c r="B132" s="17">
        <f>CHOOSE(CONTROL!$C$42, 7.635, 7.635) * CHOOSE(CONTROL!$C$21, $C$9, 100%, $E$9)</f>
        <v>7.6349999999999998</v>
      </c>
      <c r="C132" s="17">
        <f>CHOOSE(CONTROL!$C$42, 7.6401, 7.6401) * CHOOSE(CONTROL!$C$21, $C$9, 100%, $E$9)</f>
        <v>7.6401000000000003</v>
      </c>
      <c r="D132" s="17">
        <f>CHOOSE(CONTROL!$C$42, 7.7215, 7.7215) * CHOOSE(CONTROL!$C$21, $C$9, 100%, $E$9)</f>
        <v>7.7214999999999998</v>
      </c>
      <c r="E132" s="17">
        <f>CHOOSE(CONTROL!$C$42, 7.7552, 7.7552) * CHOOSE(CONTROL!$C$21, $C$9, 100%, $E$9)</f>
        <v>7.7552000000000003</v>
      </c>
      <c r="F132" s="17">
        <f>CHOOSE(CONTROL!$C$42, 7.6554, 7.6554)*CHOOSE(CONTROL!$C$21, $C$9, 100%, $E$9)</f>
        <v>7.6554000000000002</v>
      </c>
      <c r="G132" s="17">
        <f>CHOOSE(CONTROL!$C$42, 7.6727, 7.6727)*CHOOSE(CONTROL!$C$21, $C$9, 100%, $E$9)</f>
        <v>7.6726999999999999</v>
      </c>
      <c r="H132" s="17">
        <f>CHOOSE(CONTROL!$C$42, 7.7441, 7.7441) * CHOOSE(CONTROL!$C$21, $C$9, 100%, $E$9)</f>
        <v>7.7441000000000004</v>
      </c>
      <c r="I132" s="17">
        <f>CHOOSE(CONTROL!$C$42, 7.6837, 7.6837)* CHOOSE(CONTROL!$C$21, $C$9, 100%, $E$9)</f>
        <v>7.6837</v>
      </c>
      <c r="J132" s="17">
        <f>CHOOSE(CONTROL!$C$42, 7.648, 7.648)* CHOOSE(CONTROL!$C$21, $C$9, 100%, $E$9)</f>
        <v>7.6479999999999997</v>
      </c>
      <c r="K132" s="52">
        <f>CHOOSE(CONTROL!$C$42, 7.6776, 7.6776) * CHOOSE(CONTROL!$C$21, $C$9, 100%, $E$9)</f>
        <v>7.6776</v>
      </c>
      <c r="L132" s="17">
        <f>CHOOSE(CONTROL!$C$42, 8.3311, 8.3311) * CHOOSE(CONTROL!$C$21, $C$9, 100%, $E$9)</f>
        <v>8.3310999999999993</v>
      </c>
      <c r="M132" s="17">
        <f>CHOOSE(CONTROL!$C$42, 7.5862, 7.5862) * CHOOSE(CONTROL!$C$21, $C$9, 100%, $E$9)</f>
        <v>7.5861999999999998</v>
      </c>
      <c r="N132" s="17">
        <f>CHOOSE(CONTROL!$C$42, 7.6034, 7.6034) * CHOOSE(CONTROL!$C$21, $C$9, 100%, $E$9)</f>
        <v>7.6033999999999997</v>
      </c>
      <c r="O132" s="17">
        <f>CHOOSE(CONTROL!$C$42, 7.6815, 7.6815) * CHOOSE(CONTROL!$C$21, $C$9, 100%, $E$9)</f>
        <v>7.6814999999999998</v>
      </c>
      <c r="P132" s="17">
        <f>CHOOSE(CONTROL!$C$42, 7.6214, 7.6214) * CHOOSE(CONTROL!$C$21, $C$9, 100%, $E$9)</f>
        <v>7.6214000000000004</v>
      </c>
      <c r="Q132" s="17">
        <f>CHOOSE(CONTROL!$C$42, 8.2762, 8.2762) * CHOOSE(CONTROL!$C$21, $C$9, 100%, $E$9)</f>
        <v>8.2761999999999993</v>
      </c>
      <c r="R132" s="17">
        <f>CHOOSE(CONTROL!$C$42, 8.8839, 8.8839) * CHOOSE(CONTROL!$C$21, $C$9, 100%, $E$9)</f>
        <v>8.8839000000000006</v>
      </c>
      <c r="S132" s="17">
        <f>CHOOSE(CONTROL!$C$42, 7.3942, 7.3942) * CHOOSE(CONTROL!$C$21, $C$9, 100%, $E$9)</f>
        <v>7.3941999999999997</v>
      </c>
      <c r="T13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32" s="56">
        <f>(1000*CHOOSE(CONTROL!$C$42, 695, 695)*CHOOSE(CONTROL!$C$42, 0.5599, 0.5599)*CHOOSE(CONTROL!$C$42, 31, 31))/1000000</f>
        <v>12.063045499999998</v>
      </c>
      <c r="V132" s="56">
        <f>(1000*CHOOSE(CONTROL!$C$42, 500, 500)*CHOOSE(CONTROL!$C$42, 0.275, 0.275)*CHOOSE(CONTROL!$C$42, 31, 31))/1000000</f>
        <v>4.2625000000000002</v>
      </c>
      <c r="W132" s="56">
        <f>(1000*CHOOSE(CONTROL!$C$42, 0.0916, 0.0916)*CHOOSE(CONTROL!$C$42, 121.5, 121.5)*CHOOSE(CONTROL!$C$42, 31, 31))/1000000</f>
        <v>0.34501139999999997</v>
      </c>
      <c r="X132" s="56">
        <f>(31*0.2374*100000/1000000)</f>
        <v>0.73594000000000004</v>
      </c>
      <c r="Y132" s="56"/>
      <c r="Z132" s="17"/>
      <c r="AA132" s="55"/>
      <c r="AB132" s="48">
        <f>(B132*122.58+C132*297.941+D132*89.177+E132*140.302+F132*40+G132*60+H132*0+I132*100+J132*300)/(122.58+297.941+89.177+140.302+0+40+60+100+300)</f>
        <v>7.6679961826086966</v>
      </c>
      <c r="AC132" s="45">
        <f>(M132*'RAP TEMPLATE-GAS AVAILABILITY'!O131+N132*'RAP TEMPLATE-GAS AVAILABILITY'!P131+O132*'RAP TEMPLATE-GAS AVAILABILITY'!Q131+P132*'RAP TEMPLATE-GAS AVAILABILITY'!R131)/('RAP TEMPLATE-GAS AVAILABILITY'!O131+'RAP TEMPLATE-GAS AVAILABILITY'!P131+'RAP TEMPLATE-GAS AVAILABILITY'!Q131+'RAP TEMPLATE-GAS AVAILABILITY'!R131)</f>
        <v>7.6354482014388481</v>
      </c>
    </row>
    <row r="133" spans="1:29" ht="15.75" x14ac:dyDescent="0.25">
      <c r="A133" s="16">
        <v>44927</v>
      </c>
      <c r="B133" s="17">
        <f>CHOOSE(CONTROL!$C$42, 8.4248, 8.4248) * CHOOSE(CONTROL!$C$21, $C$9, 100%, $E$9)</f>
        <v>8.4247999999999994</v>
      </c>
      <c r="C133" s="17">
        <f>CHOOSE(CONTROL!$C$42, 8.4299, 8.4299) * CHOOSE(CONTROL!$C$21, $C$9, 100%, $E$9)</f>
        <v>8.4298999999999999</v>
      </c>
      <c r="D133" s="17">
        <f>CHOOSE(CONTROL!$C$42, 8.5267, 8.5267) * CHOOSE(CONTROL!$C$21, $C$9, 100%, $E$9)</f>
        <v>8.5266999999999999</v>
      </c>
      <c r="E133" s="17">
        <f>CHOOSE(CONTROL!$C$42, 8.5604, 8.5604) * CHOOSE(CONTROL!$C$21, $C$9, 100%, $E$9)</f>
        <v>8.5603999999999996</v>
      </c>
      <c r="F133" s="17">
        <f>CHOOSE(CONTROL!$C$42, 8.439, 8.439)*CHOOSE(CONTROL!$C$21, $C$9, 100%, $E$9)</f>
        <v>8.4390000000000001</v>
      </c>
      <c r="G133" s="17">
        <f>CHOOSE(CONTROL!$C$42, 8.4555, 8.4555)*CHOOSE(CONTROL!$C$21, $C$9, 100%, $E$9)</f>
        <v>8.4555000000000007</v>
      </c>
      <c r="H133" s="17">
        <f>CHOOSE(CONTROL!$C$42, 8.5493, 8.5493) * CHOOSE(CONTROL!$C$21, $C$9, 100%, $E$9)</f>
        <v>8.5493000000000006</v>
      </c>
      <c r="I133" s="17">
        <f>CHOOSE(CONTROL!$C$42, 8.4759, 8.4759)* CHOOSE(CONTROL!$C$21, $C$9, 100%, $E$9)</f>
        <v>8.4758999999999993</v>
      </c>
      <c r="J133" s="17">
        <f>CHOOSE(CONTROL!$C$42, 8.4316, 8.4316)* CHOOSE(CONTROL!$C$21, $C$9, 100%, $E$9)</f>
        <v>8.4315999999999995</v>
      </c>
      <c r="K133" s="52">
        <f>CHOOSE(CONTROL!$C$42, 8.4698, 8.4698) * CHOOSE(CONTROL!$C$21, $C$9, 100%, $E$9)</f>
        <v>8.4697999999999993</v>
      </c>
      <c r="L133" s="17">
        <f>CHOOSE(CONTROL!$C$42, 9.1363, 9.1363) * CHOOSE(CONTROL!$C$21, $C$9, 100%, $E$9)</f>
        <v>9.1363000000000003</v>
      </c>
      <c r="M133" s="17">
        <f>CHOOSE(CONTROL!$C$42, 8.3628, 8.3628) * CHOOSE(CONTROL!$C$21, $C$9, 100%, $E$9)</f>
        <v>8.3628</v>
      </c>
      <c r="N133" s="17">
        <f>CHOOSE(CONTROL!$C$42, 8.3791, 8.3791) * CHOOSE(CONTROL!$C$21, $C$9, 100%, $E$9)</f>
        <v>8.3790999999999993</v>
      </c>
      <c r="O133" s="17">
        <f>CHOOSE(CONTROL!$C$42, 8.4794, 8.4794) * CHOOSE(CONTROL!$C$21, $C$9, 100%, $E$9)</f>
        <v>8.4794</v>
      </c>
      <c r="P133" s="17">
        <f>CHOOSE(CONTROL!$C$42, 8.4065, 8.4065) * CHOOSE(CONTROL!$C$21, $C$9, 100%, $E$9)</f>
        <v>8.4064999999999994</v>
      </c>
      <c r="Q133" s="17">
        <f>CHOOSE(CONTROL!$C$42, 9.0741, 9.0741) * CHOOSE(CONTROL!$C$21, $C$9, 100%, $E$9)</f>
        <v>9.0740999999999996</v>
      </c>
      <c r="R133" s="17">
        <f>CHOOSE(CONTROL!$C$42, 9.6838, 9.6838) * CHOOSE(CONTROL!$C$21, $C$9, 100%, $E$9)</f>
        <v>9.6837999999999997</v>
      </c>
      <c r="S133" s="17">
        <f>CHOOSE(CONTROL!$C$42, 8.16, 8.16) * CHOOSE(CONTROL!$C$21, $C$9, 100%, $E$9)</f>
        <v>8.16</v>
      </c>
      <c r="T13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33" s="56">
        <f>(1000*CHOOSE(CONTROL!$C$42, 695, 695)*CHOOSE(CONTROL!$C$42, 0.5599, 0.5599)*CHOOSE(CONTROL!$C$42, 31, 31))/1000000</f>
        <v>12.063045499999998</v>
      </c>
      <c r="V133" s="56">
        <f>(1000*CHOOSE(CONTROL!$C$42, 500, 500)*CHOOSE(CONTROL!$C$42, 0.275, 0.275)*CHOOSE(CONTROL!$C$42, 31, 31))/1000000</f>
        <v>4.2625000000000002</v>
      </c>
      <c r="W133" s="56">
        <f>(1000*CHOOSE(CONTROL!$C$42, 0.0916, 0.0916)*CHOOSE(CONTROL!$C$42, 121.5, 121.5)*CHOOSE(CONTROL!$C$42, 31, 31))/1000000</f>
        <v>0.34501139999999997</v>
      </c>
      <c r="X133" s="56">
        <f>(31*0.2374*100000/1000000)</f>
        <v>0.73594000000000004</v>
      </c>
      <c r="Y133" s="56"/>
      <c r="Z133" s="17"/>
      <c r="AA133" s="55"/>
      <c r="AB133" s="48">
        <f>(B133*122.58+C133*297.941+D133*89.177+E133*140.302+F133*40+G133*60+H133*0+I133*100+J133*300)/(122.58+297.941+89.177+140.302+0+40+60+100+300)</f>
        <v>8.4588796405217401</v>
      </c>
      <c r="AC133" s="45">
        <f>(M133*'RAP TEMPLATE-GAS AVAILABILITY'!O132+N133*'RAP TEMPLATE-GAS AVAILABILITY'!P132+O133*'RAP TEMPLATE-GAS AVAILABILITY'!Q132+P133*'RAP TEMPLATE-GAS AVAILABILITY'!R132)/('RAP TEMPLATE-GAS AVAILABILITY'!O132+'RAP TEMPLATE-GAS AVAILABILITY'!P132+'RAP TEMPLATE-GAS AVAILABILITY'!Q132+'RAP TEMPLATE-GAS AVAILABILITY'!R132)</f>
        <v>8.4228733812949628</v>
      </c>
    </row>
    <row r="134" spans="1:29" ht="15.75" x14ac:dyDescent="0.25">
      <c r="A134" s="16">
        <v>44958</v>
      </c>
      <c r="B134" s="17">
        <f>CHOOSE(CONTROL!$C$42, 8.5922, 8.5922) * CHOOSE(CONTROL!$C$21, $C$9, 100%, $E$9)</f>
        <v>8.5922000000000001</v>
      </c>
      <c r="C134" s="17">
        <f>CHOOSE(CONTROL!$C$42, 8.5973, 8.5973) * CHOOSE(CONTROL!$C$21, $C$9, 100%, $E$9)</f>
        <v>8.5973000000000006</v>
      </c>
      <c r="D134" s="17">
        <f>CHOOSE(CONTROL!$C$42, 8.6941, 8.6941) * CHOOSE(CONTROL!$C$21, $C$9, 100%, $E$9)</f>
        <v>8.6941000000000006</v>
      </c>
      <c r="E134" s="17">
        <f>CHOOSE(CONTROL!$C$42, 8.7279, 8.7279) * CHOOSE(CONTROL!$C$21, $C$9, 100%, $E$9)</f>
        <v>8.7279</v>
      </c>
      <c r="F134" s="17">
        <f>CHOOSE(CONTROL!$C$42, 8.6064, 8.6064)*CHOOSE(CONTROL!$C$21, $C$9, 100%, $E$9)</f>
        <v>8.6064000000000007</v>
      </c>
      <c r="G134" s="17">
        <f>CHOOSE(CONTROL!$C$42, 8.6229, 8.6229)*CHOOSE(CONTROL!$C$21, $C$9, 100%, $E$9)</f>
        <v>8.6228999999999996</v>
      </c>
      <c r="H134" s="17">
        <f>CHOOSE(CONTROL!$C$42, 8.7168, 8.7168) * CHOOSE(CONTROL!$C$21, $C$9, 100%, $E$9)</f>
        <v>8.7167999999999992</v>
      </c>
      <c r="I134" s="17">
        <f>CHOOSE(CONTROL!$C$42, 8.6438, 8.6438)* CHOOSE(CONTROL!$C$21, $C$9, 100%, $E$9)</f>
        <v>8.6438000000000006</v>
      </c>
      <c r="J134" s="17">
        <f>CHOOSE(CONTROL!$C$42, 8.599, 8.599)* CHOOSE(CONTROL!$C$21, $C$9, 100%, $E$9)</f>
        <v>8.5990000000000002</v>
      </c>
      <c r="K134" s="52">
        <f>CHOOSE(CONTROL!$C$42, 8.6378, 8.6378) * CHOOSE(CONTROL!$C$21, $C$9, 100%, $E$9)</f>
        <v>8.6378000000000004</v>
      </c>
      <c r="L134" s="17">
        <f>CHOOSE(CONTROL!$C$42, 9.3038, 9.3038) * CHOOSE(CONTROL!$C$21, $C$9, 100%, $E$9)</f>
        <v>9.3038000000000007</v>
      </c>
      <c r="M134" s="17">
        <f>CHOOSE(CONTROL!$C$42, 8.5287, 8.5287) * CHOOSE(CONTROL!$C$21, $C$9, 100%, $E$9)</f>
        <v>8.5287000000000006</v>
      </c>
      <c r="N134" s="17">
        <f>CHOOSE(CONTROL!$C$42, 8.545, 8.545) * CHOOSE(CONTROL!$C$21, $C$9, 100%, $E$9)</f>
        <v>8.5449999999999999</v>
      </c>
      <c r="O134" s="17">
        <f>CHOOSE(CONTROL!$C$42, 8.6454, 8.6454) * CHOOSE(CONTROL!$C$21, $C$9, 100%, $E$9)</f>
        <v>8.6454000000000004</v>
      </c>
      <c r="P134" s="17">
        <f>CHOOSE(CONTROL!$C$42, 8.5729, 8.5729) * CHOOSE(CONTROL!$C$21, $C$9, 100%, $E$9)</f>
        <v>8.5729000000000006</v>
      </c>
      <c r="Q134" s="17">
        <f>CHOOSE(CONTROL!$C$42, 9.2401, 9.2401) * CHOOSE(CONTROL!$C$21, $C$9, 100%, $E$9)</f>
        <v>9.2401</v>
      </c>
      <c r="R134" s="17">
        <f>CHOOSE(CONTROL!$C$42, 9.8502, 9.8502) * CHOOSE(CONTROL!$C$21, $C$9, 100%, $E$9)</f>
        <v>9.8501999999999992</v>
      </c>
      <c r="S134" s="17">
        <f>CHOOSE(CONTROL!$C$42, 8.3223, 8.3223) * CHOOSE(CONTROL!$C$21, $C$9, 100%, $E$9)</f>
        <v>8.3223000000000003</v>
      </c>
      <c r="T13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34" s="56">
        <f>(1000*CHOOSE(CONTROL!$C$42, 695, 695)*CHOOSE(CONTROL!$C$42, 0.5599, 0.5599)*CHOOSE(CONTROL!$C$42, 28, 28))/1000000</f>
        <v>10.895653999999999</v>
      </c>
      <c r="V134" s="56">
        <f>(1000*CHOOSE(CONTROL!$C$42, 500, 500)*CHOOSE(CONTROL!$C$42, 0.275, 0.275)*CHOOSE(CONTROL!$C$42, 28, 28))/1000000</f>
        <v>3.85</v>
      </c>
      <c r="W134" s="56">
        <f>(1000*CHOOSE(CONTROL!$C$42, 0.0916, 0.0916)*CHOOSE(CONTROL!$C$42, 121.5, 121.5)*CHOOSE(CONTROL!$C$42, 28, 28))/1000000</f>
        <v>0.31162319999999999</v>
      </c>
      <c r="X134" s="56">
        <f>(28*0.2374*100000/1000000)</f>
        <v>0.66471999999999998</v>
      </c>
      <c r="Y134" s="56"/>
      <c r="Z134" s="17"/>
      <c r="AA134" s="55"/>
      <c r="AB134" s="48">
        <f>(B134*122.58+C134*297.941+D134*89.177+E134*140.302+F134*40+G134*60+H134*0+I134*100+J134*300)/(122.58+297.941+89.177+140.302+0+40+60+100+300)</f>
        <v>8.6263353189565208</v>
      </c>
      <c r="AC134" s="45">
        <f>(M134*'RAP TEMPLATE-GAS AVAILABILITY'!O133+N134*'RAP TEMPLATE-GAS AVAILABILITY'!P133+O134*'RAP TEMPLATE-GAS AVAILABILITY'!Q133+P134*'RAP TEMPLATE-GAS AVAILABILITY'!R133)/('RAP TEMPLATE-GAS AVAILABILITY'!O133+'RAP TEMPLATE-GAS AVAILABILITY'!P133+'RAP TEMPLATE-GAS AVAILABILITY'!Q133+'RAP TEMPLATE-GAS AVAILABILITY'!R133)</f>
        <v>8.5888906474820139</v>
      </c>
    </row>
    <row r="135" spans="1:29" ht="15.75" x14ac:dyDescent="0.25">
      <c r="A135" s="16">
        <v>44986</v>
      </c>
      <c r="B135" s="17">
        <f>CHOOSE(CONTROL!$C$42, 8.3657, 8.3657) * CHOOSE(CONTROL!$C$21, $C$9, 100%, $E$9)</f>
        <v>8.3657000000000004</v>
      </c>
      <c r="C135" s="17">
        <f>CHOOSE(CONTROL!$C$42, 8.3708, 8.3708) * CHOOSE(CONTROL!$C$21, $C$9, 100%, $E$9)</f>
        <v>8.3707999999999991</v>
      </c>
      <c r="D135" s="17">
        <f>CHOOSE(CONTROL!$C$42, 8.4677, 8.4677) * CHOOSE(CONTROL!$C$21, $C$9, 100%, $E$9)</f>
        <v>8.4677000000000007</v>
      </c>
      <c r="E135" s="17">
        <f>CHOOSE(CONTROL!$C$42, 8.5014, 8.5014) * CHOOSE(CONTROL!$C$21, $C$9, 100%, $E$9)</f>
        <v>8.5014000000000003</v>
      </c>
      <c r="F135" s="17">
        <f>CHOOSE(CONTROL!$C$42, 8.3793, 8.3793)*CHOOSE(CONTROL!$C$21, $C$9, 100%, $E$9)</f>
        <v>8.3793000000000006</v>
      </c>
      <c r="G135" s="17">
        <f>CHOOSE(CONTROL!$C$42, 8.3956, 8.3956)*CHOOSE(CONTROL!$C$21, $C$9, 100%, $E$9)</f>
        <v>8.3956</v>
      </c>
      <c r="H135" s="17">
        <f>CHOOSE(CONTROL!$C$42, 8.4903, 8.4903) * CHOOSE(CONTROL!$C$21, $C$9, 100%, $E$9)</f>
        <v>8.4902999999999995</v>
      </c>
      <c r="I135" s="17">
        <f>CHOOSE(CONTROL!$C$42, 8.4166, 8.4166)* CHOOSE(CONTROL!$C$21, $C$9, 100%, $E$9)</f>
        <v>8.4166000000000007</v>
      </c>
      <c r="J135" s="17">
        <f>CHOOSE(CONTROL!$C$42, 8.3719, 8.3719)* CHOOSE(CONTROL!$C$21, $C$9, 100%, $E$9)</f>
        <v>8.3719000000000001</v>
      </c>
      <c r="K135" s="52">
        <f>CHOOSE(CONTROL!$C$42, 8.4106, 8.4106) * CHOOSE(CONTROL!$C$21, $C$9, 100%, $E$9)</f>
        <v>8.4106000000000005</v>
      </c>
      <c r="L135" s="17">
        <f>CHOOSE(CONTROL!$C$42, 9.0773, 9.0773) * CHOOSE(CONTROL!$C$21, $C$9, 100%, $E$9)</f>
        <v>9.0772999999999993</v>
      </c>
      <c r="M135" s="17">
        <f>CHOOSE(CONTROL!$C$42, 8.3037, 8.3037) * CHOOSE(CONTROL!$C$21, $C$9, 100%, $E$9)</f>
        <v>8.3036999999999992</v>
      </c>
      <c r="N135" s="17">
        <f>CHOOSE(CONTROL!$C$42, 8.3198, 8.3198) * CHOOSE(CONTROL!$C$21, $C$9, 100%, $E$9)</f>
        <v>8.3198000000000008</v>
      </c>
      <c r="O135" s="17">
        <f>CHOOSE(CONTROL!$C$42, 8.4209, 8.4209) * CHOOSE(CONTROL!$C$21, $C$9, 100%, $E$9)</f>
        <v>8.4208999999999996</v>
      </c>
      <c r="P135" s="17">
        <f>CHOOSE(CONTROL!$C$42, 8.3478, 8.3478) * CHOOSE(CONTROL!$C$21, $C$9, 100%, $E$9)</f>
        <v>8.3477999999999994</v>
      </c>
      <c r="Q135" s="17">
        <f>CHOOSE(CONTROL!$C$42, 9.0156, 9.0156) * CHOOSE(CONTROL!$C$21, $C$9, 100%, $E$9)</f>
        <v>9.0155999999999992</v>
      </c>
      <c r="R135" s="17">
        <f>CHOOSE(CONTROL!$C$42, 9.6252, 9.6252) * CHOOSE(CONTROL!$C$21, $C$9, 100%, $E$9)</f>
        <v>9.6251999999999995</v>
      </c>
      <c r="S135" s="17">
        <f>CHOOSE(CONTROL!$C$42, 8.1027, 8.1027) * CHOOSE(CONTROL!$C$21, $C$9, 100%, $E$9)</f>
        <v>8.1027000000000005</v>
      </c>
      <c r="T13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35" s="56">
        <f>(1000*CHOOSE(CONTROL!$C$42, 695, 695)*CHOOSE(CONTROL!$C$42, 0.5599, 0.5599)*CHOOSE(CONTROL!$C$42, 31, 31))/1000000</f>
        <v>12.063045499999998</v>
      </c>
      <c r="V135" s="56">
        <f>(1000*CHOOSE(CONTROL!$C$42, 500, 500)*CHOOSE(CONTROL!$C$42, 0.275, 0.275)*CHOOSE(CONTROL!$C$42, 31, 31))/1000000</f>
        <v>4.2625000000000002</v>
      </c>
      <c r="W135" s="56">
        <f>(1000*CHOOSE(CONTROL!$C$42, 0.0916, 0.0916)*CHOOSE(CONTROL!$C$42, 121.5, 121.5)*CHOOSE(CONTROL!$C$42, 31, 31))/1000000</f>
        <v>0.34501139999999997</v>
      </c>
      <c r="X135" s="56">
        <f>(31*0.2374*100000/1000000)</f>
        <v>0.73594000000000004</v>
      </c>
      <c r="Y135" s="56"/>
      <c r="Z135" s="17"/>
      <c r="AA135" s="55"/>
      <c r="AB135" s="48">
        <f>(B135*122.58+C135*297.941+D135*89.177+E135*140.302+F135*40+G135*60+H135*0+I135*100+J135*300)/(122.58+297.941+89.177+140.302+0+40+60+100+300)</f>
        <v>8.3995630734782605</v>
      </c>
      <c r="AC135" s="45">
        <f>(M135*'RAP TEMPLATE-GAS AVAILABILITY'!O134+N135*'RAP TEMPLATE-GAS AVAILABILITY'!P134+O135*'RAP TEMPLATE-GAS AVAILABILITY'!Q134+P135*'RAP TEMPLATE-GAS AVAILABILITY'!R134)/('RAP TEMPLATE-GAS AVAILABILITY'!O134+'RAP TEMPLATE-GAS AVAILABILITY'!P134+'RAP TEMPLATE-GAS AVAILABILITY'!Q134+'RAP TEMPLATE-GAS AVAILABILITY'!R134)</f>
        <v>8.3640913669064734</v>
      </c>
    </row>
    <row r="136" spans="1:29" ht="15.75" x14ac:dyDescent="0.25">
      <c r="A136" s="16">
        <v>45017</v>
      </c>
      <c r="B136" s="17">
        <f>CHOOSE(CONTROL!$C$42, 8.3589, 8.3589) * CHOOSE(CONTROL!$C$21, $C$9, 100%, $E$9)</f>
        <v>8.3589000000000002</v>
      </c>
      <c r="C136" s="17">
        <f>CHOOSE(CONTROL!$C$42, 8.3634, 8.3634) * CHOOSE(CONTROL!$C$21, $C$9, 100%, $E$9)</f>
        <v>8.3634000000000004</v>
      </c>
      <c r="D136" s="17">
        <f>CHOOSE(CONTROL!$C$42, 8.6109, 8.6109) * CHOOSE(CONTROL!$C$21, $C$9, 100%, $E$9)</f>
        <v>8.6109000000000009</v>
      </c>
      <c r="E136" s="17">
        <f>CHOOSE(CONTROL!$C$42, 8.6427, 8.6427) * CHOOSE(CONTROL!$C$21, $C$9, 100%, $E$9)</f>
        <v>8.6426999999999996</v>
      </c>
      <c r="F136" s="17">
        <f>CHOOSE(CONTROL!$C$42, 8.3705, 8.3705)*CHOOSE(CONTROL!$C$21, $C$9, 100%, $E$9)</f>
        <v>8.3704999999999998</v>
      </c>
      <c r="G136" s="17">
        <f>CHOOSE(CONTROL!$C$42, 8.3864, 8.3864)*CHOOSE(CONTROL!$C$21, $C$9, 100%, $E$9)</f>
        <v>8.3864000000000001</v>
      </c>
      <c r="H136" s="17">
        <f>CHOOSE(CONTROL!$C$42, 8.6322, 8.6322) * CHOOSE(CONTROL!$C$21, $C$9, 100%, $E$9)</f>
        <v>8.6321999999999992</v>
      </c>
      <c r="I136" s="17">
        <f>CHOOSE(CONTROL!$C$42, 8.4074, 8.4074)* CHOOSE(CONTROL!$C$21, $C$9, 100%, $E$9)</f>
        <v>8.4074000000000009</v>
      </c>
      <c r="J136" s="17">
        <f>CHOOSE(CONTROL!$C$42, 8.3631, 8.3631)* CHOOSE(CONTROL!$C$21, $C$9, 100%, $E$9)</f>
        <v>8.3630999999999993</v>
      </c>
      <c r="K136" s="52">
        <f>CHOOSE(CONTROL!$C$42, 8.4014, 8.4014) * CHOOSE(CONTROL!$C$21, $C$9, 100%, $E$9)</f>
        <v>8.4014000000000006</v>
      </c>
      <c r="L136" s="17">
        <f>CHOOSE(CONTROL!$C$42, 9.2192, 9.2192) * CHOOSE(CONTROL!$C$21, $C$9, 100%, $E$9)</f>
        <v>9.2192000000000007</v>
      </c>
      <c r="M136" s="17">
        <f>CHOOSE(CONTROL!$C$42, 8.2949, 8.2949) * CHOOSE(CONTROL!$C$21, $C$9, 100%, $E$9)</f>
        <v>8.2949000000000002</v>
      </c>
      <c r="N136" s="17">
        <f>CHOOSE(CONTROL!$C$42, 8.3107, 8.3107) * CHOOSE(CONTROL!$C$21, $C$9, 100%, $E$9)</f>
        <v>8.3107000000000006</v>
      </c>
      <c r="O136" s="17">
        <f>CHOOSE(CONTROL!$C$42, 8.5616, 8.5616) * CHOOSE(CONTROL!$C$21, $C$9, 100%, $E$9)</f>
        <v>8.5616000000000003</v>
      </c>
      <c r="P136" s="17">
        <f>CHOOSE(CONTROL!$C$42, 8.3387, 8.3387) * CHOOSE(CONTROL!$C$21, $C$9, 100%, $E$9)</f>
        <v>8.3386999999999993</v>
      </c>
      <c r="Q136" s="17">
        <f>CHOOSE(CONTROL!$C$42, 9.1563, 9.1563) * CHOOSE(CONTROL!$C$21, $C$9, 100%, $E$9)</f>
        <v>9.1562999999999999</v>
      </c>
      <c r="R136" s="17">
        <f>CHOOSE(CONTROL!$C$42, 9.7661, 9.7661) * CHOOSE(CONTROL!$C$21, $C$9, 100%, $E$9)</f>
        <v>9.7660999999999998</v>
      </c>
      <c r="S136" s="17">
        <f>CHOOSE(CONTROL!$C$42, 8.0953, 8.0953) * CHOOSE(CONTROL!$C$21, $C$9, 100%, $E$9)</f>
        <v>8.0952999999999999</v>
      </c>
      <c r="T13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36" s="56">
        <f>(1000*CHOOSE(CONTROL!$C$42, 695, 695)*CHOOSE(CONTROL!$C$42, 0.5599, 0.5599)*CHOOSE(CONTROL!$C$42, 30, 30))/1000000</f>
        <v>11.673914999999997</v>
      </c>
      <c r="V136" s="56">
        <f>(1000*CHOOSE(CONTROL!$C$42, 500, 500)*CHOOSE(CONTROL!$C$42, 0.275, 0.275)*CHOOSE(CONTROL!$C$42, 30, 30))/1000000</f>
        <v>4.125</v>
      </c>
      <c r="W136" s="56">
        <f>(1000*CHOOSE(CONTROL!$C$42, 0.0916, 0.0916)*CHOOSE(CONTROL!$C$42, 121.5, 121.5)*CHOOSE(CONTROL!$C$42, 30, 30))/1000000</f>
        <v>0.33388200000000001</v>
      </c>
      <c r="X136" s="56">
        <f>(30*0.1790888*145000/1000000)+(30*0.2374*100000/1000000)</f>
        <v>1.4912362799999999</v>
      </c>
      <c r="Y136" s="56"/>
      <c r="Z136" s="17"/>
      <c r="AA136" s="55"/>
      <c r="AB136" s="48">
        <f>(B136*141.293+C136*267.993+D136*115.016+E136*189.698+F136*40+G136*85+H136*0+I136*100+J136*300)/(141.293+267.993+115.016+189.698+0+40+85+100+300)</f>
        <v>8.4339103251815981</v>
      </c>
      <c r="AC136" s="45">
        <f>(M136*'RAP TEMPLATE-GAS AVAILABILITY'!O135+N136*'RAP TEMPLATE-GAS AVAILABILITY'!P135+O136*'RAP TEMPLATE-GAS AVAILABILITY'!Q135+P136*'RAP TEMPLATE-GAS AVAILABILITY'!R135)/('RAP TEMPLATE-GAS AVAILABILITY'!O135+'RAP TEMPLATE-GAS AVAILABILITY'!P135+'RAP TEMPLATE-GAS AVAILABILITY'!Q135+'RAP TEMPLATE-GAS AVAILABILITY'!R135)</f>
        <v>8.3796690647482013</v>
      </c>
    </row>
    <row r="137" spans="1:29" ht="15.75" x14ac:dyDescent="0.25">
      <c r="A137" s="16">
        <v>45047</v>
      </c>
      <c r="B137" s="17">
        <f>CHOOSE(CONTROL!$C$42, 8.4513, 8.4513) * CHOOSE(CONTROL!$C$21, $C$9, 100%, $E$9)</f>
        <v>8.4512999999999998</v>
      </c>
      <c r="C137" s="17">
        <f>CHOOSE(CONTROL!$C$42, 8.4592, 8.4592) * CHOOSE(CONTROL!$C$21, $C$9, 100%, $E$9)</f>
        <v>8.4591999999999992</v>
      </c>
      <c r="D137" s="17">
        <f>CHOOSE(CONTROL!$C$42, 8.7037, 8.7037) * CHOOSE(CONTROL!$C$21, $C$9, 100%, $E$9)</f>
        <v>8.7036999999999995</v>
      </c>
      <c r="E137" s="17">
        <f>CHOOSE(CONTROL!$C$42, 8.7349, 8.7349) * CHOOSE(CONTROL!$C$21, $C$9, 100%, $E$9)</f>
        <v>8.7348999999999997</v>
      </c>
      <c r="F137" s="17">
        <f>CHOOSE(CONTROL!$C$42, 8.4618, 8.4618)*CHOOSE(CONTROL!$C$21, $C$9, 100%, $E$9)</f>
        <v>8.4618000000000002</v>
      </c>
      <c r="G137" s="17">
        <f>CHOOSE(CONTROL!$C$42, 8.478, 8.478)*CHOOSE(CONTROL!$C$21, $C$9, 100%, $E$9)</f>
        <v>8.4779999999999998</v>
      </c>
      <c r="H137" s="17">
        <f>CHOOSE(CONTROL!$C$42, 8.7232, 8.7232) * CHOOSE(CONTROL!$C$21, $C$9, 100%, $E$9)</f>
        <v>8.7232000000000003</v>
      </c>
      <c r="I137" s="17">
        <f>CHOOSE(CONTROL!$C$42, 8.4987, 8.4987)* CHOOSE(CONTROL!$C$21, $C$9, 100%, $E$9)</f>
        <v>8.4986999999999995</v>
      </c>
      <c r="J137" s="17">
        <f>CHOOSE(CONTROL!$C$42, 8.4544, 8.4544)* CHOOSE(CONTROL!$C$21, $C$9, 100%, $E$9)</f>
        <v>8.4543999999999997</v>
      </c>
      <c r="K137" s="52">
        <f>CHOOSE(CONTROL!$C$42, 8.4927, 8.4927) * CHOOSE(CONTROL!$C$21, $C$9, 100%, $E$9)</f>
        <v>8.4926999999999992</v>
      </c>
      <c r="L137" s="17">
        <f>CHOOSE(CONTROL!$C$42, 9.3102, 9.3102) * CHOOSE(CONTROL!$C$21, $C$9, 100%, $E$9)</f>
        <v>9.3102</v>
      </c>
      <c r="M137" s="17">
        <f>CHOOSE(CONTROL!$C$42, 8.3854, 8.3854) * CHOOSE(CONTROL!$C$21, $C$9, 100%, $E$9)</f>
        <v>8.3854000000000006</v>
      </c>
      <c r="N137" s="17">
        <f>CHOOSE(CONTROL!$C$42, 8.4015, 8.4015) * CHOOSE(CONTROL!$C$21, $C$9, 100%, $E$9)</f>
        <v>8.4015000000000004</v>
      </c>
      <c r="O137" s="17">
        <f>CHOOSE(CONTROL!$C$42, 8.6518, 8.6518) * CHOOSE(CONTROL!$C$21, $C$9, 100%, $E$9)</f>
        <v>8.6517999999999997</v>
      </c>
      <c r="P137" s="17">
        <f>CHOOSE(CONTROL!$C$42, 8.4291, 8.4291) * CHOOSE(CONTROL!$C$21, $C$9, 100%, $E$9)</f>
        <v>8.4291</v>
      </c>
      <c r="Q137" s="17">
        <f>CHOOSE(CONTROL!$C$42, 9.2465, 9.2465) * CHOOSE(CONTROL!$C$21, $C$9, 100%, $E$9)</f>
        <v>9.2464999999999993</v>
      </c>
      <c r="R137" s="17">
        <f>CHOOSE(CONTROL!$C$42, 9.8566, 9.8566) * CHOOSE(CONTROL!$C$21, $C$9, 100%, $E$9)</f>
        <v>9.8566000000000003</v>
      </c>
      <c r="S137" s="17">
        <f>CHOOSE(CONTROL!$C$42, 8.1836, 8.1836) * CHOOSE(CONTROL!$C$21, $C$9, 100%, $E$9)</f>
        <v>8.1836000000000002</v>
      </c>
      <c r="T13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37" s="56">
        <f>(1000*CHOOSE(CONTROL!$C$42, 695, 695)*CHOOSE(CONTROL!$C$42, 0.5599, 0.5599)*CHOOSE(CONTROL!$C$42, 31, 31))/1000000</f>
        <v>12.063045499999998</v>
      </c>
      <c r="V137" s="56">
        <f>(1000*CHOOSE(CONTROL!$C$42, 500, 500)*CHOOSE(CONTROL!$C$42, 0.275, 0.275)*CHOOSE(CONTROL!$C$42, 31, 31))/1000000</f>
        <v>4.2625000000000002</v>
      </c>
      <c r="W137" s="56">
        <f>(1000*CHOOSE(CONTROL!$C$42, 0.0916, 0.0916)*CHOOSE(CONTROL!$C$42, 121.5, 121.5)*CHOOSE(CONTROL!$C$42, 31, 31))/1000000</f>
        <v>0.34501139999999997</v>
      </c>
      <c r="X137" s="56">
        <f>(31*0.1790888*145000/1000000)+(31*0.2374*100000/1000000)</f>
        <v>1.5409441560000001</v>
      </c>
      <c r="Y137" s="56"/>
      <c r="Z137" s="17"/>
      <c r="AA137" s="55"/>
      <c r="AB137" s="48">
        <f>(B137*194.205+C137*267.466+D137*133.845+E137*153.484+F137*40+G137*85+H137*0+I137*100+J137*300)/(194.205+267.466+133.845+153.484+0+40+85+100+300)</f>
        <v>8.5202034708006273</v>
      </c>
      <c r="AC137" s="45">
        <f>(M137*'RAP TEMPLATE-GAS AVAILABILITY'!O136+N137*'RAP TEMPLATE-GAS AVAILABILITY'!P136+O137*'RAP TEMPLATE-GAS AVAILABILITY'!Q136+P137*'RAP TEMPLATE-GAS AVAILABILITY'!R136)/('RAP TEMPLATE-GAS AVAILABILITY'!O136+'RAP TEMPLATE-GAS AVAILABILITY'!P136+'RAP TEMPLATE-GAS AVAILABILITY'!Q136+'RAP TEMPLATE-GAS AVAILABILITY'!R136)</f>
        <v>8.4701395683453224</v>
      </c>
    </row>
    <row r="138" spans="1:29" ht="15.75" x14ac:dyDescent="0.25">
      <c r="A138" s="16">
        <v>45078</v>
      </c>
      <c r="B138" s="17">
        <f>CHOOSE(CONTROL!$C$42, 8.7085, 8.7085) * CHOOSE(CONTROL!$C$21, $C$9, 100%, $E$9)</f>
        <v>8.7085000000000008</v>
      </c>
      <c r="C138" s="17">
        <f>CHOOSE(CONTROL!$C$42, 8.7165, 8.7165) * CHOOSE(CONTROL!$C$21, $C$9, 100%, $E$9)</f>
        <v>8.7164999999999999</v>
      </c>
      <c r="D138" s="17">
        <f>CHOOSE(CONTROL!$C$42, 8.9609, 8.9609) * CHOOSE(CONTROL!$C$21, $C$9, 100%, $E$9)</f>
        <v>8.9609000000000005</v>
      </c>
      <c r="E138" s="17">
        <f>CHOOSE(CONTROL!$C$42, 8.9921, 8.9921) * CHOOSE(CONTROL!$C$21, $C$9, 100%, $E$9)</f>
        <v>8.9921000000000006</v>
      </c>
      <c r="F138" s="17">
        <f>CHOOSE(CONTROL!$C$42, 8.7194, 8.7194)*CHOOSE(CONTROL!$C$21, $C$9, 100%, $E$9)</f>
        <v>8.7194000000000003</v>
      </c>
      <c r="G138" s="17">
        <f>CHOOSE(CONTROL!$C$42, 8.7357, 8.7357)*CHOOSE(CONTROL!$C$21, $C$9, 100%, $E$9)</f>
        <v>8.7356999999999996</v>
      </c>
      <c r="H138" s="17">
        <f>CHOOSE(CONTROL!$C$42, 8.9805, 8.9805) * CHOOSE(CONTROL!$C$21, $C$9, 100%, $E$9)</f>
        <v>8.9804999999999993</v>
      </c>
      <c r="I138" s="17">
        <f>CHOOSE(CONTROL!$C$42, 8.7568, 8.7568)* CHOOSE(CONTROL!$C$21, $C$9, 100%, $E$9)</f>
        <v>8.7568000000000001</v>
      </c>
      <c r="J138" s="17">
        <f>CHOOSE(CONTROL!$C$42, 8.712, 8.712)* CHOOSE(CONTROL!$C$21, $C$9, 100%, $E$9)</f>
        <v>8.7119999999999997</v>
      </c>
      <c r="K138" s="52">
        <f>CHOOSE(CONTROL!$C$42, 8.7507, 8.7507) * CHOOSE(CONTROL!$C$21, $C$9, 100%, $E$9)</f>
        <v>8.7507000000000001</v>
      </c>
      <c r="L138" s="17">
        <f>CHOOSE(CONTROL!$C$42, 9.5675, 9.5675) * CHOOSE(CONTROL!$C$21, $C$9, 100%, $E$9)</f>
        <v>9.5675000000000008</v>
      </c>
      <c r="M138" s="17">
        <f>CHOOSE(CONTROL!$C$42, 8.6406, 8.6406) * CHOOSE(CONTROL!$C$21, $C$9, 100%, $E$9)</f>
        <v>8.6405999999999992</v>
      </c>
      <c r="N138" s="17">
        <f>CHOOSE(CONTROL!$C$42, 8.6568, 8.6568) * CHOOSE(CONTROL!$C$21, $C$9, 100%, $E$9)</f>
        <v>8.6568000000000005</v>
      </c>
      <c r="O138" s="17">
        <f>CHOOSE(CONTROL!$C$42, 8.9067, 8.9067) * CHOOSE(CONTROL!$C$21, $C$9, 100%, $E$9)</f>
        <v>8.9067000000000007</v>
      </c>
      <c r="P138" s="17">
        <f>CHOOSE(CONTROL!$C$42, 8.6848, 8.6848) * CHOOSE(CONTROL!$C$21, $C$9, 100%, $E$9)</f>
        <v>8.6847999999999992</v>
      </c>
      <c r="Q138" s="17">
        <f>CHOOSE(CONTROL!$C$42, 9.5014, 9.5014) * CHOOSE(CONTROL!$C$21, $C$9, 100%, $E$9)</f>
        <v>9.5014000000000003</v>
      </c>
      <c r="R138" s="17">
        <f>CHOOSE(CONTROL!$C$42, 10.1121, 10.1121) * CHOOSE(CONTROL!$C$21, $C$9, 100%, $E$9)</f>
        <v>10.1121</v>
      </c>
      <c r="S138" s="17">
        <f>CHOOSE(CONTROL!$C$42, 8.4331, 8.4331) * CHOOSE(CONTROL!$C$21, $C$9, 100%, $E$9)</f>
        <v>8.4330999999999996</v>
      </c>
      <c r="T13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38" s="56">
        <f>(1000*CHOOSE(CONTROL!$C$42, 695, 695)*CHOOSE(CONTROL!$C$42, 0.5599, 0.5599)*CHOOSE(CONTROL!$C$42, 30, 30))/1000000</f>
        <v>11.673914999999997</v>
      </c>
      <c r="V138" s="56">
        <f>(1000*CHOOSE(CONTROL!$C$42, 500, 500)*CHOOSE(CONTROL!$C$42, 0.275, 0.275)*CHOOSE(CONTROL!$C$42, 30, 30))/1000000</f>
        <v>4.125</v>
      </c>
      <c r="W138" s="56">
        <f>(1000*CHOOSE(CONTROL!$C$42, 0.0916, 0.0916)*CHOOSE(CONTROL!$C$42, 121.5, 121.5)*CHOOSE(CONTROL!$C$42, 30, 30))/1000000</f>
        <v>0.33388200000000001</v>
      </c>
      <c r="X138" s="56">
        <f>(30*0.1790888*145000/1000000)+(30*0.2374*100000/1000000)</f>
        <v>1.4912362799999999</v>
      </c>
      <c r="Y138" s="56"/>
      <c r="Z138" s="17"/>
      <c r="AA138" s="55"/>
      <c r="AB138" s="48">
        <f>(B138*194.205+C138*267.466+D138*133.845+E138*153.484+F138*40+G138*85+H138*0+I138*100+J138*300)/(194.205+267.466+133.845+153.484+0+40+85+100+300)</f>
        <v>8.7776352185243347</v>
      </c>
      <c r="AC138" s="45">
        <f>(M138*'RAP TEMPLATE-GAS AVAILABILITY'!O137+N138*'RAP TEMPLATE-GAS AVAILABILITY'!P137+O138*'RAP TEMPLATE-GAS AVAILABILITY'!Q137+P138*'RAP TEMPLATE-GAS AVAILABILITY'!R137)/('RAP TEMPLATE-GAS AVAILABILITY'!O137+'RAP TEMPLATE-GAS AVAILABILITY'!P137+'RAP TEMPLATE-GAS AVAILABILITY'!Q137+'RAP TEMPLATE-GAS AVAILABILITY'!R137)</f>
        <v>8.7253503597122304</v>
      </c>
    </row>
    <row r="139" spans="1:29" ht="15.75" x14ac:dyDescent="0.25">
      <c r="A139" s="16">
        <v>45108</v>
      </c>
      <c r="B139" s="17">
        <f>CHOOSE(CONTROL!$C$42, 8.5592, 8.5592) * CHOOSE(CONTROL!$C$21, $C$9, 100%, $E$9)</f>
        <v>8.5592000000000006</v>
      </c>
      <c r="C139" s="17">
        <f>CHOOSE(CONTROL!$C$42, 8.5672, 8.5672) * CHOOSE(CONTROL!$C$21, $C$9, 100%, $E$9)</f>
        <v>8.5671999999999997</v>
      </c>
      <c r="D139" s="17">
        <f>CHOOSE(CONTROL!$C$42, 8.8117, 8.8117) * CHOOSE(CONTROL!$C$21, $C$9, 100%, $E$9)</f>
        <v>8.8117000000000001</v>
      </c>
      <c r="E139" s="17">
        <f>CHOOSE(CONTROL!$C$42, 8.8429, 8.8429) * CHOOSE(CONTROL!$C$21, $C$9, 100%, $E$9)</f>
        <v>8.8429000000000002</v>
      </c>
      <c r="F139" s="17">
        <f>CHOOSE(CONTROL!$C$42, 8.5706, 8.5706)*CHOOSE(CONTROL!$C$21, $C$9, 100%, $E$9)</f>
        <v>8.5706000000000007</v>
      </c>
      <c r="G139" s="17">
        <f>CHOOSE(CONTROL!$C$42, 8.587, 8.587)*CHOOSE(CONTROL!$C$21, $C$9, 100%, $E$9)</f>
        <v>8.5869999999999997</v>
      </c>
      <c r="H139" s="17">
        <f>CHOOSE(CONTROL!$C$42, 8.8312, 8.8312) * CHOOSE(CONTROL!$C$21, $C$9, 100%, $E$9)</f>
        <v>8.8312000000000008</v>
      </c>
      <c r="I139" s="17">
        <f>CHOOSE(CONTROL!$C$42, 8.6071, 8.6071)* CHOOSE(CONTROL!$C$21, $C$9, 100%, $E$9)</f>
        <v>8.6071000000000009</v>
      </c>
      <c r="J139" s="17">
        <f>CHOOSE(CONTROL!$C$42, 8.5632, 8.5632)* CHOOSE(CONTROL!$C$21, $C$9, 100%, $E$9)</f>
        <v>8.5632000000000001</v>
      </c>
      <c r="K139" s="52">
        <f>CHOOSE(CONTROL!$C$42, 8.601, 8.601) * CHOOSE(CONTROL!$C$21, $C$9, 100%, $E$9)</f>
        <v>8.6010000000000009</v>
      </c>
      <c r="L139" s="17">
        <f>CHOOSE(CONTROL!$C$42, 9.4182, 9.4182) * CHOOSE(CONTROL!$C$21, $C$9, 100%, $E$9)</f>
        <v>9.4182000000000006</v>
      </c>
      <c r="M139" s="17">
        <f>CHOOSE(CONTROL!$C$42, 8.4932, 8.4932) * CHOOSE(CONTROL!$C$21, $C$9, 100%, $E$9)</f>
        <v>8.4931999999999999</v>
      </c>
      <c r="N139" s="17">
        <f>CHOOSE(CONTROL!$C$42, 8.5094, 8.5094) * CHOOSE(CONTROL!$C$21, $C$9, 100%, $E$9)</f>
        <v>8.5093999999999994</v>
      </c>
      <c r="O139" s="17">
        <f>CHOOSE(CONTROL!$C$42, 8.7588, 8.7588) * CHOOSE(CONTROL!$C$21, $C$9, 100%, $E$9)</f>
        <v>8.7588000000000008</v>
      </c>
      <c r="P139" s="17">
        <f>CHOOSE(CONTROL!$C$42, 8.5365, 8.5365) * CHOOSE(CONTROL!$C$21, $C$9, 100%, $E$9)</f>
        <v>8.5365000000000002</v>
      </c>
      <c r="Q139" s="17">
        <f>CHOOSE(CONTROL!$C$42, 9.3535, 9.3535) * CHOOSE(CONTROL!$C$21, $C$9, 100%, $E$9)</f>
        <v>9.3535000000000004</v>
      </c>
      <c r="R139" s="17">
        <f>CHOOSE(CONTROL!$C$42, 9.9639, 9.9639) * CHOOSE(CONTROL!$C$21, $C$9, 100%, $E$9)</f>
        <v>9.9639000000000006</v>
      </c>
      <c r="S139" s="17">
        <f>CHOOSE(CONTROL!$C$42, 8.2883, 8.2883) * CHOOSE(CONTROL!$C$21, $C$9, 100%, $E$9)</f>
        <v>8.2882999999999996</v>
      </c>
      <c r="T13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39" s="56">
        <f>(1000*CHOOSE(CONTROL!$C$42, 695, 695)*CHOOSE(CONTROL!$C$42, 0.5599, 0.5599)*CHOOSE(CONTROL!$C$42, 31, 31))/1000000</f>
        <v>12.063045499999998</v>
      </c>
      <c r="V139" s="56">
        <f>(1000*CHOOSE(CONTROL!$C$42, 500, 500)*CHOOSE(CONTROL!$C$42, 0.275, 0.275)*CHOOSE(CONTROL!$C$42, 31, 31))/1000000</f>
        <v>4.2625000000000002</v>
      </c>
      <c r="W139" s="56">
        <f>(1000*CHOOSE(CONTROL!$C$42, 0.0916, 0.0916)*CHOOSE(CONTROL!$C$42, 121.5, 121.5)*CHOOSE(CONTROL!$C$42, 31, 31))/1000000</f>
        <v>0.34501139999999997</v>
      </c>
      <c r="X139" s="56">
        <f>(31*0.1790888*145000/1000000)+(31*0.2374*100000/1000000)</f>
        <v>1.5409441560000001</v>
      </c>
      <c r="Y139" s="56"/>
      <c r="Z139" s="17"/>
      <c r="AA139" s="55"/>
      <c r="AB139" s="48">
        <f>(B139*194.205+C139*267.466+D139*133.845+E139*153.484+F139*40+G139*85+H139*0+I139*100+J139*300)/(194.205+267.466+133.845+153.484+0+40+85+100+300)</f>
        <v>8.6284998440345362</v>
      </c>
      <c r="AC139" s="45">
        <f>(M139*'RAP TEMPLATE-GAS AVAILABILITY'!O138+N139*'RAP TEMPLATE-GAS AVAILABILITY'!P138+O139*'RAP TEMPLATE-GAS AVAILABILITY'!Q138+P139*'RAP TEMPLATE-GAS AVAILABILITY'!R138)/('RAP TEMPLATE-GAS AVAILABILITY'!O138+'RAP TEMPLATE-GAS AVAILABILITY'!P138+'RAP TEMPLATE-GAS AVAILABILITY'!Q138+'RAP TEMPLATE-GAS AVAILABILITY'!R138)</f>
        <v>8.5776805755395671</v>
      </c>
    </row>
    <row r="140" spans="1:29" ht="15.75" x14ac:dyDescent="0.25">
      <c r="A140" s="16">
        <v>45139</v>
      </c>
      <c r="B140" s="17">
        <f>CHOOSE(CONTROL!$C$42, 8.1538, 8.1538) * CHOOSE(CONTROL!$C$21, $C$9, 100%, $E$9)</f>
        <v>8.1538000000000004</v>
      </c>
      <c r="C140" s="17">
        <f>CHOOSE(CONTROL!$C$42, 8.1618, 8.1618) * CHOOSE(CONTROL!$C$21, $C$9, 100%, $E$9)</f>
        <v>8.1617999999999995</v>
      </c>
      <c r="D140" s="17">
        <f>CHOOSE(CONTROL!$C$42, 8.4063, 8.4063) * CHOOSE(CONTROL!$C$21, $C$9, 100%, $E$9)</f>
        <v>8.4062999999999999</v>
      </c>
      <c r="E140" s="17">
        <f>CHOOSE(CONTROL!$C$42, 8.4375, 8.4375) * CHOOSE(CONTROL!$C$21, $C$9, 100%, $E$9)</f>
        <v>8.4375</v>
      </c>
      <c r="F140" s="17">
        <f>CHOOSE(CONTROL!$C$42, 8.1654, 8.1654)*CHOOSE(CONTROL!$C$21, $C$9, 100%, $E$9)</f>
        <v>8.1654</v>
      </c>
      <c r="G140" s="17">
        <f>CHOOSE(CONTROL!$C$42, 8.1819, 8.1819)*CHOOSE(CONTROL!$C$21, $C$9, 100%, $E$9)</f>
        <v>8.1819000000000006</v>
      </c>
      <c r="H140" s="17">
        <f>CHOOSE(CONTROL!$C$42, 8.4258, 8.4258) * CHOOSE(CONTROL!$C$21, $C$9, 100%, $E$9)</f>
        <v>8.4258000000000006</v>
      </c>
      <c r="I140" s="17">
        <f>CHOOSE(CONTROL!$C$42, 8.2004, 8.2004)* CHOOSE(CONTROL!$C$21, $C$9, 100%, $E$9)</f>
        <v>8.2004000000000001</v>
      </c>
      <c r="J140" s="17">
        <f>CHOOSE(CONTROL!$C$42, 8.158, 8.158)* CHOOSE(CONTROL!$C$21, $C$9, 100%, $E$9)</f>
        <v>8.1579999999999995</v>
      </c>
      <c r="K140" s="52">
        <f>CHOOSE(CONTROL!$C$42, 8.1943, 8.1943) * CHOOSE(CONTROL!$C$21, $C$9, 100%, $E$9)</f>
        <v>8.1943000000000001</v>
      </c>
      <c r="L140" s="17">
        <f>CHOOSE(CONTROL!$C$42, 9.0128, 9.0128) * CHOOSE(CONTROL!$C$21, $C$9, 100%, $E$9)</f>
        <v>9.0128000000000004</v>
      </c>
      <c r="M140" s="17">
        <f>CHOOSE(CONTROL!$C$42, 8.0916, 8.0916) * CHOOSE(CONTROL!$C$21, $C$9, 100%, $E$9)</f>
        <v>8.0915999999999997</v>
      </c>
      <c r="N140" s="17">
        <f>CHOOSE(CONTROL!$C$42, 8.108, 8.108) * CHOOSE(CONTROL!$C$21, $C$9, 100%, $E$9)</f>
        <v>8.1080000000000005</v>
      </c>
      <c r="O140" s="17">
        <f>CHOOSE(CONTROL!$C$42, 8.357, 8.357) * CHOOSE(CONTROL!$C$21, $C$9, 100%, $E$9)</f>
        <v>8.3569999999999993</v>
      </c>
      <c r="P140" s="17">
        <f>CHOOSE(CONTROL!$C$42, 8.1335, 8.1335) * CHOOSE(CONTROL!$C$21, $C$9, 100%, $E$9)</f>
        <v>8.1334999999999997</v>
      </c>
      <c r="Q140" s="17">
        <f>CHOOSE(CONTROL!$C$42, 8.9517, 8.9517) * CHOOSE(CONTROL!$C$21, $C$9, 100%, $E$9)</f>
        <v>8.9517000000000007</v>
      </c>
      <c r="R140" s="17">
        <f>CHOOSE(CONTROL!$C$42, 9.5611, 9.5611) * CHOOSE(CONTROL!$C$21, $C$9, 100%, $E$9)</f>
        <v>9.5610999999999997</v>
      </c>
      <c r="S140" s="17">
        <f>CHOOSE(CONTROL!$C$42, 7.8952, 7.8952) * CHOOSE(CONTROL!$C$21, $C$9, 100%, $E$9)</f>
        <v>7.8952</v>
      </c>
      <c r="T14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40" s="56">
        <f>(1000*CHOOSE(CONTROL!$C$42, 695, 695)*CHOOSE(CONTROL!$C$42, 0.5599, 0.5599)*CHOOSE(CONTROL!$C$42, 31, 31))/1000000</f>
        <v>12.063045499999998</v>
      </c>
      <c r="V140" s="56">
        <f>(1000*CHOOSE(CONTROL!$C$42, 500, 500)*CHOOSE(CONTROL!$C$42, 0.275, 0.275)*CHOOSE(CONTROL!$C$42, 31, 31))/1000000</f>
        <v>4.2625000000000002</v>
      </c>
      <c r="W140" s="56">
        <f>(1000*CHOOSE(CONTROL!$C$42, 0.0916, 0.0916)*CHOOSE(CONTROL!$C$42, 121.5, 121.5)*CHOOSE(CONTROL!$C$42, 31, 31))/1000000</f>
        <v>0.34501139999999997</v>
      </c>
      <c r="X140" s="56">
        <f>(31*0.1790888*145000/1000000)+(31*0.2374*100000/1000000)</f>
        <v>1.5409441560000001</v>
      </c>
      <c r="Y140" s="56"/>
      <c r="Z140" s="17"/>
      <c r="AA140" s="55"/>
      <c r="AB140" s="48">
        <f>(B140*194.205+C140*267.466+D140*133.845+E140*153.484+F140*40+G140*85+H140*0+I140*100+J140*300)/(194.205+267.466+133.845+153.484+0+40+85+100+300)</f>
        <v>8.2230711941130288</v>
      </c>
      <c r="AC140" s="45">
        <f>(M140*'RAP TEMPLATE-GAS AVAILABILITY'!O139+N140*'RAP TEMPLATE-GAS AVAILABILITY'!P139+O140*'RAP TEMPLATE-GAS AVAILABILITY'!Q139+P140*'RAP TEMPLATE-GAS AVAILABILITY'!R139)/('RAP TEMPLATE-GAS AVAILABILITY'!O139+'RAP TEMPLATE-GAS AVAILABILITY'!P139+'RAP TEMPLATE-GAS AVAILABILITY'!Q139+'RAP TEMPLATE-GAS AVAILABILITY'!R139)</f>
        <v>8.175869064748202</v>
      </c>
    </row>
    <row r="141" spans="1:29" ht="15.75" x14ac:dyDescent="0.25">
      <c r="A141" s="16">
        <v>45170</v>
      </c>
      <c r="B141" s="17">
        <f>CHOOSE(CONTROL!$C$42, 7.6525, 7.6525) * CHOOSE(CONTROL!$C$21, $C$9, 100%, $E$9)</f>
        <v>7.6524999999999999</v>
      </c>
      <c r="C141" s="17">
        <f>CHOOSE(CONTROL!$C$42, 7.6604, 7.6604) * CHOOSE(CONTROL!$C$21, $C$9, 100%, $E$9)</f>
        <v>7.6604000000000001</v>
      </c>
      <c r="D141" s="17">
        <f>CHOOSE(CONTROL!$C$42, 7.9049, 7.9049) * CHOOSE(CONTROL!$C$21, $C$9, 100%, $E$9)</f>
        <v>7.9048999999999996</v>
      </c>
      <c r="E141" s="17">
        <f>CHOOSE(CONTROL!$C$42, 7.9361, 7.9361) * CHOOSE(CONTROL!$C$21, $C$9, 100%, $E$9)</f>
        <v>7.9360999999999997</v>
      </c>
      <c r="F141" s="17">
        <f>CHOOSE(CONTROL!$C$42, 7.6641, 7.6641)*CHOOSE(CONTROL!$C$21, $C$9, 100%, $E$9)</f>
        <v>7.6641000000000004</v>
      </c>
      <c r="G141" s="17">
        <f>CHOOSE(CONTROL!$C$42, 7.6806, 7.6806)*CHOOSE(CONTROL!$C$21, $C$9, 100%, $E$9)</f>
        <v>7.6806000000000001</v>
      </c>
      <c r="H141" s="17">
        <f>CHOOSE(CONTROL!$C$42, 7.9244, 7.9244) * CHOOSE(CONTROL!$C$21, $C$9, 100%, $E$9)</f>
        <v>7.9244000000000003</v>
      </c>
      <c r="I141" s="17">
        <f>CHOOSE(CONTROL!$C$42, 7.6975, 7.6975)* CHOOSE(CONTROL!$C$21, $C$9, 100%, $E$9)</f>
        <v>7.6974999999999998</v>
      </c>
      <c r="J141" s="17">
        <f>CHOOSE(CONTROL!$C$42, 7.6567, 7.6567)* CHOOSE(CONTROL!$C$21, $C$9, 100%, $E$9)</f>
        <v>7.6566999999999998</v>
      </c>
      <c r="K141" s="52">
        <f>CHOOSE(CONTROL!$C$42, 7.6914, 7.6914) * CHOOSE(CONTROL!$C$21, $C$9, 100%, $E$9)</f>
        <v>7.6913999999999998</v>
      </c>
      <c r="L141" s="17">
        <f>CHOOSE(CONTROL!$C$42, 8.5114, 8.5114) * CHOOSE(CONTROL!$C$21, $C$9, 100%, $E$9)</f>
        <v>8.5114000000000001</v>
      </c>
      <c r="M141" s="17">
        <f>CHOOSE(CONTROL!$C$42, 7.5948, 7.5948) * CHOOSE(CONTROL!$C$21, $C$9, 100%, $E$9)</f>
        <v>7.5948000000000002</v>
      </c>
      <c r="N141" s="17">
        <f>CHOOSE(CONTROL!$C$42, 7.6112, 7.6112) * CHOOSE(CONTROL!$C$21, $C$9, 100%, $E$9)</f>
        <v>7.6112000000000002</v>
      </c>
      <c r="O141" s="17">
        <f>CHOOSE(CONTROL!$C$42, 7.8601, 7.8601) * CHOOSE(CONTROL!$C$21, $C$9, 100%, $E$9)</f>
        <v>7.8601000000000001</v>
      </c>
      <c r="P141" s="17">
        <f>CHOOSE(CONTROL!$C$42, 7.6351, 7.6351) * CHOOSE(CONTROL!$C$21, $C$9, 100%, $E$9)</f>
        <v>7.6351000000000004</v>
      </c>
      <c r="Q141" s="17">
        <f>CHOOSE(CONTROL!$C$42, 8.4548, 8.4548) * CHOOSE(CONTROL!$C$21, $C$9, 100%, $E$9)</f>
        <v>8.4548000000000005</v>
      </c>
      <c r="R141" s="17">
        <f>CHOOSE(CONTROL!$C$42, 9.063, 9.063) * CHOOSE(CONTROL!$C$21, $C$9, 100%, $E$9)</f>
        <v>9.0630000000000006</v>
      </c>
      <c r="S141" s="17">
        <f>CHOOSE(CONTROL!$C$42, 7.409, 7.409) * CHOOSE(CONTROL!$C$21, $C$9, 100%, $E$9)</f>
        <v>7.4089999999999998</v>
      </c>
      <c r="T14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41" s="56">
        <f>(1000*CHOOSE(CONTROL!$C$42, 695, 695)*CHOOSE(CONTROL!$C$42, 0.5599, 0.5599)*CHOOSE(CONTROL!$C$42, 30, 30))/1000000</f>
        <v>11.673914999999997</v>
      </c>
      <c r="V141" s="56">
        <f>(1000*CHOOSE(CONTROL!$C$42, 500, 500)*CHOOSE(CONTROL!$C$42, 0.275, 0.275)*CHOOSE(CONTROL!$C$42, 30, 30))/1000000</f>
        <v>4.125</v>
      </c>
      <c r="W141" s="56">
        <f>(1000*CHOOSE(CONTROL!$C$42, 0.0916, 0.0916)*CHOOSE(CONTROL!$C$42, 121.5, 121.5)*CHOOSE(CONTROL!$C$42, 30, 30))/1000000</f>
        <v>0.33388200000000001</v>
      </c>
      <c r="X141" s="56">
        <f>(30*0.1790888*145000/1000000)+(30*0.2374*100000/1000000)</f>
        <v>1.4912362799999999</v>
      </c>
      <c r="Y141" s="56"/>
      <c r="Z141" s="17"/>
      <c r="AA141" s="55"/>
      <c r="AB141" s="48">
        <f>(B141*194.205+C141*267.466+D141*133.845+E141*153.484+F141*40+G141*85+H141*0+I141*100+J141*300)/(194.205+267.466+133.845+153.484+0+40+85+100+300)</f>
        <v>7.7216020579277869</v>
      </c>
      <c r="AC141" s="45">
        <f>(M141*'RAP TEMPLATE-GAS AVAILABILITY'!O140+N141*'RAP TEMPLATE-GAS AVAILABILITY'!P140+O141*'RAP TEMPLATE-GAS AVAILABILITY'!Q140+P141*'RAP TEMPLATE-GAS AVAILABILITY'!R140)/('RAP TEMPLATE-GAS AVAILABILITY'!O140+'RAP TEMPLATE-GAS AVAILABILITY'!P140+'RAP TEMPLATE-GAS AVAILABILITY'!Q140+'RAP TEMPLATE-GAS AVAILABILITY'!R140)</f>
        <v>7.6788107913669066</v>
      </c>
    </row>
    <row r="142" spans="1:29" ht="15.75" x14ac:dyDescent="0.25">
      <c r="A142" s="16">
        <v>45200</v>
      </c>
      <c r="B142" s="17">
        <f>CHOOSE(CONTROL!$C$42, 7.511, 7.511) * CHOOSE(CONTROL!$C$21, $C$9, 100%, $E$9)</f>
        <v>7.5110000000000001</v>
      </c>
      <c r="C142" s="17">
        <f>CHOOSE(CONTROL!$C$42, 7.5164, 7.5164) * CHOOSE(CONTROL!$C$21, $C$9, 100%, $E$9)</f>
        <v>7.5164</v>
      </c>
      <c r="D142" s="17">
        <f>CHOOSE(CONTROL!$C$42, 7.7657, 7.7657) * CHOOSE(CONTROL!$C$21, $C$9, 100%, $E$9)</f>
        <v>7.7656999999999998</v>
      </c>
      <c r="E142" s="17">
        <f>CHOOSE(CONTROL!$C$42, 7.7946, 7.7946) * CHOOSE(CONTROL!$C$21, $C$9, 100%, $E$9)</f>
        <v>7.7946</v>
      </c>
      <c r="F142" s="17">
        <f>CHOOSE(CONTROL!$C$42, 7.5248, 7.5248)*CHOOSE(CONTROL!$C$21, $C$9, 100%, $E$9)</f>
        <v>7.5247999999999999</v>
      </c>
      <c r="G142" s="17">
        <f>CHOOSE(CONTROL!$C$42, 7.5412, 7.5412)*CHOOSE(CONTROL!$C$21, $C$9, 100%, $E$9)</f>
        <v>7.5411999999999999</v>
      </c>
      <c r="H142" s="17">
        <f>CHOOSE(CONTROL!$C$42, 7.7847, 7.7847) * CHOOSE(CONTROL!$C$21, $C$9, 100%, $E$9)</f>
        <v>7.7847</v>
      </c>
      <c r="I142" s="17">
        <f>CHOOSE(CONTROL!$C$42, 7.5573, 7.5573)* CHOOSE(CONTROL!$C$21, $C$9, 100%, $E$9)</f>
        <v>7.5572999999999997</v>
      </c>
      <c r="J142" s="17">
        <f>CHOOSE(CONTROL!$C$42, 7.5174, 7.5174)* CHOOSE(CONTROL!$C$21, $C$9, 100%, $E$9)</f>
        <v>7.5174000000000003</v>
      </c>
      <c r="K142" s="52">
        <f>CHOOSE(CONTROL!$C$42, 7.5513, 7.5513) * CHOOSE(CONTROL!$C$21, $C$9, 100%, $E$9)</f>
        <v>7.5513000000000003</v>
      </c>
      <c r="L142" s="17">
        <f>CHOOSE(CONTROL!$C$42, 8.3717, 8.3717) * CHOOSE(CONTROL!$C$21, $C$9, 100%, $E$9)</f>
        <v>8.3717000000000006</v>
      </c>
      <c r="M142" s="17">
        <f>CHOOSE(CONTROL!$C$42, 7.4568, 7.4568) * CHOOSE(CONTROL!$C$21, $C$9, 100%, $E$9)</f>
        <v>7.4568000000000003</v>
      </c>
      <c r="N142" s="17">
        <f>CHOOSE(CONTROL!$C$42, 7.4731, 7.4731) * CHOOSE(CONTROL!$C$21, $C$9, 100%, $E$9)</f>
        <v>7.4730999999999996</v>
      </c>
      <c r="O142" s="17">
        <f>CHOOSE(CONTROL!$C$42, 7.7217, 7.7217) * CHOOSE(CONTROL!$C$21, $C$9, 100%, $E$9)</f>
        <v>7.7217000000000002</v>
      </c>
      <c r="P142" s="17">
        <f>CHOOSE(CONTROL!$C$42, 7.4962, 7.4962) * CHOOSE(CONTROL!$C$21, $C$9, 100%, $E$9)</f>
        <v>7.4962</v>
      </c>
      <c r="Q142" s="17">
        <f>CHOOSE(CONTROL!$C$42, 8.3164, 8.3164) * CHOOSE(CONTROL!$C$21, $C$9, 100%, $E$9)</f>
        <v>8.3163999999999998</v>
      </c>
      <c r="R142" s="17">
        <f>CHOOSE(CONTROL!$C$42, 8.9242, 8.9242) * CHOOSE(CONTROL!$C$21, $C$9, 100%, $E$9)</f>
        <v>8.9242000000000008</v>
      </c>
      <c r="S142" s="17">
        <f>CHOOSE(CONTROL!$C$42, 7.2735, 7.2735) * CHOOSE(CONTROL!$C$21, $C$9, 100%, $E$9)</f>
        <v>7.2735000000000003</v>
      </c>
      <c r="T14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42" s="56">
        <f>(1000*CHOOSE(CONTROL!$C$42, 695, 695)*CHOOSE(CONTROL!$C$42, 0.5599, 0.5599)*CHOOSE(CONTROL!$C$42, 31, 31))/1000000</f>
        <v>12.063045499999998</v>
      </c>
      <c r="V142" s="56">
        <f>(1000*CHOOSE(CONTROL!$C$42, 500, 500)*CHOOSE(CONTROL!$C$42, 0.275, 0.275)*CHOOSE(CONTROL!$C$42, 31, 31))/1000000</f>
        <v>4.2625000000000002</v>
      </c>
      <c r="W142" s="56">
        <f>(1000*CHOOSE(CONTROL!$C$42, 0.0916, 0.0916)*CHOOSE(CONTROL!$C$42, 121.5, 121.5)*CHOOSE(CONTROL!$C$42, 31, 31))/1000000</f>
        <v>0.34501139999999997</v>
      </c>
      <c r="X142" s="56">
        <f>(31*0.1790888*145000/1000000)+(31*0.2374*100000/1000000)</f>
        <v>1.5409441560000001</v>
      </c>
      <c r="Y142" s="56"/>
      <c r="Z142" s="17"/>
      <c r="AA142" s="55"/>
      <c r="AB142" s="48">
        <f>(B142*131.881+C142*277.167+D142*79.08+E142*225.872+F142*40+G142*85+H142*0+I142*100+J142*300)/(131.881+277.167+79.08+225.872+0+40+85+100+300)</f>
        <v>7.5879690694108142</v>
      </c>
      <c r="AC142" s="45">
        <f>(M142*'RAP TEMPLATE-GAS AVAILABILITY'!O141+N142*'RAP TEMPLATE-GAS AVAILABILITY'!P141+O142*'RAP TEMPLATE-GAS AVAILABILITY'!Q141+P142*'RAP TEMPLATE-GAS AVAILABILITY'!R141)/('RAP TEMPLATE-GAS AVAILABILITY'!O141+'RAP TEMPLATE-GAS AVAILABILITY'!P141+'RAP TEMPLATE-GAS AVAILABILITY'!Q141+'RAP TEMPLATE-GAS AVAILABILITY'!R141)</f>
        <v>7.5405460431654676</v>
      </c>
    </row>
    <row r="143" spans="1:29" ht="15.75" x14ac:dyDescent="0.25">
      <c r="A143" s="16">
        <v>45231</v>
      </c>
      <c r="B143" s="17">
        <f>CHOOSE(CONTROL!$C$42, 7.7241, 7.7241) * CHOOSE(CONTROL!$C$21, $C$9, 100%, $E$9)</f>
        <v>7.7241</v>
      </c>
      <c r="C143" s="17">
        <f>CHOOSE(CONTROL!$C$42, 7.7291, 7.7291) * CHOOSE(CONTROL!$C$21, $C$9, 100%, $E$9)</f>
        <v>7.7290999999999999</v>
      </c>
      <c r="D143" s="17">
        <f>CHOOSE(CONTROL!$C$42, 7.8105, 7.8105) * CHOOSE(CONTROL!$C$21, $C$9, 100%, $E$9)</f>
        <v>7.8105000000000002</v>
      </c>
      <c r="E143" s="17">
        <f>CHOOSE(CONTROL!$C$42, 7.8443, 7.8443) * CHOOSE(CONTROL!$C$21, $C$9, 100%, $E$9)</f>
        <v>7.8442999999999996</v>
      </c>
      <c r="F143" s="17">
        <f>CHOOSE(CONTROL!$C$42, 7.742, 7.742)*CHOOSE(CONTROL!$C$21, $C$9, 100%, $E$9)</f>
        <v>7.742</v>
      </c>
      <c r="G143" s="17">
        <f>CHOOSE(CONTROL!$C$42, 7.7587, 7.7587)*CHOOSE(CONTROL!$C$21, $C$9, 100%, $E$9)</f>
        <v>7.7587000000000002</v>
      </c>
      <c r="H143" s="17">
        <f>CHOOSE(CONTROL!$C$42, 7.8331, 7.8331) * CHOOSE(CONTROL!$C$21, $C$9, 100%, $E$9)</f>
        <v>7.8331</v>
      </c>
      <c r="I143" s="17">
        <f>CHOOSE(CONTROL!$C$42, 7.773, 7.773)* CHOOSE(CONTROL!$C$21, $C$9, 100%, $E$9)</f>
        <v>7.7729999999999997</v>
      </c>
      <c r="J143" s="17">
        <f>CHOOSE(CONTROL!$C$42, 7.7346, 7.7346)* CHOOSE(CONTROL!$C$21, $C$9, 100%, $E$9)</f>
        <v>7.7346000000000004</v>
      </c>
      <c r="K143" s="52">
        <f>CHOOSE(CONTROL!$C$42, 7.7669, 7.7669) * CHOOSE(CONTROL!$C$21, $C$9, 100%, $E$9)</f>
        <v>7.7668999999999997</v>
      </c>
      <c r="L143" s="17">
        <f>CHOOSE(CONTROL!$C$42, 8.4201, 8.4201) * CHOOSE(CONTROL!$C$21, $C$9, 100%, $E$9)</f>
        <v>8.4200999999999997</v>
      </c>
      <c r="M143" s="17">
        <f>CHOOSE(CONTROL!$C$42, 7.6721, 7.6721) * CHOOSE(CONTROL!$C$21, $C$9, 100%, $E$9)</f>
        <v>7.6721000000000004</v>
      </c>
      <c r="N143" s="17">
        <f>CHOOSE(CONTROL!$C$42, 7.6886, 7.6886) * CHOOSE(CONTROL!$C$21, $C$9, 100%, $E$9)</f>
        <v>7.6886000000000001</v>
      </c>
      <c r="O143" s="17">
        <f>CHOOSE(CONTROL!$C$42, 7.7697, 7.7697) * CHOOSE(CONTROL!$C$21, $C$9, 100%, $E$9)</f>
        <v>7.7697000000000003</v>
      </c>
      <c r="P143" s="17">
        <f>CHOOSE(CONTROL!$C$42, 7.7099, 7.7099) * CHOOSE(CONTROL!$C$21, $C$9, 100%, $E$9)</f>
        <v>7.7099000000000002</v>
      </c>
      <c r="Q143" s="17">
        <f>CHOOSE(CONTROL!$C$42, 8.3644, 8.3644) * CHOOSE(CONTROL!$C$21, $C$9, 100%, $E$9)</f>
        <v>8.3643999999999998</v>
      </c>
      <c r="R143" s="17">
        <f>CHOOSE(CONTROL!$C$42, 8.9723, 8.9723) * CHOOSE(CONTROL!$C$21, $C$9, 100%, $E$9)</f>
        <v>8.9723000000000006</v>
      </c>
      <c r="S143" s="17">
        <f>CHOOSE(CONTROL!$C$42, 7.4805, 7.4805) * CHOOSE(CONTROL!$C$21, $C$9, 100%, $E$9)</f>
        <v>7.4805000000000001</v>
      </c>
      <c r="T14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43" s="56">
        <f>(1000*CHOOSE(CONTROL!$C$42, 695, 695)*CHOOSE(CONTROL!$C$42, 0.5599, 0.5599)*CHOOSE(CONTROL!$C$42, 30, 30))/1000000</f>
        <v>11.673914999999997</v>
      </c>
      <c r="V143" s="56">
        <f>(1000*CHOOSE(CONTROL!$C$42, 500, 500)*CHOOSE(CONTROL!$C$42, 0.275, 0.275)*CHOOSE(CONTROL!$C$42, 30, 30))/1000000</f>
        <v>4.125</v>
      </c>
      <c r="W143" s="56">
        <f>(1000*CHOOSE(CONTROL!$C$42, 0.0916, 0.0916)*CHOOSE(CONTROL!$C$42, 121.5, 121.5)*CHOOSE(CONTROL!$C$42, 30, 30))/1000000</f>
        <v>0.33388200000000001</v>
      </c>
      <c r="X143" s="56">
        <f>(30*0.2374*100000/1000000)</f>
        <v>0.71220000000000006</v>
      </c>
      <c r="Y143" s="56"/>
      <c r="Z143" s="17"/>
      <c r="AA143" s="55"/>
      <c r="AB143" s="48">
        <f>(B143*122.58+C143*297.941+D143*89.177+E143*140.302+F143*40+G143*60+H143*0+I143*100+J143*300)/(122.58+297.941+89.177+140.302+0+40+60+100+300)</f>
        <v>7.7561790419130432</v>
      </c>
      <c r="AC143" s="45">
        <f>(M143*'RAP TEMPLATE-GAS AVAILABILITY'!O142+N143*'RAP TEMPLATE-GAS AVAILABILITY'!P142+O143*'RAP TEMPLATE-GAS AVAILABILITY'!Q142+P143*'RAP TEMPLATE-GAS AVAILABILITY'!R142)/('RAP TEMPLATE-GAS AVAILABILITY'!O142+'RAP TEMPLATE-GAS AVAILABILITY'!P142+'RAP TEMPLATE-GAS AVAILABILITY'!Q142+'RAP TEMPLATE-GAS AVAILABILITY'!R142)</f>
        <v>7.7227244604316541</v>
      </c>
    </row>
    <row r="144" spans="1:29" ht="15.75" x14ac:dyDescent="0.25">
      <c r="A144" s="16">
        <v>45261</v>
      </c>
      <c r="B144" s="17">
        <f>CHOOSE(CONTROL!$C$42, 8.2669, 8.2669) * CHOOSE(CONTROL!$C$21, $C$9, 100%, $E$9)</f>
        <v>8.2668999999999997</v>
      </c>
      <c r="C144" s="17">
        <f>CHOOSE(CONTROL!$C$42, 8.272, 8.272) * CHOOSE(CONTROL!$C$21, $C$9, 100%, $E$9)</f>
        <v>8.2720000000000002</v>
      </c>
      <c r="D144" s="17">
        <f>CHOOSE(CONTROL!$C$42, 8.3534, 8.3534) * CHOOSE(CONTROL!$C$21, $C$9, 100%, $E$9)</f>
        <v>8.3534000000000006</v>
      </c>
      <c r="E144" s="17">
        <f>CHOOSE(CONTROL!$C$42, 8.3871, 8.3871) * CHOOSE(CONTROL!$C$21, $C$9, 100%, $E$9)</f>
        <v>8.3871000000000002</v>
      </c>
      <c r="F144" s="17">
        <f>CHOOSE(CONTROL!$C$42, 8.2873, 8.2873)*CHOOSE(CONTROL!$C$21, $C$9, 100%, $E$9)</f>
        <v>8.2873000000000001</v>
      </c>
      <c r="G144" s="17">
        <f>CHOOSE(CONTROL!$C$42, 8.3046, 8.3046)*CHOOSE(CONTROL!$C$21, $C$9, 100%, $E$9)</f>
        <v>8.3046000000000006</v>
      </c>
      <c r="H144" s="17">
        <f>CHOOSE(CONTROL!$C$42, 8.376, 8.376) * CHOOSE(CONTROL!$C$21, $C$9, 100%, $E$9)</f>
        <v>8.3759999999999994</v>
      </c>
      <c r="I144" s="17">
        <f>CHOOSE(CONTROL!$C$42, 8.3175, 8.3175)* CHOOSE(CONTROL!$C$21, $C$9, 100%, $E$9)</f>
        <v>8.3175000000000008</v>
      </c>
      <c r="J144" s="17">
        <f>CHOOSE(CONTROL!$C$42, 8.2799, 8.2799)* CHOOSE(CONTROL!$C$21, $C$9, 100%, $E$9)</f>
        <v>8.2798999999999996</v>
      </c>
      <c r="K144" s="52">
        <f>CHOOSE(CONTROL!$C$42, 8.3115, 8.3115) * CHOOSE(CONTROL!$C$21, $C$9, 100%, $E$9)</f>
        <v>8.3115000000000006</v>
      </c>
      <c r="L144" s="17">
        <f>CHOOSE(CONTROL!$C$42, 8.963, 8.963) * CHOOSE(CONTROL!$C$21, $C$9, 100%, $E$9)</f>
        <v>8.9629999999999992</v>
      </c>
      <c r="M144" s="17">
        <f>CHOOSE(CONTROL!$C$42, 8.2124, 8.2124) * CHOOSE(CONTROL!$C$21, $C$9, 100%, $E$9)</f>
        <v>8.2124000000000006</v>
      </c>
      <c r="N144" s="17">
        <f>CHOOSE(CONTROL!$C$42, 8.2296, 8.2296) * CHOOSE(CONTROL!$C$21, $C$9, 100%, $E$9)</f>
        <v>8.2295999999999996</v>
      </c>
      <c r="O144" s="17">
        <f>CHOOSE(CONTROL!$C$42, 8.3077, 8.3077) * CHOOSE(CONTROL!$C$21, $C$9, 100%, $E$9)</f>
        <v>8.3077000000000005</v>
      </c>
      <c r="P144" s="17">
        <f>CHOOSE(CONTROL!$C$42, 8.2496, 8.2496) * CHOOSE(CONTROL!$C$21, $C$9, 100%, $E$9)</f>
        <v>8.2495999999999992</v>
      </c>
      <c r="Q144" s="17">
        <f>CHOOSE(CONTROL!$C$42, 8.9024, 8.9024) * CHOOSE(CONTROL!$C$21, $C$9, 100%, $E$9)</f>
        <v>8.9024000000000001</v>
      </c>
      <c r="R144" s="17">
        <f>CHOOSE(CONTROL!$C$42, 9.5117, 9.5117) * CHOOSE(CONTROL!$C$21, $C$9, 100%, $E$9)</f>
        <v>9.5116999999999994</v>
      </c>
      <c r="S144" s="17">
        <f>CHOOSE(CONTROL!$C$42, 8.0069, 8.0069) * CHOOSE(CONTROL!$C$21, $C$9, 100%, $E$9)</f>
        <v>8.0068999999999999</v>
      </c>
      <c r="T14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44" s="56">
        <f>(1000*CHOOSE(CONTROL!$C$42, 695, 695)*CHOOSE(CONTROL!$C$42, 0.5599, 0.5599)*CHOOSE(CONTROL!$C$42, 31, 31))/1000000</f>
        <v>12.063045499999998</v>
      </c>
      <c r="V144" s="56">
        <f>(1000*CHOOSE(CONTROL!$C$42, 500, 500)*CHOOSE(CONTROL!$C$42, 0.275, 0.275)*CHOOSE(CONTROL!$C$42, 31, 31))/1000000</f>
        <v>4.2625000000000002</v>
      </c>
      <c r="W144" s="56">
        <f>(1000*CHOOSE(CONTROL!$C$42, 0.0916, 0.0916)*CHOOSE(CONTROL!$C$42, 121.5, 121.5)*CHOOSE(CONTROL!$C$42, 31, 31))/1000000</f>
        <v>0.34501139999999997</v>
      </c>
      <c r="X144" s="56">
        <f>(31*0.2374*100000/1000000)</f>
        <v>0.73594000000000004</v>
      </c>
      <c r="Y144" s="56"/>
      <c r="Z144" s="17"/>
      <c r="AA144" s="55"/>
      <c r="AB144" s="48">
        <f>(B144*122.58+C144*297.941+D144*89.177+E144*140.302+F144*40+G144*60+H144*0+I144*100+J144*300)/(122.58+297.941+89.177+140.302+0+40+60+100+300)</f>
        <v>8.3000613999999988</v>
      </c>
      <c r="AC144" s="45">
        <f>(M144*'RAP TEMPLATE-GAS AVAILABILITY'!O143+N144*'RAP TEMPLATE-GAS AVAILABILITY'!P143+O144*'RAP TEMPLATE-GAS AVAILABILITY'!Q143+P144*'RAP TEMPLATE-GAS AVAILABILITY'!R143)/('RAP TEMPLATE-GAS AVAILABILITY'!O143+'RAP TEMPLATE-GAS AVAILABILITY'!P143+'RAP TEMPLATE-GAS AVAILABILITY'!Q143+'RAP TEMPLATE-GAS AVAILABILITY'!R143)</f>
        <v>8.2619359712230214</v>
      </c>
    </row>
    <row r="145" spans="1:29" ht="15.75" x14ac:dyDescent="0.25">
      <c r="A145" s="16">
        <v>45292</v>
      </c>
      <c r="B145" s="17">
        <f>CHOOSE(CONTROL!$C$42, 8.7987, 8.7987) * CHOOSE(CONTROL!$C$21, $C$9, 100%, $E$9)</f>
        <v>8.7987000000000002</v>
      </c>
      <c r="C145" s="17">
        <f>CHOOSE(CONTROL!$C$42, 8.8038, 8.8038) * CHOOSE(CONTROL!$C$21, $C$9, 100%, $E$9)</f>
        <v>8.8038000000000007</v>
      </c>
      <c r="D145" s="17">
        <f>CHOOSE(CONTROL!$C$42, 8.9006, 8.9006) * CHOOSE(CONTROL!$C$21, $C$9, 100%, $E$9)</f>
        <v>8.9006000000000007</v>
      </c>
      <c r="E145" s="17">
        <f>CHOOSE(CONTROL!$C$42, 8.9344, 8.9344) * CHOOSE(CONTROL!$C$21, $C$9, 100%, $E$9)</f>
        <v>8.9344000000000001</v>
      </c>
      <c r="F145" s="17">
        <f>CHOOSE(CONTROL!$C$42, 8.813, 8.813)*CHOOSE(CONTROL!$C$21, $C$9, 100%, $E$9)</f>
        <v>8.8130000000000006</v>
      </c>
      <c r="G145" s="17">
        <f>CHOOSE(CONTROL!$C$42, 8.8294, 8.8294)*CHOOSE(CONTROL!$C$21, $C$9, 100%, $E$9)</f>
        <v>8.8293999999999997</v>
      </c>
      <c r="H145" s="17">
        <f>CHOOSE(CONTROL!$C$42, 8.9233, 8.9233) * CHOOSE(CONTROL!$C$21, $C$9, 100%, $E$9)</f>
        <v>8.9232999999999993</v>
      </c>
      <c r="I145" s="17">
        <f>CHOOSE(CONTROL!$C$42, 8.851, 8.851)* CHOOSE(CONTROL!$C$21, $C$9, 100%, $E$9)</f>
        <v>8.8510000000000009</v>
      </c>
      <c r="J145" s="17">
        <f>CHOOSE(CONTROL!$C$42, 8.8056, 8.8056)* CHOOSE(CONTROL!$C$21, $C$9, 100%, $E$9)</f>
        <v>8.8056000000000001</v>
      </c>
      <c r="K145" s="52">
        <f>CHOOSE(CONTROL!$C$42, 8.8449, 8.8449) * CHOOSE(CONTROL!$C$21, $C$9, 100%, $E$9)</f>
        <v>8.8449000000000009</v>
      </c>
      <c r="L145" s="17">
        <f>CHOOSE(CONTROL!$C$42, 9.5103, 9.5103) * CHOOSE(CONTROL!$C$21, $C$9, 100%, $E$9)</f>
        <v>9.5103000000000009</v>
      </c>
      <c r="M145" s="17">
        <f>CHOOSE(CONTROL!$C$42, 8.7334, 8.7334) * CHOOSE(CONTROL!$C$21, $C$9, 100%, $E$9)</f>
        <v>8.7333999999999996</v>
      </c>
      <c r="N145" s="17">
        <f>CHOOSE(CONTROL!$C$42, 8.7496, 8.7496) * CHOOSE(CONTROL!$C$21, $C$9, 100%, $E$9)</f>
        <v>8.7495999999999992</v>
      </c>
      <c r="O145" s="17">
        <f>CHOOSE(CONTROL!$C$42, 8.85, 8.85) * CHOOSE(CONTROL!$C$21, $C$9, 100%, $E$9)</f>
        <v>8.85</v>
      </c>
      <c r="P145" s="17">
        <f>CHOOSE(CONTROL!$C$42, 8.7782, 8.7782) * CHOOSE(CONTROL!$C$21, $C$9, 100%, $E$9)</f>
        <v>8.7782</v>
      </c>
      <c r="Q145" s="17">
        <f>CHOOSE(CONTROL!$C$42, 9.4447, 9.4447) * CHOOSE(CONTROL!$C$21, $C$9, 100%, $E$9)</f>
        <v>9.4446999999999992</v>
      </c>
      <c r="R145" s="17">
        <f>CHOOSE(CONTROL!$C$42, 10.0553, 10.0553) * CHOOSE(CONTROL!$C$21, $C$9, 100%, $E$9)</f>
        <v>10.055300000000001</v>
      </c>
      <c r="S145" s="17">
        <f>CHOOSE(CONTROL!$C$42, 8.5226, 8.5226) * CHOOSE(CONTROL!$C$21, $C$9, 100%, $E$9)</f>
        <v>8.5226000000000006</v>
      </c>
      <c r="T14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45" s="56">
        <f>(1000*CHOOSE(CONTROL!$C$42, 695, 695)*CHOOSE(CONTROL!$C$42, 0.5599, 0.5599)*CHOOSE(CONTROL!$C$42, 31, 31))/1000000</f>
        <v>12.063045499999998</v>
      </c>
      <c r="V145" s="56">
        <f>(1000*CHOOSE(CONTROL!$C$42, 500, 500)*CHOOSE(CONTROL!$C$42, 0.275, 0.275)*CHOOSE(CONTROL!$C$42, 31, 31))/1000000</f>
        <v>4.2625000000000002</v>
      </c>
      <c r="W145" s="56">
        <f>(1000*CHOOSE(CONTROL!$C$42, 0.0916, 0.0916)*CHOOSE(CONTROL!$C$42, 121.5, 121.5)*CHOOSE(CONTROL!$C$42, 31, 31))/1000000</f>
        <v>0.34501139999999997</v>
      </c>
      <c r="X145" s="56">
        <f>(31*0.2374*100000/1000000)</f>
        <v>0.73594000000000004</v>
      </c>
      <c r="Y145" s="56"/>
      <c r="Z145" s="17"/>
      <c r="AA145" s="55"/>
      <c r="AB145" s="48">
        <f>(B145*122.58+C145*297.941+D145*89.177+E145*140.302+F145*40+G145*60+H145*0+I145*100+J145*300)/(122.58+297.941+89.177+140.302+0+40+60+100+300)</f>
        <v>8.8329257537391292</v>
      </c>
      <c r="AC145" s="45">
        <f>(M145*'RAP TEMPLATE-GAS AVAILABILITY'!O144+N145*'RAP TEMPLATE-GAS AVAILABILITY'!P144+O145*'RAP TEMPLATE-GAS AVAILABILITY'!Q144+P145*'RAP TEMPLATE-GAS AVAILABILITY'!R144)/('RAP TEMPLATE-GAS AVAILABILITY'!O144+'RAP TEMPLATE-GAS AVAILABILITY'!P144+'RAP TEMPLATE-GAS AVAILABILITY'!Q144+'RAP TEMPLATE-GAS AVAILABILITY'!R144)</f>
        <v>8.7936258992805758</v>
      </c>
    </row>
    <row r="146" spans="1:29" ht="15.75" x14ac:dyDescent="0.25">
      <c r="A146" s="16">
        <v>45323</v>
      </c>
      <c r="B146" s="17">
        <f>CHOOSE(CONTROL!$C$42, 8.9736, 8.9736) * CHOOSE(CONTROL!$C$21, $C$9, 100%, $E$9)</f>
        <v>8.9735999999999994</v>
      </c>
      <c r="C146" s="17">
        <f>CHOOSE(CONTROL!$C$42, 8.9787, 8.9787) * CHOOSE(CONTROL!$C$21, $C$9, 100%, $E$9)</f>
        <v>8.9786999999999999</v>
      </c>
      <c r="D146" s="17">
        <f>CHOOSE(CONTROL!$C$42, 9.0755, 9.0755) * CHOOSE(CONTROL!$C$21, $C$9, 100%, $E$9)</f>
        <v>9.0754999999999999</v>
      </c>
      <c r="E146" s="17">
        <f>CHOOSE(CONTROL!$C$42, 9.1092, 9.1092) * CHOOSE(CONTROL!$C$21, $C$9, 100%, $E$9)</f>
        <v>9.1091999999999995</v>
      </c>
      <c r="F146" s="17">
        <f>CHOOSE(CONTROL!$C$42, 8.9878, 8.9878)*CHOOSE(CONTROL!$C$21, $C$9, 100%, $E$9)</f>
        <v>8.9878</v>
      </c>
      <c r="G146" s="17">
        <f>CHOOSE(CONTROL!$C$42, 9.0042, 9.0042)*CHOOSE(CONTROL!$C$21, $C$9, 100%, $E$9)</f>
        <v>9.0042000000000009</v>
      </c>
      <c r="H146" s="17">
        <f>CHOOSE(CONTROL!$C$42, 9.0981, 9.0981) * CHOOSE(CONTROL!$C$21, $C$9, 100%, $E$9)</f>
        <v>9.0981000000000005</v>
      </c>
      <c r="I146" s="17">
        <f>CHOOSE(CONTROL!$C$42, 9.0264, 9.0264)* CHOOSE(CONTROL!$C$21, $C$9, 100%, $E$9)</f>
        <v>9.0264000000000006</v>
      </c>
      <c r="J146" s="17">
        <f>CHOOSE(CONTROL!$C$42, 8.9804, 8.9804)* CHOOSE(CONTROL!$C$21, $C$9, 100%, $E$9)</f>
        <v>8.9803999999999995</v>
      </c>
      <c r="K146" s="52">
        <f>CHOOSE(CONTROL!$C$42, 9.0203, 9.0203) * CHOOSE(CONTROL!$C$21, $C$9, 100%, $E$9)</f>
        <v>9.0203000000000007</v>
      </c>
      <c r="L146" s="17">
        <f>CHOOSE(CONTROL!$C$42, 9.6851, 9.6851) * CHOOSE(CONTROL!$C$21, $C$9, 100%, $E$9)</f>
        <v>9.6851000000000003</v>
      </c>
      <c r="M146" s="17">
        <f>CHOOSE(CONTROL!$C$42, 8.9067, 8.9067) * CHOOSE(CONTROL!$C$21, $C$9, 100%, $E$9)</f>
        <v>8.9067000000000007</v>
      </c>
      <c r="N146" s="17">
        <f>CHOOSE(CONTROL!$C$42, 8.9229, 8.9229) * CHOOSE(CONTROL!$C$21, $C$9, 100%, $E$9)</f>
        <v>8.9229000000000003</v>
      </c>
      <c r="O146" s="17">
        <f>CHOOSE(CONTROL!$C$42, 9.0233, 9.0233) * CHOOSE(CONTROL!$C$21, $C$9, 100%, $E$9)</f>
        <v>9.0233000000000008</v>
      </c>
      <c r="P146" s="17">
        <f>CHOOSE(CONTROL!$C$42, 8.952, 8.952) * CHOOSE(CONTROL!$C$21, $C$9, 100%, $E$9)</f>
        <v>8.952</v>
      </c>
      <c r="Q146" s="17">
        <f>CHOOSE(CONTROL!$C$42, 9.618, 9.618) * CHOOSE(CONTROL!$C$21, $C$9, 100%, $E$9)</f>
        <v>9.6180000000000003</v>
      </c>
      <c r="R146" s="17">
        <f>CHOOSE(CONTROL!$C$42, 10.229, 10.229) * CHOOSE(CONTROL!$C$21, $C$9, 100%, $E$9)</f>
        <v>10.228999999999999</v>
      </c>
      <c r="S146" s="17">
        <f>CHOOSE(CONTROL!$C$42, 8.6922, 8.6922) * CHOOSE(CONTROL!$C$21, $C$9, 100%, $E$9)</f>
        <v>8.6921999999999997</v>
      </c>
      <c r="T146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146" s="56">
        <f>(1000*CHOOSE(CONTROL!$C$42, 695, 695)*CHOOSE(CONTROL!$C$42, 0.5599, 0.5599)*CHOOSE(CONTROL!$C$42, 29, 29))/1000000</f>
        <v>11.284784499999999</v>
      </c>
      <c r="V146" s="56">
        <f>(1000*CHOOSE(CONTROL!$C$42, 500, 500)*CHOOSE(CONTROL!$C$42, 0.275, 0.275)*CHOOSE(CONTROL!$C$42, 29, 29))/1000000</f>
        <v>3.9874999999999998</v>
      </c>
      <c r="W146" s="56">
        <f>(1000*CHOOSE(CONTROL!$C$42, 0.0916, 0.0916)*CHOOSE(CONTROL!$C$42, 121.5, 121.5)*CHOOSE(CONTROL!$C$42, 29, 29))/1000000</f>
        <v>0.3227526</v>
      </c>
      <c r="X146" s="56">
        <f>(29*0.2374*100000/1000000)</f>
        <v>0.68845999999999996</v>
      </c>
      <c r="Y146" s="56"/>
      <c r="Z146" s="17"/>
      <c r="AA146" s="55"/>
      <c r="AB146" s="48">
        <f>(B146*122.58+C146*297.941+D146*89.177+E146*140.302+F146*40+G146*60+H146*0+I146*100+J146*300)/(122.58+297.941+89.177+140.302+0+40+60+100+300)</f>
        <v>9.0078222492173907</v>
      </c>
      <c r="AC146" s="45">
        <f>(M146*'RAP TEMPLATE-GAS AVAILABILITY'!O145+N146*'RAP TEMPLATE-GAS AVAILABILITY'!P145+O146*'RAP TEMPLATE-GAS AVAILABILITY'!Q145+P146*'RAP TEMPLATE-GAS AVAILABILITY'!R145)/('RAP TEMPLATE-GAS AVAILABILITY'!O145+'RAP TEMPLATE-GAS AVAILABILITY'!P145+'RAP TEMPLATE-GAS AVAILABILITY'!Q145+'RAP TEMPLATE-GAS AVAILABILITY'!R145)</f>
        <v>8.9669978417266183</v>
      </c>
    </row>
    <row r="147" spans="1:29" ht="15.75" x14ac:dyDescent="0.25">
      <c r="A147" s="16">
        <v>45352</v>
      </c>
      <c r="B147" s="17">
        <f>CHOOSE(CONTROL!$C$42, 8.737, 8.737) * CHOOSE(CONTROL!$C$21, $C$9, 100%, $E$9)</f>
        <v>8.7370000000000001</v>
      </c>
      <c r="C147" s="17">
        <f>CHOOSE(CONTROL!$C$42, 8.7421, 8.7421) * CHOOSE(CONTROL!$C$21, $C$9, 100%, $E$9)</f>
        <v>8.7421000000000006</v>
      </c>
      <c r="D147" s="17">
        <f>CHOOSE(CONTROL!$C$42, 8.839, 8.839) * CHOOSE(CONTROL!$C$21, $C$9, 100%, $E$9)</f>
        <v>8.8390000000000004</v>
      </c>
      <c r="E147" s="17">
        <f>CHOOSE(CONTROL!$C$42, 8.8727, 8.8727) * CHOOSE(CONTROL!$C$21, $C$9, 100%, $E$9)</f>
        <v>8.8727</v>
      </c>
      <c r="F147" s="17">
        <f>CHOOSE(CONTROL!$C$42, 8.7506, 8.7506)*CHOOSE(CONTROL!$C$21, $C$9, 100%, $E$9)</f>
        <v>8.7506000000000004</v>
      </c>
      <c r="G147" s="17">
        <f>CHOOSE(CONTROL!$C$42, 8.7669, 8.7669)*CHOOSE(CONTROL!$C$21, $C$9, 100%, $E$9)</f>
        <v>8.7668999999999997</v>
      </c>
      <c r="H147" s="17">
        <f>CHOOSE(CONTROL!$C$42, 8.8616, 8.8616) * CHOOSE(CONTROL!$C$21, $C$9, 100%, $E$9)</f>
        <v>8.8615999999999993</v>
      </c>
      <c r="I147" s="17">
        <f>CHOOSE(CONTROL!$C$42, 8.7891, 8.7891)* CHOOSE(CONTROL!$C$21, $C$9, 100%, $E$9)</f>
        <v>8.7890999999999995</v>
      </c>
      <c r="J147" s="17">
        <f>CHOOSE(CONTROL!$C$42, 8.7432, 8.7432)* CHOOSE(CONTROL!$C$21, $C$9, 100%, $E$9)</f>
        <v>8.7431999999999999</v>
      </c>
      <c r="K147" s="52">
        <f>CHOOSE(CONTROL!$C$42, 8.7831, 8.7831) * CHOOSE(CONTROL!$C$21, $C$9, 100%, $E$9)</f>
        <v>8.7830999999999992</v>
      </c>
      <c r="L147" s="17">
        <f>CHOOSE(CONTROL!$C$42, 9.4486, 9.4486) * CHOOSE(CONTROL!$C$21, $C$9, 100%, $E$9)</f>
        <v>9.4486000000000008</v>
      </c>
      <c r="M147" s="17">
        <f>CHOOSE(CONTROL!$C$42, 8.6716, 8.6716) * CHOOSE(CONTROL!$C$21, $C$9, 100%, $E$9)</f>
        <v>8.6715999999999998</v>
      </c>
      <c r="N147" s="17">
        <f>CHOOSE(CONTROL!$C$42, 8.6877, 8.6877) * CHOOSE(CONTROL!$C$21, $C$9, 100%, $E$9)</f>
        <v>8.6876999999999995</v>
      </c>
      <c r="O147" s="17">
        <f>CHOOSE(CONTROL!$C$42, 8.7889, 8.7889) * CHOOSE(CONTROL!$C$21, $C$9, 100%, $E$9)</f>
        <v>8.7888999999999999</v>
      </c>
      <c r="P147" s="17">
        <f>CHOOSE(CONTROL!$C$42, 8.7169, 8.7169) * CHOOSE(CONTROL!$C$21, $C$9, 100%, $E$9)</f>
        <v>8.7169000000000008</v>
      </c>
      <c r="Q147" s="17">
        <f>CHOOSE(CONTROL!$C$42, 9.3836, 9.3836) * CHOOSE(CONTROL!$C$21, $C$9, 100%, $E$9)</f>
        <v>9.3835999999999995</v>
      </c>
      <c r="R147" s="17">
        <f>CHOOSE(CONTROL!$C$42, 9.9941, 9.9941) * CHOOSE(CONTROL!$C$21, $C$9, 100%, $E$9)</f>
        <v>9.9940999999999995</v>
      </c>
      <c r="S147" s="17">
        <f>CHOOSE(CONTROL!$C$42, 8.4628, 8.4628) * CHOOSE(CONTROL!$C$21, $C$9, 100%, $E$9)</f>
        <v>8.4627999999999997</v>
      </c>
      <c r="T14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47" s="56">
        <f>(1000*CHOOSE(CONTROL!$C$42, 695, 695)*CHOOSE(CONTROL!$C$42, 0.5599, 0.5599)*CHOOSE(CONTROL!$C$42, 31, 31))/1000000</f>
        <v>12.063045499999998</v>
      </c>
      <c r="V147" s="56">
        <f>(1000*CHOOSE(CONTROL!$C$42, 500, 500)*CHOOSE(CONTROL!$C$42, 0.275, 0.275)*CHOOSE(CONTROL!$C$42, 31, 31))/1000000</f>
        <v>4.2625000000000002</v>
      </c>
      <c r="W147" s="56">
        <f>(1000*CHOOSE(CONTROL!$C$42, 0.0916, 0.0916)*CHOOSE(CONTROL!$C$42, 121.5, 121.5)*CHOOSE(CONTROL!$C$42, 31, 31))/1000000</f>
        <v>0.34501139999999997</v>
      </c>
      <c r="X147" s="56">
        <f>(31*0.2374*100000/1000000)</f>
        <v>0.73594000000000004</v>
      </c>
      <c r="Y147" s="56"/>
      <c r="Z147" s="17"/>
      <c r="AA147" s="55"/>
      <c r="AB147" s="48">
        <f>(B147*122.58+C147*297.941+D147*89.177+E147*140.302+F147*40+G147*60+H147*0+I147*100+J147*300)/(122.58+297.941+89.177+140.302+0+40+60+100+300)</f>
        <v>8.7709674213043485</v>
      </c>
      <c r="AC147" s="45">
        <f>(M147*'RAP TEMPLATE-GAS AVAILABILITY'!O146+N147*'RAP TEMPLATE-GAS AVAILABILITY'!P146+O147*'RAP TEMPLATE-GAS AVAILABILITY'!Q146+P147*'RAP TEMPLATE-GAS AVAILABILITY'!R146)/('RAP TEMPLATE-GAS AVAILABILITY'!O146+'RAP TEMPLATE-GAS AVAILABILITY'!P146+'RAP TEMPLATE-GAS AVAILABILITY'!Q146+'RAP TEMPLATE-GAS AVAILABILITY'!R146)</f>
        <v>8.7322093525179856</v>
      </c>
    </row>
    <row r="148" spans="1:29" ht="15.75" x14ac:dyDescent="0.25">
      <c r="A148" s="16">
        <v>45383</v>
      </c>
      <c r="B148" s="17">
        <f>CHOOSE(CONTROL!$C$42, 8.7298, 8.7298) * CHOOSE(CONTROL!$C$21, $C$9, 100%, $E$9)</f>
        <v>8.7297999999999991</v>
      </c>
      <c r="C148" s="17">
        <f>CHOOSE(CONTROL!$C$42, 8.7343, 8.7343) * CHOOSE(CONTROL!$C$21, $C$9, 100%, $E$9)</f>
        <v>8.7342999999999993</v>
      </c>
      <c r="D148" s="17">
        <f>CHOOSE(CONTROL!$C$42, 8.9819, 8.9819) * CHOOSE(CONTROL!$C$21, $C$9, 100%, $E$9)</f>
        <v>8.9818999999999996</v>
      </c>
      <c r="E148" s="17">
        <f>CHOOSE(CONTROL!$C$42, 9.0137, 9.0137) * CHOOSE(CONTROL!$C$21, $C$9, 100%, $E$9)</f>
        <v>9.0137</v>
      </c>
      <c r="F148" s="17">
        <f>CHOOSE(CONTROL!$C$42, 8.7415, 8.7415)*CHOOSE(CONTROL!$C$21, $C$9, 100%, $E$9)</f>
        <v>8.7415000000000003</v>
      </c>
      <c r="G148" s="17">
        <f>CHOOSE(CONTROL!$C$42, 8.7574, 8.7574)*CHOOSE(CONTROL!$C$21, $C$9, 100%, $E$9)</f>
        <v>8.7574000000000005</v>
      </c>
      <c r="H148" s="17">
        <f>CHOOSE(CONTROL!$C$42, 9.0031, 9.0031) * CHOOSE(CONTROL!$C$21, $C$9, 100%, $E$9)</f>
        <v>9.0030999999999999</v>
      </c>
      <c r="I148" s="17">
        <f>CHOOSE(CONTROL!$C$42, 8.7795, 8.7795)* CHOOSE(CONTROL!$C$21, $C$9, 100%, $E$9)</f>
        <v>8.7795000000000005</v>
      </c>
      <c r="J148" s="17">
        <f>CHOOSE(CONTROL!$C$42, 8.7341, 8.7341)* CHOOSE(CONTROL!$C$21, $C$9, 100%, $E$9)</f>
        <v>8.7340999999999998</v>
      </c>
      <c r="K148" s="52">
        <f>CHOOSE(CONTROL!$C$42, 8.7735, 8.7735) * CHOOSE(CONTROL!$C$21, $C$9, 100%, $E$9)</f>
        <v>8.7735000000000003</v>
      </c>
      <c r="L148" s="17">
        <f>CHOOSE(CONTROL!$C$42, 9.5901, 9.5901) * CHOOSE(CONTROL!$C$21, $C$9, 100%, $E$9)</f>
        <v>9.5900999999999996</v>
      </c>
      <c r="M148" s="17">
        <f>CHOOSE(CONTROL!$C$42, 8.6625, 8.6625) * CHOOSE(CONTROL!$C$21, $C$9, 100%, $E$9)</f>
        <v>8.6624999999999996</v>
      </c>
      <c r="N148" s="17">
        <f>CHOOSE(CONTROL!$C$42, 8.6783, 8.6783) * CHOOSE(CONTROL!$C$21, $C$9, 100%, $E$9)</f>
        <v>8.6783000000000001</v>
      </c>
      <c r="O148" s="17">
        <f>CHOOSE(CONTROL!$C$42, 8.9292, 8.9292) * CHOOSE(CONTROL!$C$21, $C$9, 100%, $E$9)</f>
        <v>8.9291999999999998</v>
      </c>
      <c r="P148" s="17">
        <f>CHOOSE(CONTROL!$C$42, 8.7074, 8.7074) * CHOOSE(CONTROL!$C$21, $C$9, 100%, $E$9)</f>
        <v>8.7073999999999998</v>
      </c>
      <c r="Q148" s="17">
        <f>CHOOSE(CONTROL!$C$42, 9.5239, 9.5239) * CHOOSE(CONTROL!$C$21, $C$9, 100%, $E$9)</f>
        <v>9.5238999999999994</v>
      </c>
      <c r="R148" s="17">
        <f>CHOOSE(CONTROL!$C$42, 10.1347, 10.1347) * CHOOSE(CONTROL!$C$21, $C$9, 100%, $E$9)</f>
        <v>10.1347</v>
      </c>
      <c r="S148" s="17">
        <f>CHOOSE(CONTROL!$C$42, 8.4551, 8.4551) * CHOOSE(CONTROL!$C$21, $C$9, 100%, $E$9)</f>
        <v>8.4550999999999998</v>
      </c>
      <c r="T14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48" s="56">
        <f>(1000*CHOOSE(CONTROL!$C$42, 695, 695)*CHOOSE(CONTROL!$C$42, 0.5599, 0.5599)*CHOOSE(CONTROL!$C$42, 30, 30))/1000000</f>
        <v>11.673914999999997</v>
      </c>
      <c r="V148" s="56">
        <f>(1000*CHOOSE(CONTROL!$C$42, 500, 500)*CHOOSE(CONTROL!$C$42, 0.275, 0.275)*CHOOSE(CONTROL!$C$42, 30, 30))/1000000</f>
        <v>4.125</v>
      </c>
      <c r="W148" s="56">
        <f>(1000*CHOOSE(CONTROL!$C$42, 0.0916, 0.0916)*CHOOSE(CONTROL!$C$42, 121.5, 121.5)*CHOOSE(CONTROL!$C$42, 30, 30))/1000000</f>
        <v>0.33388200000000001</v>
      </c>
      <c r="X148" s="56">
        <f>(30*0.1790888*145000/1000000)+(30*0.2374*100000/1000000)</f>
        <v>1.4912362799999999</v>
      </c>
      <c r="Y148" s="56"/>
      <c r="Z148" s="17"/>
      <c r="AA148" s="55"/>
      <c r="AB148" s="48">
        <f>(B148*141.293+C148*267.993+D148*115.016+E148*189.698+F148*40+G148*85+H148*0+I148*100+J148*300)/(141.293+267.993+115.016+189.698+0+40+85+100+300)</f>
        <v>8.8049660728813564</v>
      </c>
      <c r="AC148" s="45">
        <f>(M148*'RAP TEMPLATE-GAS AVAILABILITY'!O147+N148*'RAP TEMPLATE-GAS AVAILABILITY'!P147+O148*'RAP TEMPLATE-GAS AVAILABILITY'!Q147+P148*'RAP TEMPLATE-GAS AVAILABILITY'!R147)/('RAP TEMPLATE-GAS AVAILABILITY'!O147+'RAP TEMPLATE-GAS AVAILABILITY'!P147+'RAP TEMPLATE-GAS AVAILABILITY'!Q147+'RAP TEMPLATE-GAS AVAILABILITY'!R147)</f>
        <v>8.747427338129496</v>
      </c>
    </row>
    <row r="149" spans="1:29" ht="15.75" x14ac:dyDescent="0.25">
      <c r="A149" s="16">
        <v>45413</v>
      </c>
      <c r="B149" s="17">
        <f>CHOOSE(CONTROL!$C$42, 8.8263, 8.8263) * CHOOSE(CONTROL!$C$21, $C$9, 100%, $E$9)</f>
        <v>8.8262999999999998</v>
      </c>
      <c r="C149" s="17">
        <f>CHOOSE(CONTROL!$C$42, 8.8342, 8.8342) * CHOOSE(CONTROL!$C$21, $C$9, 100%, $E$9)</f>
        <v>8.8341999999999992</v>
      </c>
      <c r="D149" s="17">
        <f>CHOOSE(CONTROL!$C$42, 9.0787, 9.0787) * CHOOSE(CONTROL!$C$21, $C$9, 100%, $E$9)</f>
        <v>9.0786999999999995</v>
      </c>
      <c r="E149" s="17">
        <f>CHOOSE(CONTROL!$C$42, 9.1099, 9.1099) * CHOOSE(CONTROL!$C$21, $C$9, 100%, $E$9)</f>
        <v>9.1098999999999997</v>
      </c>
      <c r="F149" s="17">
        <f>CHOOSE(CONTROL!$C$42, 8.8368, 8.8368)*CHOOSE(CONTROL!$C$21, $C$9, 100%, $E$9)</f>
        <v>8.8368000000000002</v>
      </c>
      <c r="G149" s="17">
        <f>CHOOSE(CONTROL!$C$42, 8.853, 8.853)*CHOOSE(CONTROL!$C$21, $C$9, 100%, $E$9)</f>
        <v>8.8529999999999998</v>
      </c>
      <c r="H149" s="17">
        <f>CHOOSE(CONTROL!$C$42, 9.0982, 9.0982) * CHOOSE(CONTROL!$C$21, $C$9, 100%, $E$9)</f>
        <v>9.0982000000000003</v>
      </c>
      <c r="I149" s="17">
        <f>CHOOSE(CONTROL!$C$42, 8.8749, 8.8749)* CHOOSE(CONTROL!$C$21, $C$9, 100%, $E$9)</f>
        <v>8.8749000000000002</v>
      </c>
      <c r="J149" s="17">
        <f>CHOOSE(CONTROL!$C$42, 8.8294, 8.8294)* CHOOSE(CONTROL!$C$21, $C$9, 100%, $E$9)</f>
        <v>8.8293999999999997</v>
      </c>
      <c r="K149" s="52">
        <f>CHOOSE(CONTROL!$C$42, 8.8689, 8.8689) * CHOOSE(CONTROL!$C$21, $C$9, 100%, $E$9)</f>
        <v>8.8689</v>
      </c>
      <c r="L149" s="17">
        <f>CHOOSE(CONTROL!$C$42, 9.6852, 9.6852) * CHOOSE(CONTROL!$C$21, $C$9, 100%, $E$9)</f>
        <v>9.6852</v>
      </c>
      <c r="M149" s="17">
        <f>CHOOSE(CONTROL!$C$42, 8.757, 8.757) * CHOOSE(CONTROL!$C$21, $C$9, 100%, $E$9)</f>
        <v>8.7569999999999997</v>
      </c>
      <c r="N149" s="17">
        <f>CHOOSE(CONTROL!$C$42, 8.7731, 8.7731) * CHOOSE(CONTROL!$C$21, $C$9, 100%, $E$9)</f>
        <v>8.7730999999999995</v>
      </c>
      <c r="O149" s="17">
        <f>CHOOSE(CONTROL!$C$42, 9.0234, 9.0234) * CHOOSE(CONTROL!$C$21, $C$9, 100%, $E$9)</f>
        <v>9.0234000000000005</v>
      </c>
      <c r="P149" s="17">
        <f>CHOOSE(CONTROL!$C$42, 8.8019, 8.8019) * CHOOSE(CONTROL!$C$21, $C$9, 100%, $E$9)</f>
        <v>8.8018999999999998</v>
      </c>
      <c r="Q149" s="17">
        <f>CHOOSE(CONTROL!$C$42, 9.6181, 9.6181) * CHOOSE(CONTROL!$C$21, $C$9, 100%, $E$9)</f>
        <v>9.6181000000000001</v>
      </c>
      <c r="R149" s="17">
        <f>CHOOSE(CONTROL!$C$42, 10.2291, 10.2291) * CHOOSE(CONTROL!$C$21, $C$9, 100%, $E$9)</f>
        <v>10.229100000000001</v>
      </c>
      <c r="S149" s="17">
        <f>CHOOSE(CONTROL!$C$42, 8.5472, 8.5472) * CHOOSE(CONTROL!$C$21, $C$9, 100%, $E$9)</f>
        <v>8.5472000000000001</v>
      </c>
      <c r="T14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49" s="56">
        <f>(1000*CHOOSE(CONTROL!$C$42, 695, 695)*CHOOSE(CONTROL!$C$42, 0.5599, 0.5599)*CHOOSE(CONTROL!$C$42, 31, 31))/1000000</f>
        <v>12.063045499999998</v>
      </c>
      <c r="V149" s="56">
        <f>(1000*CHOOSE(CONTROL!$C$42, 500, 500)*CHOOSE(CONTROL!$C$42, 0.275, 0.275)*CHOOSE(CONTROL!$C$42, 31, 31))/1000000</f>
        <v>4.2625000000000002</v>
      </c>
      <c r="W149" s="56">
        <f>(1000*CHOOSE(CONTROL!$C$42, 0.0916, 0.0916)*CHOOSE(CONTROL!$C$42, 121.5, 121.5)*CHOOSE(CONTROL!$C$42, 31, 31))/1000000</f>
        <v>0.34501139999999997</v>
      </c>
      <c r="X149" s="56">
        <f>(31*0.1790888*145000/1000000)+(31*0.2374*100000/1000000)</f>
        <v>1.5409441560000001</v>
      </c>
      <c r="Y149" s="56"/>
      <c r="Z149" s="17"/>
      <c r="AA149" s="55"/>
      <c r="AB149" s="48">
        <f>(B149*194.205+C149*267.466+D149*133.845+E149*153.484+F149*40+G149*85+H149*0+I149*100+J149*300)/(194.205+267.466+133.845+153.484+0+40+85+100+300)</f>
        <v>8.8952976623233901</v>
      </c>
      <c r="AC149" s="45">
        <f>(M149*'RAP TEMPLATE-GAS AVAILABILITY'!O148+N149*'RAP TEMPLATE-GAS AVAILABILITY'!P148+O149*'RAP TEMPLATE-GAS AVAILABILITY'!Q148+P149*'RAP TEMPLATE-GAS AVAILABILITY'!R148)/('RAP TEMPLATE-GAS AVAILABILITY'!O148+'RAP TEMPLATE-GAS AVAILABILITY'!P148+'RAP TEMPLATE-GAS AVAILABILITY'!Q148+'RAP TEMPLATE-GAS AVAILABILITY'!R148)</f>
        <v>8.8419122302158275</v>
      </c>
    </row>
    <row r="150" spans="1:29" ht="15.75" x14ac:dyDescent="0.25">
      <c r="A150" s="16">
        <v>45444</v>
      </c>
      <c r="B150" s="17">
        <f>CHOOSE(CONTROL!$C$42, 9.0949, 9.0949) * CHOOSE(CONTROL!$C$21, $C$9, 100%, $E$9)</f>
        <v>9.0949000000000009</v>
      </c>
      <c r="C150" s="17">
        <f>CHOOSE(CONTROL!$C$42, 9.1029, 9.1029) * CHOOSE(CONTROL!$C$21, $C$9, 100%, $E$9)</f>
        <v>9.1029</v>
      </c>
      <c r="D150" s="17">
        <f>CHOOSE(CONTROL!$C$42, 9.3474, 9.3474) * CHOOSE(CONTROL!$C$21, $C$9, 100%, $E$9)</f>
        <v>9.3474000000000004</v>
      </c>
      <c r="E150" s="17">
        <f>CHOOSE(CONTROL!$C$42, 9.3786, 9.3786) * CHOOSE(CONTROL!$C$21, $C$9, 100%, $E$9)</f>
        <v>9.3786000000000005</v>
      </c>
      <c r="F150" s="17">
        <f>CHOOSE(CONTROL!$C$42, 9.1058, 9.1058)*CHOOSE(CONTROL!$C$21, $C$9, 100%, $E$9)</f>
        <v>9.1058000000000003</v>
      </c>
      <c r="G150" s="17">
        <f>CHOOSE(CONTROL!$C$42, 9.1221, 9.1221)*CHOOSE(CONTROL!$C$21, $C$9, 100%, $E$9)</f>
        <v>9.1220999999999997</v>
      </c>
      <c r="H150" s="17">
        <f>CHOOSE(CONTROL!$C$42, 9.3669, 9.3669) * CHOOSE(CONTROL!$C$21, $C$9, 100%, $E$9)</f>
        <v>9.3668999999999993</v>
      </c>
      <c r="I150" s="17">
        <f>CHOOSE(CONTROL!$C$42, 9.1444, 9.1444)* CHOOSE(CONTROL!$C$21, $C$9, 100%, $E$9)</f>
        <v>9.1443999999999992</v>
      </c>
      <c r="J150" s="17">
        <f>CHOOSE(CONTROL!$C$42, 9.0984, 9.0984)* CHOOSE(CONTROL!$C$21, $C$9, 100%, $E$9)</f>
        <v>9.0983999999999998</v>
      </c>
      <c r="K150" s="52">
        <f>CHOOSE(CONTROL!$C$42, 9.1384, 9.1384) * CHOOSE(CONTROL!$C$21, $C$9, 100%, $E$9)</f>
        <v>9.1384000000000007</v>
      </c>
      <c r="L150" s="17">
        <f>CHOOSE(CONTROL!$C$42, 9.9539, 9.9539) * CHOOSE(CONTROL!$C$21, $C$9, 100%, $E$9)</f>
        <v>9.9539000000000009</v>
      </c>
      <c r="M150" s="17">
        <f>CHOOSE(CONTROL!$C$42, 9.0236, 9.0236) * CHOOSE(CONTROL!$C$21, $C$9, 100%, $E$9)</f>
        <v>9.0236000000000001</v>
      </c>
      <c r="N150" s="17">
        <f>CHOOSE(CONTROL!$C$42, 9.0397, 9.0397) * CHOOSE(CONTROL!$C$21, $C$9, 100%, $E$9)</f>
        <v>9.0396999999999998</v>
      </c>
      <c r="O150" s="17">
        <f>CHOOSE(CONTROL!$C$42, 9.2896, 9.2896) * CHOOSE(CONTROL!$C$21, $C$9, 100%, $E$9)</f>
        <v>9.2896000000000001</v>
      </c>
      <c r="P150" s="17">
        <f>CHOOSE(CONTROL!$C$42, 9.069, 9.069) * CHOOSE(CONTROL!$C$21, $C$9, 100%, $E$9)</f>
        <v>9.0690000000000008</v>
      </c>
      <c r="Q150" s="17">
        <f>CHOOSE(CONTROL!$C$42, 9.8843, 9.8843) * CHOOSE(CONTROL!$C$21, $C$9, 100%, $E$9)</f>
        <v>9.8842999999999996</v>
      </c>
      <c r="R150" s="17">
        <f>CHOOSE(CONTROL!$C$42, 10.4961, 10.4961) * CHOOSE(CONTROL!$C$21, $C$9, 100%, $E$9)</f>
        <v>10.4961</v>
      </c>
      <c r="S150" s="17">
        <f>CHOOSE(CONTROL!$C$42, 8.8078, 8.8078) * CHOOSE(CONTROL!$C$21, $C$9, 100%, $E$9)</f>
        <v>8.8078000000000003</v>
      </c>
      <c r="T15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50" s="56">
        <f>(1000*CHOOSE(CONTROL!$C$42, 695, 695)*CHOOSE(CONTROL!$C$42, 0.5599, 0.5599)*CHOOSE(CONTROL!$C$42, 30, 30))/1000000</f>
        <v>11.673914999999997</v>
      </c>
      <c r="V150" s="56">
        <f>(1000*CHOOSE(CONTROL!$C$42, 500, 500)*CHOOSE(CONTROL!$C$42, 0.275, 0.275)*CHOOSE(CONTROL!$C$42, 30, 30))/1000000</f>
        <v>4.125</v>
      </c>
      <c r="W150" s="56">
        <f>(1000*CHOOSE(CONTROL!$C$42, 0.0916, 0.0916)*CHOOSE(CONTROL!$C$42, 121.5, 121.5)*CHOOSE(CONTROL!$C$42, 30, 30))/1000000</f>
        <v>0.33388200000000001</v>
      </c>
      <c r="X150" s="56">
        <f>(30*0.1790888*145000/1000000)+(30*0.2374*100000/1000000)</f>
        <v>1.4912362799999999</v>
      </c>
      <c r="Y150" s="56"/>
      <c r="Z150" s="17"/>
      <c r="AA150" s="55"/>
      <c r="AB150" s="48">
        <f>(B150*194.205+C150*267.466+D150*133.845+E150*153.484+F150*40+G150*85+H150*0+I150*100+J150*300)/(194.205+267.466+133.845+153.484+0+40+85+100+300)</f>
        <v>9.1641519633437998</v>
      </c>
      <c r="AC150" s="45">
        <f>(M150*'RAP TEMPLATE-GAS AVAILABILITY'!O149+N150*'RAP TEMPLATE-GAS AVAILABILITY'!P149+O150*'RAP TEMPLATE-GAS AVAILABILITY'!Q149+P150*'RAP TEMPLATE-GAS AVAILABILITY'!R149)/('RAP TEMPLATE-GAS AVAILABILITY'!O149+'RAP TEMPLATE-GAS AVAILABILITY'!P149+'RAP TEMPLATE-GAS AVAILABILITY'!Q149+'RAP TEMPLATE-GAS AVAILABILITY'!R149)</f>
        <v>9.1084719424460445</v>
      </c>
    </row>
    <row r="151" spans="1:29" ht="15.75" x14ac:dyDescent="0.25">
      <c r="A151" s="16">
        <v>45474</v>
      </c>
      <c r="B151" s="17">
        <f>CHOOSE(CONTROL!$C$42, 8.939, 8.939) * CHOOSE(CONTROL!$C$21, $C$9, 100%, $E$9)</f>
        <v>8.9390000000000001</v>
      </c>
      <c r="C151" s="17">
        <f>CHOOSE(CONTROL!$C$42, 8.947, 8.947) * CHOOSE(CONTROL!$C$21, $C$9, 100%, $E$9)</f>
        <v>8.9469999999999992</v>
      </c>
      <c r="D151" s="17">
        <f>CHOOSE(CONTROL!$C$42, 9.1915, 9.1915) * CHOOSE(CONTROL!$C$21, $C$9, 100%, $E$9)</f>
        <v>9.1914999999999996</v>
      </c>
      <c r="E151" s="17">
        <f>CHOOSE(CONTROL!$C$42, 9.2227, 9.2227) * CHOOSE(CONTROL!$C$21, $C$9, 100%, $E$9)</f>
        <v>9.2226999999999997</v>
      </c>
      <c r="F151" s="17">
        <f>CHOOSE(CONTROL!$C$42, 8.9504, 8.9504)*CHOOSE(CONTROL!$C$21, $C$9, 100%, $E$9)</f>
        <v>8.9504000000000001</v>
      </c>
      <c r="G151" s="17">
        <f>CHOOSE(CONTROL!$C$42, 8.9668, 8.9668)*CHOOSE(CONTROL!$C$21, $C$9, 100%, $E$9)</f>
        <v>8.9667999999999992</v>
      </c>
      <c r="H151" s="17">
        <f>CHOOSE(CONTROL!$C$42, 9.211, 9.211) * CHOOSE(CONTROL!$C$21, $C$9, 100%, $E$9)</f>
        <v>9.2110000000000003</v>
      </c>
      <c r="I151" s="17">
        <f>CHOOSE(CONTROL!$C$42, 8.988, 8.988)* CHOOSE(CONTROL!$C$21, $C$9, 100%, $E$9)</f>
        <v>8.9879999999999995</v>
      </c>
      <c r="J151" s="17">
        <f>CHOOSE(CONTROL!$C$42, 8.943, 8.943)* CHOOSE(CONTROL!$C$21, $C$9, 100%, $E$9)</f>
        <v>8.9429999999999996</v>
      </c>
      <c r="K151" s="52">
        <f>CHOOSE(CONTROL!$C$42, 8.982, 8.982) * CHOOSE(CONTROL!$C$21, $C$9, 100%, $E$9)</f>
        <v>8.9819999999999993</v>
      </c>
      <c r="L151" s="17">
        <f>CHOOSE(CONTROL!$C$42, 9.798, 9.798) * CHOOSE(CONTROL!$C$21, $C$9, 100%, $E$9)</f>
        <v>9.798</v>
      </c>
      <c r="M151" s="17">
        <f>CHOOSE(CONTROL!$C$42, 8.8695, 8.8695) * CHOOSE(CONTROL!$C$21, $C$9, 100%, $E$9)</f>
        <v>8.8695000000000004</v>
      </c>
      <c r="N151" s="17">
        <f>CHOOSE(CONTROL!$C$42, 8.8858, 8.8858) * CHOOSE(CONTROL!$C$21, $C$9, 100%, $E$9)</f>
        <v>8.8857999999999997</v>
      </c>
      <c r="O151" s="17">
        <f>CHOOSE(CONTROL!$C$42, 9.1352, 9.1352) * CHOOSE(CONTROL!$C$21, $C$9, 100%, $E$9)</f>
        <v>9.1351999999999993</v>
      </c>
      <c r="P151" s="17">
        <f>CHOOSE(CONTROL!$C$42, 8.914, 8.914) * CHOOSE(CONTROL!$C$21, $C$9, 100%, $E$9)</f>
        <v>8.9139999999999997</v>
      </c>
      <c r="Q151" s="17">
        <f>CHOOSE(CONTROL!$C$42, 9.7299, 9.7299) * CHOOSE(CONTROL!$C$21, $C$9, 100%, $E$9)</f>
        <v>9.7299000000000007</v>
      </c>
      <c r="R151" s="17">
        <f>CHOOSE(CONTROL!$C$42, 10.3412, 10.3412) * CHOOSE(CONTROL!$C$21, $C$9, 100%, $E$9)</f>
        <v>10.341200000000001</v>
      </c>
      <c r="S151" s="17">
        <f>CHOOSE(CONTROL!$C$42, 8.6566, 8.6566) * CHOOSE(CONTROL!$C$21, $C$9, 100%, $E$9)</f>
        <v>8.6565999999999992</v>
      </c>
      <c r="T15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51" s="56">
        <f>(1000*CHOOSE(CONTROL!$C$42, 695, 695)*CHOOSE(CONTROL!$C$42, 0.5599, 0.5599)*CHOOSE(CONTROL!$C$42, 31, 31))/1000000</f>
        <v>12.063045499999998</v>
      </c>
      <c r="V151" s="56">
        <f>(1000*CHOOSE(CONTROL!$C$42, 500, 500)*CHOOSE(CONTROL!$C$42, 0.275, 0.275)*CHOOSE(CONTROL!$C$42, 31, 31))/1000000</f>
        <v>4.2625000000000002</v>
      </c>
      <c r="W151" s="56">
        <f>(1000*CHOOSE(CONTROL!$C$42, 0.0916, 0.0916)*CHOOSE(CONTROL!$C$42, 121.5, 121.5)*CHOOSE(CONTROL!$C$42, 31, 31))/1000000</f>
        <v>0.34501139999999997</v>
      </c>
      <c r="X151" s="56">
        <f>(31*0.1790888*145000/1000000)+(31*0.2374*100000/1000000)</f>
        <v>1.5409441560000001</v>
      </c>
      <c r="Y151" s="56"/>
      <c r="Z151" s="17"/>
      <c r="AA151" s="55"/>
      <c r="AB151" s="48">
        <f>(B151*194.205+C151*267.466+D151*133.845+E151*153.484+F151*40+G151*85+H151*0+I151*100+J151*300)/(194.205+267.466+133.845+153.484+0+40+85+100+300)</f>
        <v>9.0083861862637349</v>
      </c>
      <c r="AC151" s="45">
        <f>(M151*'RAP TEMPLATE-GAS AVAILABILITY'!O150+N151*'RAP TEMPLATE-GAS AVAILABILITY'!P150+O151*'RAP TEMPLATE-GAS AVAILABILITY'!Q150+P151*'RAP TEMPLATE-GAS AVAILABILITY'!R150)/('RAP TEMPLATE-GAS AVAILABILITY'!O150+'RAP TEMPLATE-GAS AVAILABILITY'!P150+'RAP TEMPLATE-GAS AVAILABILITY'!Q150+'RAP TEMPLATE-GAS AVAILABILITY'!R150)</f>
        <v>8.9542043165467629</v>
      </c>
    </row>
    <row r="152" spans="1:29" ht="15.75" x14ac:dyDescent="0.25">
      <c r="A152" s="16">
        <v>45505</v>
      </c>
      <c r="B152" s="17">
        <f>CHOOSE(CONTROL!$C$42, 8.5156, 8.5156) * CHOOSE(CONTROL!$C$21, $C$9, 100%, $E$9)</f>
        <v>8.5155999999999992</v>
      </c>
      <c r="C152" s="17">
        <f>CHOOSE(CONTROL!$C$42, 8.5236, 8.5236) * CHOOSE(CONTROL!$C$21, $C$9, 100%, $E$9)</f>
        <v>8.5236000000000001</v>
      </c>
      <c r="D152" s="17">
        <f>CHOOSE(CONTROL!$C$42, 8.7681, 8.7681) * CHOOSE(CONTROL!$C$21, $C$9, 100%, $E$9)</f>
        <v>8.7681000000000004</v>
      </c>
      <c r="E152" s="17">
        <f>CHOOSE(CONTROL!$C$42, 8.7992, 8.7992) * CHOOSE(CONTROL!$C$21, $C$9, 100%, $E$9)</f>
        <v>8.7992000000000008</v>
      </c>
      <c r="F152" s="17">
        <f>CHOOSE(CONTROL!$C$42, 8.5272, 8.5272)*CHOOSE(CONTROL!$C$21, $C$9, 100%, $E$9)</f>
        <v>8.5272000000000006</v>
      </c>
      <c r="G152" s="17">
        <f>CHOOSE(CONTROL!$C$42, 8.5437, 8.5437)*CHOOSE(CONTROL!$C$21, $C$9, 100%, $E$9)</f>
        <v>8.5436999999999994</v>
      </c>
      <c r="H152" s="17">
        <f>CHOOSE(CONTROL!$C$42, 8.7876, 8.7876) * CHOOSE(CONTROL!$C$21, $C$9, 100%, $E$9)</f>
        <v>8.7875999999999994</v>
      </c>
      <c r="I152" s="17">
        <f>CHOOSE(CONTROL!$C$42, 8.5633, 8.5633)* CHOOSE(CONTROL!$C$21, $C$9, 100%, $E$9)</f>
        <v>8.5632999999999999</v>
      </c>
      <c r="J152" s="17">
        <f>CHOOSE(CONTROL!$C$42, 8.5198, 8.5198)* CHOOSE(CONTROL!$C$21, $C$9, 100%, $E$9)</f>
        <v>8.5198</v>
      </c>
      <c r="K152" s="52">
        <f>CHOOSE(CONTROL!$C$42, 8.5573, 8.5573) * CHOOSE(CONTROL!$C$21, $C$9, 100%, $E$9)</f>
        <v>8.5572999999999997</v>
      </c>
      <c r="L152" s="17">
        <f>CHOOSE(CONTROL!$C$42, 9.3746, 9.3746) * CHOOSE(CONTROL!$C$21, $C$9, 100%, $E$9)</f>
        <v>9.3745999999999992</v>
      </c>
      <c r="M152" s="17">
        <f>CHOOSE(CONTROL!$C$42, 8.4501, 8.4501) * CHOOSE(CONTROL!$C$21, $C$9, 100%, $E$9)</f>
        <v>8.4501000000000008</v>
      </c>
      <c r="N152" s="17">
        <f>CHOOSE(CONTROL!$C$42, 8.4665, 8.4665) * CHOOSE(CONTROL!$C$21, $C$9, 100%, $E$9)</f>
        <v>8.4664999999999999</v>
      </c>
      <c r="O152" s="17">
        <f>CHOOSE(CONTROL!$C$42, 8.7155, 8.7155) * CHOOSE(CONTROL!$C$21, $C$9, 100%, $E$9)</f>
        <v>8.7155000000000005</v>
      </c>
      <c r="P152" s="17">
        <f>CHOOSE(CONTROL!$C$42, 8.4931, 8.4931) * CHOOSE(CONTROL!$C$21, $C$9, 100%, $E$9)</f>
        <v>8.4931000000000001</v>
      </c>
      <c r="Q152" s="17">
        <f>CHOOSE(CONTROL!$C$42, 9.3102, 9.3102) * CHOOSE(CONTROL!$C$21, $C$9, 100%, $E$9)</f>
        <v>9.3102</v>
      </c>
      <c r="R152" s="17">
        <f>CHOOSE(CONTROL!$C$42, 9.9205, 9.9205) * CHOOSE(CONTROL!$C$21, $C$9, 100%, $E$9)</f>
        <v>9.9205000000000005</v>
      </c>
      <c r="S152" s="17">
        <f>CHOOSE(CONTROL!$C$42, 8.246, 8.246) * CHOOSE(CONTROL!$C$21, $C$9, 100%, $E$9)</f>
        <v>8.2460000000000004</v>
      </c>
      <c r="T15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52" s="56">
        <f>(1000*CHOOSE(CONTROL!$C$42, 695, 695)*CHOOSE(CONTROL!$C$42, 0.5599, 0.5599)*CHOOSE(CONTROL!$C$42, 31, 31))/1000000</f>
        <v>12.063045499999998</v>
      </c>
      <c r="V152" s="56">
        <f>(1000*CHOOSE(CONTROL!$C$42, 500, 500)*CHOOSE(CONTROL!$C$42, 0.275, 0.275)*CHOOSE(CONTROL!$C$42, 31, 31))/1000000</f>
        <v>4.2625000000000002</v>
      </c>
      <c r="W152" s="56">
        <f>(1000*CHOOSE(CONTROL!$C$42, 0.0916, 0.0916)*CHOOSE(CONTROL!$C$42, 121.5, 121.5)*CHOOSE(CONTROL!$C$42, 31, 31))/1000000</f>
        <v>0.34501139999999997</v>
      </c>
      <c r="X152" s="56">
        <f>(31*0.1790888*145000/1000000)+(31*0.2374*100000/1000000)</f>
        <v>1.5409441560000001</v>
      </c>
      <c r="Y152" s="56"/>
      <c r="Z152" s="17"/>
      <c r="AA152" s="55"/>
      <c r="AB152" s="48">
        <f>(B152*194.205+C152*267.466+D152*133.845+E152*153.484+F152*40+G152*85+H152*0+I152*100+J152*300)/(194.205+267.466+133.845+153.484+0+40+85+100+300)</f>
        <v>8.5849454889324956</v>
      </c>
      <c r="AC152" s="45">
        <f>(M152*'RAP TEMPLATE-GAS AVAILABILITY'!O151+N152*'RAP TEMPLATE-GAS AVAILABILITY'!P151+O152*'RAP TEMPLATE-GAS AVAILABILITY'!Q151+P152*'RAP TEMPLATE-GAS AVAILABILITY'!R151)/('RAP TEMPLATE-GAS AVAILABILITY'!O151+'RAP TEMPLATE-GAS AVAILABILITY'!P151+'RAP TEMPLATE-GAS AVAILABILITY'!Q151+'RAP TEMPLATE-GAS AVAILABILITY'!R151)</f>
        <v>8.5345273381294966</v>
      </c>
    </row>
    <row r="153" spans="1:29" ht="15.75" x14ac:dyDescent="0.25">
      <c r="A153" s="16">
        <v>45536</v>
      </c>
      <c r="B153" s="17">
        <f>CHOOSE(CONTROL!$C$42, 7.992, 7.992) * CHOOSE(CONTROL!$C$21, $C$9, 100%, $E$9)</f>
        <v>7.992</v>
      </c>
      <c r="C153" s="17">
        <f>CHOOSE(CONTROL!$C$42, 7.9999, 7.9999) * CHOOSE(CONTROL!$C$21, $C$9, 100%, $E$9)</f>
        <v>7.9999000000000002</v>
      </c>
      <c r="D153" s="17">
        <f>CHOOSE(CONTROL!$C$42, 8.2444, 8.2444) * CHOOSE(CONTROL!$C$21, $C$9, 100%, $E$9)</f>
        <v>8.2444000000000006</v>
      </c>
      <c r="E153" s="17">
        <f>CHOOSE(CONTROL!$C$42, 8.2756, 8.2756) * CHOOSE(CONTROL!$C$21, $C$9, 100%, $E$9)</f>
        <v>8.2756000000000007</v>
      </c>
      <c r="F153" s="17">
        <f>CHOOSE(CONTROL!$C$42, 8.0036, 8.0036)*CHOOSE(CONTROL!$C$21, $C$9, 100%, $E$9)</f>
        <v>8.0036000000000005</v>
      </c>
      <c r="G153" s="17">
        <f>CHOOSE(CONTROL!$C$42, 8.0201, 8.0201)*CHOOSE(CONTROL!$C$21, $C$9, 100%, $E$9)</f>
        <v>8.0200999999999993</v>
      </c>
      <c r="H153" s="17">
        <f>CHOOSE(CONTROL!$C$42, 8.2639, 8.2639) * CHOOSE(CONTROL!$C$21, $C$9, 100%, $E$9)</f>
        <v>8.2638999999999996</v>
      </c>
      <c r="I153" s="17">
        <f>CHOOSE(CONTROL!$C$42, 8.038, 8.038)* CHOOSE(CONTROL!$C$21, $C$9, 100%, $E$9)</f>
        <v>8.0380000000000003</v>
      </c>
      <c r="J153" s="17">
        <f>CHOOSE(CONTROL!$C$42, 7.9962, 7.9962)* CHOOSE(CONTROL!$C$21, $C$9, 100%, $E$9)</f>
        <v>7.9962</v>
      </c>
      <c r="K153" s="52">
        <f>CHOOSE(CONTROL!$C$42, 8.032, 8.032) * CHOOSE(CONTROL!$C$21, $C$9, 100%, $E$9)</f>
        <v>8.032</v>
      </c>
      <c r="L153" s="17">
        <f>CHOOSE(CONTROL!$C$42, 8.8509, 8.8509) * CHOOSE(CONTROL!$C$21, $C$9, 100%, $E$9)</f>
        <v>8.8508999999999993</v>
      </c>
      <c r="M153" s="17">
        <f>CHOOSE(CONTROL!$C$42, 7.9313, 7.9313) * CHOOSE(CONTROL!$C$21, $C$9, 100%, $E$9)</f>
        <v>7.9313000000000002</v>
      </c>
      <c r="N153" s="17">
        <f>CHOOSE(CONTROL!$C$42, 7.9476, 7.9476) * CHOOSE(CONTROL!$C$21, $C$9, 100%, $E$9)</f>
        <v>7.9476000000000004</v>
      </c>
      <c r="O153" s="17">
        <f>CHOOSE(CONTROL!$C$42, 8.1966, 8.1966) * CHOOSE(CONTROL!$C$21, $C$9, 100%, $E$9)</f>
        <v>8.1966000000000001</v>
      </c>
      <c r="P153" s="17">
        <f>CHOOSE(CONTROL!$C$42, 7.9726, 7.9726) * CHOOSE(CONTROL!$C$21, $C$9, 100%, $E$9)</f>
        <v>7.9725999999999999</v>
      </c>
      <c r="Q153" s="17">
        <f>CHOOSE(CONTROL!$C$42, 8.7913, 8.7913) * CHOOSE(CONTROL!$C$21, $C$9, 100%, $E$9)</f>
        <v>8.7912999999999997</v>
      </c>
      <c r="R153" s="17">
        <f>CHOOSE(CONTROL!$C$42, 9.4003, 9.4003) * CHOOSE(CONTROL!$C$21, $C$9, 100%, $E$9)</f>
        <v>9.4002999999999997</v>
      </c>
      <c r="S153" s="17">
        <f>CHOOSE(CONTROL!$C$42, 7.7382, 7.7382) * CHOOSE(CONTROL!$C$21, $C$9, 100%, $E$9)</f>
        <v>7.7382</v>
      </c>
      <c r="T15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53" s="56">
        <f>(1000*CHOOSE(CONTROL!$C$42, 695, 695)*CHOOSE(CONTROL!$C$42, 0.5599, 0.5599)*CHOOSE(CONTROL!$C$42, 30, 30))/1000000</f>
        <v>11.673914999999997</v>
      </c>
      <c r="V153" s="56">
        <f>(1000*CHOOSE(CONTROL!$C$42, 500, 500)*CHOOSE(CONTROL!$C$42, 0.275, 0.275)*CHOOSE(CONTROL!$C$42, 30, 30))/1000000</f>
        <v>4.125</v>
      </c>
      <c r="W153" s="56">
        <f>(1000*CHOOSE(CONTROL!$C$42, 0.0916, 0.0916)*CHOOSE(CONTROL!$C$42, 121.5, 121.5)*CHOOSE(CONTROL!$C$42, 30, 30))/1000000</f>
        <v>0.33388200000000001</v>
      </c>
      <c r="X153" s="56">
        <f>(30*0.1790888*145000/1000000)+(30*0.2374*100000/1000000)</f>
        <v>1.4912362799999999</v>
      </c>
      <c r="Y153" s="56"/>
      <c r="Z153" s="17"/>
      <c r="AA153" s="55"/>
      <c r="AB153" s="48">
        <f>(B153*194.205+C153*267.466+D153*133.845+E153*153.484+F153*40+G153*85+H153*0+I153*100+J153*300)/(194.205+267.466+133.845+153.484+0+40+85+100+300)</f>
        <v>8.0611805508634227</v>
      </c>
      <c r="AC153" s="45">
        <f>(M153*'RAP TEMPLATE-GAS AVAILABILITY'!O152+N153*'RAP TEMPLATE-GAS AVAILABILITY'!P152+O153*'RAP TEMPLATE-GAS AVAILABILITY'!Q152+P153*'RAP TEMPLATE-GAS AVAILABILITY'!R152)/('RAP TEMPLATE-GAS AVAILABILITY'!O152+'RAP TEMPLATE-GAS AVAILABILITY'!P152+'RAP TEMPLATE-GAS AVAILABILITY'!Q152+'RAP TEMPLATE-GAS AVAILABILITY'!R152)</f>
        <v>8.0154316546762594</v>
      </c>
    </row>
    <row r="154" spans="1:29" ht="15.75" x14ac:dyDescent="0.25">
      <c r="A154" s="16">
        <v>45566</v>
      </c>
      <c r="B154" s="17">
        <f>CHOOSE(CONTROL!$C$42, 7.8443, 7.8443) * CHOOSE(CONTROL!$C$21, $C$9, 100%, $E$9)</f>
        <v>7.8442999999999996</v>
      </c>
      <c r="C154" s="17">
        <f>CHOOSE(CONTROL!$C$42, 7.8497, 7.8497) * CHOOSE(CONTROL!$C$21, $C$9, 100%, $E$9)</f>
        <v>7.8497000000000003</v>
      </c>
      <c r="D154" s="17">
        <f>CHOOSE(CONTROL!$C$42, 8.099, 8.099) * CHOOSE(CONTROL!$C$21, $C$9, 100%, $E$9)</f>
        <v>8.0990000000000002</v>
      </c>
      <c r="E154" s="17">
        <f>CHOOSE(CONTROL!$C$42, 8.1279, 8.1279) * CHOOSE(CONTROL!$C$21, $C$9, 100%, $E$9)</f>
        <v>8.1279000000000003</v>
      </c>
      <c r="F154" s="17">
        <f>CHOOSE(CONTROL!$C$42, 7.8581, 7.8581)*CHOOSE(CONTROL!$C$21, $C$9, 100%, $E$9)</f>
        <v>7.8581000000000003</v>
      </c>
      <c r="G154" s="17">
        <f>CHOOSE(CONTROL!$C$42, 7.8745, 7.8745)*CHOOSE(CONTROL!$C$21, $C$9, 100%, $E$9)</f>
        <v>7.8745000000000003</v>
      </c>
      <c r="H154" s="17">
        <f>CHOOSE(CONTROL!$C$42, 8.118, 8.118) * CHOOSE(CONTROL!$C$21, $C$9, 100%, $E$9)</f>
        <v>8.1180000000000003</v>
      </c>
      <c r="I154" s="17">
        <f>CHOOSE(CONTROL!$C$42, 7.8917, 7.8917)* CHOOSE(CONTROL!$C$21, $C$9, 100%, $E$9)</f>
        <v>7.8917000000000002</v>
      </c>
      <c r="J154" s="17">
        <f>CHOOSE(CONTROL!$C$42, 7.8507, 7.8507)* CHOOSE(CONTROL!$C$21, $C$9, 100%, $E$9)</f>
        <v>7.8506999999999998</v>
      </c>
      <c r="K154" s="52">
        <f>CHOOSE(CONTROL!$C$42, 7.8856, 7.8856) * CHOOSE(CONTROL!$C$21, $C$9, 100%, $E$9)</f>
        <v>7.8856000000000002</v>
      </c>
      <c r="L154" s="17">
        <f>CHOOSE(CONTROL!$C$42, 8.705, 8.705) * CHOOSE(CONTROL!$C$21, $C$9, 100%, $E$9)</f>
        <v>8.7050000000000001</v>
      </c>
      <c r="M154" s="17">
        <f>CHOOSE(CONTROL!$C$42, 7.7871, 7.7871) * CHOOSE(CONTROL!$C$21, $C$9, 100%, $E$9)</f>
        <v>7.7870999999999997</v>
      </c>
      <c r="N154" s="17">
        <f>CHOOSE(CONTROL!$C$42, 7.8034, 7.8034) * CHOOSE(CONTROL!$C$21, $C$9, 100%, $E$9)</f>
        <v>7.8033999999999999</v>
      </c>
      <c r="O154" s="17">
        <f>CHOOSE(CONTROL!$C$42, 8.052, 8.052) * CHOOSE(CONTROL!$C$21, $C$9, 100%, $E$9)</f>
        <v>8.0519999999999996</v>
      </c>
      <c r="P154" s="17">
        <f>CHOOSE(CONTROL!$C$42, 7.8275, 7.8275) * CHOOSE(CONTROL!$C$21, $C$9, 100%, $E$9)</f>
        <v>7.8274999999999997</v>
      </c>
      <c r="Q154" s="17">
        <f>CHOOSE(CONTROL!$C$42, 8.6467, 8.6467) * CHOOSE(CONTROL!$C$21, $C$9, 100%, $E$9)</f>
        <v>8.6466999999999992</v>
      </c>
      <c r="R154" s="17">
        <f>CHOOSE(CONTROL!$C$42, 9.2553, 9.2553) * CHOOSE(CONTROL!$C$21, $C$9, 100%, $E$9)</f>
        <v>9.2553000000000001</v>
      </c>
      <c r="S154" s="17">
        <f>CHOOSE(CONTROL!$C$42, 7.5967, 7.5967) * CHOOSE(CONTROL!$C$21, $C$9, 100%, $E$9)</f>
        <v>7.5967000000000002</v>
      </c>
      <c r="T15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54" s="56">
        <f>(1000*CHOOSE(CONTROL!$C$42, 695, 695)*CHOOSE(CONTROL!$C$42, 0.5599, 0.5599)*CHOOSE(CONTROL!$C$42, 31, 31))/1000000</f>
        <v>12.063045499999998</v>
      </c>
      <c r="V154" s="56">
        <f>(1000*CHOOSE(CONTROL!$C$42, 500, 500)*CHOOSE(CONTROL!$C$42, 0.275, 0.275)*CHOOSE(CONTROL!$C$42, 31, 31))/1000000</f>
        <v>4.2625000000000002</v>
      </c>
      <c r="W154" s="56">
        <f>(1000*CHOOSE(CONTROL!$C$42, 0.0916, 0.0916)*CHOOSE(CONTROL!$C$42, 121.5, 121.5)*CHOOSE(CONTROL!$C$42, 31, 31))/1000000</f>
        <v>0.34501139999999997</v>
      </c>
      <c r="X154" s="56">
        <f>(31*0.1790888*145000/1000000)+(31*0.2374*100000/1000000)</f>
        <v>1.5409441560000001</v>
      </c>
      <c r="Y154" s="56"/>
      <c r="Z154" s="17"/>
      <c r="AA154" s="55"/>
      <c r="AB154" s="48">
        <f>(B154*131.881+C154*277.167+D154*79.08+E154*225.872+F154*40+G154*85+H154*0+I154*100+J154*300)/(131.881+277.167+79.08+225.872+0+40+85+100+300)</f>
        <v>7.9213578506860358</v>
      </c>
      <c r="AC154" s="45">
        <f>(M154*'RAP TEMPLATE-GAS AVAILABILITY'!O153+N154*'RAP TEMPLATE-GAS AVAILABILITY'!P153+O154*'RAP TEMPLATE-GAS AVAILABILITY'!Q153+P154*'RAP TEMPLATE-GAS AVAILABILITY'!R153)/('RAP TEMPLATE-GAS AVAILABILITY'!O153+'RAP TEMPLATE-GAS AVAILABILITY'!P153+'RAP TEMPLATE-GAS AVAILABILITY'!Q153+'RAP TEMPLATE-GAS AVAILABILITY'!R153)</f>
        <v>7.8709899280575533</v>
      </c>
    </row>
    <row r="155" spans="1:29" ht="15.75" x14ac:dyDescent="0.25">
      <c r="A155" s="16">
        <v>45597</v>
      </c>
      <c r="B155" s="17">
        <f>CHOOSE(CONTROL!$C$42, 8.0669, 8.0669) * CHOOSE(CONTROL!$C$21, $C$9, 100%, $E$9)</f>
        <v>8.0669000000000004</v>
      </c>
      <c r="C155" s="17">
        <f>CHOOSE(CONTROL!$C$42, 8.0719, 8.0719) * CHOOSE(CONTROL!$C$21, $C$9, 100%, $E$9)</f>
        <v>8.0718999999999994</v>
      </c>
      <c r="D155" s="17">
        <f>CHOOSE(CONTROL!$C$42, 8.1533, 8.1533) * CHOOSE(CONTROL!$C$21, $C$9, 100%, $E$9)</f>
        <v>8.1532999999999998</v>
      </c>
      <c r="E155" s="17">
        <f>CHOOSE(CONTROL!$C$42, 8.1871, 8.1871) * CHOOSE(CONTROL!$C$21, $C$9, 100%, $E$9)</f>
        <v>8.1870999999999992</v>
      </c>
      <c r="F155" s="17">
        <f>CHOOSE(CONTROL!$C$42, 8.0848, 8.0848)*CHOOSE(CONTROL!$C$21, $C$9, 100%, $E$9)</f>
        <v>8.0847999999999995</v>
      </c>
      <c r="G155" s="17">
        <f>CHOOSE(CONTROL!$C$42, 8.1015, 8.1015)*CHOOSE(CONTROL!$C$21, $C$9, 100%, $E$9)</f>
        <v>8.1014999999999997</v>
      </c>
      <c r="H155" s="17">
        <f>CHOOSE(CONTROL!$C$42, 8.1759, 8.1759) * CHOOSE(CONTROL!$C$21, $C$9, 100%, $E$9)</f>
        <v>8.1759000000000004</v>
      </c>
      <c r="I155" s="17">
        <f>CHOOSE(CONTROL!$C$42, 8.1168, 8.1168)* CHOOSE(CONTROL!$C$21, $C$9, 100%, $E$9)</f>
        <v>8.1167999999999996</v>
      </c>
      <c r="J155" s="17">
        <f>CHOOSE(CONTROL!$C$42, 8.0774, 8.0774)* CHOOSE(CONTROL!$C$21, $C$9, 100%, $E$9)</f>
        <v>8.0774000000000008</v>
      </c>
      <c r="K155" s="52">
        <f>CHOOSE(CONTROL!$C$42, 8.1108, 8.1108) * CHOOSE(CONTROL!$C$21, $C$9, 100%, $E$9)</f>
        <v>8.1107999999999993</v>
      </c>
      <c r="L155" s="17">
        <f>CHOOSE(CONTROL!$C$42, 8.7629, 8.7629) * CHOOSE(CONTROL!$C$21, $C$9, 100%, $E$9)</f>
        <v>8.7629000000000001</v>
      </c>
      <c r="M155" s="17">
        <f>CHOOSE(CONTROL!$C$42, 8.0118, 8.0118) * CHOOSE(CONTROL!$C$21, $C$9, 100%, $E$9)</f>
        <v>8.0117999999999991</v>
      </c>
      <c r="N155" s="17">
        <f>CHOOSE(CONTROL!$C$42, 8.0283, 8.0283) * CHOOSE(CONTROL!$C$21, $C$9, 100%, $E$9)</f>
        <v>8.0282999999999998</v>
      </c>
      <c r="O155" s="17">
        <f>CHOOSE(CONTROL!$C$42, 8.1094, 8.1094) * CHOOSE(CONTROL!$C$21, $C$9, 100%, $E$9)</f>
        <v>8.1094000000000008</v>
      </c>
      <c r="P155" s="17">
        <f>CHOOSE(CONTROL!$C$42, 8.0507, 8.0507) * CHOOSE(CONTROL!$C$21, $C$9, 100%, $E$9)</f>
        <v>8.0507000000000009</v>
      </c>
      <c r="Q155" s="17">
        <f>CHOOSE(CONTROL!$C$42, 8.7041, 8.7041) * CHOOSE(CONTROL!$C$21, $C$9, 100%, $E$9)</f>
        <v>8.7041000000000004</v>
      </c>
      <c r="R155" s="17">
        <f>CHOOSE(CONTROL!$C$42, 9.3129, 9.3129) * CHOOSE(CONTROL!$C$21, $C$9, 100%, $E$9)</f>
        <v>9.3129000000000008</v>
      </c>
      <c r="S155" s="17">
        <f>CHOOSE(CONTROL!$C$42, 7.8129, 7.8129) * CHOOSE(CONTROL!$C$21, $C$9, 100%, $E$9)</f>
        <v>7.8129</v>
      </c>
      <c r="T15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55" s="56">
        <f>(1000*CHOOSE(CONTROL!$C$42, 695, 695)*CHOOSE(CONTROL!$C$42, 0.5599, 0.5599)*CHOOSE(CONTROL!$C$42, 30, 30))/1000000</f>
        <v>11.673914999999997</v>
      </c>
      <c r="V155" s="56">
        <f>(1000*CHOOSE(CONTROL!$C$42, 500, 500)*CHOOSE(CONTROL!$C$42, 0.275, 0.275)*CHOOSE(CONTROL!$C$42, 30, 30))/1000000</f>
        <v>4.125</v>
      </c>
      <c r="W155" s="56">
        <f>(1000*CHOOSE(CONTROL!$C$42, 0.0916, 0.0916)*CHOOSE(CONTROL!$C$42, 121.5, 121.5)*CHOOSE(CONTROL!$C$42, 30, 30))/1000000</f>
        <v>0.33388200000000001</v>
      </c>
      <c r="X155" s="56">
        <f>(30*0.2374*100000/1000000)</f>
        <v>0.71220000000000006</v>
      </c>
      <c r="Y155" s="56"/>
      <c r="Z155" s="17"/>
      <c r="AA155" s="55"/>
      <c r="AB155" s="48">
        <f>(B155*122.58+C155*297.941+D155*89.177+E155*140.302+F155*40+G155*60+H155*0+I155*100+J155*300)/(122.58+297.941+89.177+140.302+0+40+60+100+300)</f>
        <v>8.0990659984347815</v>
      </c>
      <c r="AC155" s="45">
        <f>(M155*'RAP TEMPLATE-GAS AVAILABILITY'!O154+N155*'RAP TEMPLATE-GAS AVAILABILITY'!P154+O155*'RAP TEMPLATE-GAS AVAILABILITY'!Q154+P155*'RAP TEMPLATE-GAS AVAILABILITY'!R154)/('RAP TEMPLATE-GAS AVAILABILITY'!O154+'RAP TEMPLATE-GAS AVAILABILITY'!P154+'RAP TEMPLATE-GAS AVAILABILITY'!Q154+'RAP TEMPLATE-GAS AVAILABILITY'!R154)</f>
        <v>8.062582733812949</v>
      </c>
    </row>
    <row r="156" spans="1:29" ht="15.75" x14ac:dyDescent="0.25">
      <c r="A156" s="16">
        <v>45627</v>
      </c>
      <c r="B156" s="17">
        <f>CHOOSE(CONTROL!$C$42, 8.6339, 8.6339) * CHOOSE(CONTROL!$C$21, $C$9, 100%, $E$9)</f>
        <v>8.6339000000000006</v>
      </c>
      <c r="C156" s="17">
        <f>CHOOSE(CONTROL!$C$42, 8.6389, 8.6389) * CHOOSE(CONTROL!$C$21, $C$9, 100%, $E$9)</f>
        <v>8.6388999999999996</v>
      </c>
      <c r="D156" s="17">
        <f>CHOOSE(CONTROL!$C$42, 8.7203, 8.7203) * CHOOSE(CONTROL!$C$21, $C$9, 100%, $E$9)</f>
        <v>8.7202999999999999</v>
      </c>
      <c r="E156" s="17">
        <f>CHOOSE(CONTROL!$C$42, 8.7541, 8.7541) * CHOOSE(CONTROL!$C$21, $C$9, 100%, $E$9)</f>
        <v>8.7540999999999993</v>
      </c>
      <c r="F156" s="17">
        <f>CHOOSE(CONTROL!$C$42, 8.6542, 8.6542)*CHOOSE(CONTROL!$C$21, $C$9, 100%, $E$9)</f>
        <v>8.6541999999999994</v>
      </c>
      <c r="G156" s="17">
        <f>CHOOSE(CONTROL!$C$42, 8.6715, 8.6715)*CHOOSE(CONTROL!$C$21, $C$9, 100%, $E$9)</f>
        <v>8.6715</v>
      </c>
      <c r="H156" s="17">
        <f>CHOOSE(CONTROL!$C$42, 8.7429, 8.7429) * CHOOSE(CONTROL!$C$21, $C$9, 100%, $E$9)</f>
        <v>8.7429000000000006</v>
      </c>
      <c r="I156" s="17">
        <f>CHOOSE(CONTROL!$C$42, 8.6856, 8.6856)* CHOOSE(CONTROL!$C$21, $C$9, 100%, $E$9)</f>
        <v>8.6856000000000009</v>
      </c>
      <c r="J156" s="17">
        <f>CHOOSE(CONTROL!$C$42, 8.6468, 8.6468)* CHOOSE(CONTROL!$C$21, $C$9, 100%, $E$9)</f>
        <v>8.6468000000000007</v>
      </c>
      <c r="K156" s="52">
        <f>CHOOSE(CONTROL!$C$42, 8.6796, 8.6796) * CHOOSE(CONTROL!$C$21, $C$9, 100%, $E$9)</f>
        <v>8.6796000000000006</v>
      </c>
      <c r="L156" s="17">
        <f>CHOOSE(CONTROL!$C$42, 9.3299, 9.3299) * CHOOSE(CONTROL!$C$21, $C$9, 100%, $E$9)</f>
        <v>9.3299000000000003</v>
      </c>
      <c r="M156" s="17">
        <f>CHOOSE(CONTROL!$C$42, 8.576, 8.576) * CHOOSE(CONTROL!$C$21, $C$9, 100%, $E$9)</f>
        <v>8.5760000000000005</v>
      </c>
      <c r="N156" s="17">
        <f>CHOOSE(CONTROL!$C$42, 8.5932, 8.5932) * CHOOSE(CONTROL!$C$21, $C$9, 100%, $E$9)</f>
        <v>8.5931999999999995</v>
      </c>
      <c r="O156" s="17">
        <f>CHOOSE(CONTROL!$C$42, 8.6713, 8.6713) * CHOOSE(CONTROL!$C$21, $C$9, 100%, $E$9)</f>
        <v>8.6713000000000005</v>
      </c>
      <c r="P156" s="17">
        <f>CHOOSE(CONTROL!$C$42, 8.6143, 8.6143) * CHOOSE(CONTROL!$C$21, $C$9, 100%, $E$9)</f>
        <v>8.6143000000000001</v>
      </c>
      <c r="Q156" s="17">
        <f>CHOOSE(CONTROL!$C$42, 9.266, 9.266) * CHOOSE(CONTROL!$C$21, $C$9, 100%, $E$9)</f>
        <v>9.266</v>
      </c>
      <c r="R156" s="17">
        <f>CHOOSE(CONTROL!$C$42, 9.8762, 9.8762) * CHOOSE(CONTROL!$C$21, $C$9, 100%, $E$9)</f>
        <v>9.8762000000000008</v>
      </c>
      <c r="S156" s="17">
        <f>CHOOSE(CONTROL!$C$42, 8.3627, 8.3627) * CHOOSE(CONTROL!$C$21, $C$9, 100%, $E$9)</f>
        <v>8.3627000000000002</v>
      </c>
      <c r="T15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56" s="56">
        <f>(1000*CHOOSE(CONTROL!$C$42, 695, 695)*CHOOSE(CONTROL!$C$42, 0.5599, 0.5599)*CHOOSE(CONTROL!$C$42, 31, 31))/1000000</f>
        <v>12.063045499999998</v>
      </c>
      <c r="V156" s="56">
        <f>(1000*CHOOSE(CONTROL!$C$42, 500, 500)*CHOOSE(CONTROL!$C$42, 0.275, 0.275)*CHOOSE(CONTROL!$C$42, 31, 31))/1000000</f>
        <v>4.2625000000000002</v>
      </c>
      <c r="W156" s="56">
        <f>(1000*CHOOSE(CONTROL!$C$42, 0.0916, 0.0916)*CHOOSE(CONTROL!$C$42, 121.5, 121.5)*CHOOSE(CONTROL!$C$42, 31, 31))/1000000</f>
        <v>0.34501139999999997</v>
      </c>
      <c r="X156" s="56">
        <f>(31*0.2374*100000/1000000)</f>
        <v>0.73594000000000004</v>
      </c>
      <c r="Y156" s="56"/>
      <c r="Z156" s="17"/>
      <c r="AA156" s="55"/>
      <c r="AB156" s="48">
        <f>(B156*122.58+C156*297.941+D156*89.177+E156*140.302+F156*40+G156*60+H156*0+I156*100+J156*300)/(122.58+297.941+89.177+140.302+0+40+60+100+300)</f>
        <v>8.6670886071304345</v>
      </c>
      <c r="AC156" s="45">
        <f>(M156*'RAP TEMPLATE-GAS AVAILABILITY'!O155+N156*'RAP TEMPLATE-GAS AVAILABILITY'!P155+O156*'RAP TEMPLATE-GAS AVAILABILITY'!Q155+P156*'RAP TEMPLATE-GAS AVAILABILITY'!R155)/('RAP TEMPLATE-GAS AVAILABILITY'!O155+'RAP TEMPLATE-GAS AVAILABILITY'!P155+'RAP TEMPLATE-GAS AVAILABILITY'!Q155+'RAP TEMPLATE-GAS AVAILABILITY'!R155)</f>
        <v>8.6256942446043166</v>
      </c>
    </row>
    <row r="157" spans="1:29" ht="15.75" x14ac:dyDescent="0.25">
      <c r="A157" s="16">
        <v>45658</v>
      </c>
      <c r="B157" s="17">
        <f>CHOOSE(CONTROL!$C$42, 9.1708, 9.1708) * CHOOSE(CONTROL!$C$21, $C$9, 100%, $E$9)</f>
        <v>9.1707999999999998</v>
      </c>
      <c r="C157" s="17">
        <f>CHOOSE(CONTROL!$C$42, 9.1759, 9.1759) * CHOOSE(CONTROL!$C$21, $C$9, 100%, $E$9)</f>
        <v>9.1759000000000004</v>
      </c>
      <c r="D157" s="17">
        <f>CHOOSE(CONTROL!$C$42, 9.2727, 9.2727) * CHOOSE(CONTROL!$C$21, $C$9, 100%, $E$9)</f>
        <v>9.2727000000000004</v>
      </c>
      <c r="E157" s="17">
        <f>CHOOSE(CONTROL!$C$42, 9.3065, 9.3065) * CHOOSE(CONTROL!$C$21, $C$9, 100%, $E$9)</f>
        <v>9.3064999999999998</v>
      </c>
      <c r="F157" s="17">
        <f>CHOOSE(CONTROL!$C$42, 9.1851, 9.1851)*CHOOSE(CONTROL!$C$21, $C$9, 100%, $E$9)</f>
        <v>9.1851000000000003</v>
      </c>
      <c r="G157" s="17">
        <f>CHOOSE(CONTROL!$C$42, 9.2015, 9.2015)*CHOOSE(CONTROL!$C$21, $C$9, 100%, $E$9)</f>
        <v>9.2014999999999993</v>
      </c>
      <c r="H157" s="17">
        <f>CHOOSE(CONTROL!$C$42, 9.2954, 9.2954) * CHOOSE(CONTROL!$C$21, $C$9, 100%, $E$9)</f>
        <v>9.2954000000000008</v>
      </c>
      <c r="I157" s="17">
        <f>CHOOSE(CONTROL!$C$42, 9.2242, 9.2242)* CHOOSE(CONTROL!$C$21, $C$9, 100%, $E$9)</f>
        <v>9.2241999999999997</v>
      </c>
      <c r="J157" s="17">
        <f>CHOOSE(CONTROL!$C$42, 9.1777, 9.1777)* CHOOSE(CONTROL!$C$21, $C$9, 100%, $E$9)</f>
        <v>9.1776999999999997</v>
      </c>
      <c r="K157" s="52">
        <f>CHOOSE(CONTROL!$C$42, 9.2182, 9.2182) * CHOOSE(CONTROL!$C$21, $C$9, 100%, $E$9)</f>
        <v>9.2181999999999995</v>
      </c>
      <c r="L157" s="17">
        <f>CHOOSE(CONTROL!$C$42, 9.8824, 9.8824) * CHOOSE(CONTROL!$C$21, $C$9, 100%, $E$9)</f>
        <v>9.8824000000000005</v>
      </c>
      <c r="M157" s="17">
        <f>CHOOSE(CONTROL!$C$42, 9.1021, 9.1021) * CHOOSE(CONTROL!$C$21, $C$9, 100%, $E$9)</f>
        <v>9.1021000000000001</v>
      </c>
      <c r="N157" s="17">
        <f>CHOOSE(CONTROL!$C$42, 9.1184, 9.1184) * CHOOSE(CONTROL!$C$21, $C$9, 100%, $E$9)</f>
        <v>9.1183999999999994</v>
      </c>
      <c r="O157" s="17">
        <f>CHOOSE(CONTROL!$C$42, 9.2188, 9.2188) * CHOOSE(CONTROL!$C$21, $C$9, 100%, $E$9)</f>
        <v>9.2187999999999999</v>
      </c>
      <c r="P157" s="17">
        <f>CHOOSE(CONTROL!$C$42, 9.1481, 9.1481) * CHOOSE(CONTROL!$C$21, $C$9, 100%, $E$9)</f>
        <v>9.1480999999999995</v>
      </c>
      <c r="Q157" s="17">
        <f>CHOOSE(CONTROL!$C$42, 9.8135, 9.8135) * CHOOSE(CONTROL!$C$21, $C$9, 100%, $E$9)</f>
        <v>9.8134999999999994</v>
      </c>
      <c r="R157" s="17">
        <f>CHOOSE(CONTROL!$C$42, 10.425, 10.425) * CHOOSE(CONTROL!$C$21, $C$9, 100%, $E$9)</f>
        <v>10.425000000000001</v>
      </c>
      <c r="S157" s="17">
        <f>CHOOSE(CONTROL!$C$42, 8.8834, 8.8834) * CHOOSE(CONTROL!$C$21, $C$9, 100%, $E$9)</f>
        <v>8.8834</v>
      </c>
      <c r="T15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57" s="56">
        <f>(1000*CHOOSE(CONTROL!$C$42, 695, 695)*CHOOSE(CONTROL!$C$42, 0.5599, 0.5599)*CHOOSE(CONTROL!$C$42, 31, 31))/1000000</f>
        <v>12.063045499999998</v>
      </c>
      <c r="V157" s="56">
        <f>(1000*CHOOSE(CONTROL!$C$42, 500, 500)*CHOOSE(CONTROL!$C$42, 0.275, 0.275)*CHOOSE(CONTROL!$C$42, 31, 31))/1000000</f>
        <v>4.2625000000000002</v>
      </c>
      <c r="W157" s="56">
        <f>(1000*CHOOSE(CONTROL!$C$42, 0.0916, 0.0916)*CHOOSE(CONTROL!$C$42, 121.5, 121.5)*CHOOSE(CONTROL!$C$42, 31, 31))/1000000</f>
        <v>0.34501139999999997</v>
      </c>
      <c r="X157" s="56">
        <f>(31*0.2374*100000/1000000)</f>
        <v>0.73594000000000004</v>
      </c>
      <c r="Y157" s="56"/>
      <c r="Z157" s="17"/>
      <c r="AA157" s="55"/>
      <c r="AB157" s="48">
        <f>(B157*122.58+C157*297.941+D157*89.177+E157*140.302+F157*40+G157*60+H157*0+I157*100+J157*300)/(122.58+297.941+89.177+140.302+0+40+60+100+300)</f>
        <v>9.205121405913042</v>
      </c>
      <c r="AC157" s="45">
        <f>(M157*'RAP TEMPLATE-GAS AVAILABILITY'!O156+N157*'RAP TEMPLATE-GAS AVAILABILITY'!P156+O157*'RAP TEMPLATE-GAS AVAILABILITY'!Q156+P157*'RAP TEMPLATE-GAS AVAILABILITY'!R156)/('RAP TEMPLATE-GAS AVAILABILITY'!O156+'RAP TEMPLATE-GAS AVAILABILITY'!P156+'RAP TEMPLATE-GAS AVAILABILITY'!Q156+'RAP TEMPLATE-GAS AVAILABILITY'!R156)</f>
        <v>9.1625496402877697</v>
      </c>
    </row>
    <row r="158" spans="1:29" ht="15.75" x14ac:dyDescent="0.25">
      <c r="A158" s="16">
        <v>45689</v>
      </c>
      <c r="B158" s="17">
        <f>CHOOSE(CONTROL!$C$42, 9.3531, 9.3531) * CHOOSE(CONTROL!$C$21, $C$9, 100%, $E$9)</f>
        <v>9.3530999999999995</v>
      </c>
      <c r="C158" s="17">
        <f>CHOOSE(CONTROL!$C$42, 9.3582, 9.3582) * CHOOSE(CONTROL!$C$21, $C$9, 100%, $E$9)</f>
        <v>9.3582000000000001</v>
      </c>
      <c r="D158" s="17">
        <f>CHOOSE(CONTROL!$C$42, 9.455, 9.455) * CHOOSE(CONTROL!$C$21, $C$9, 100%, $E$9)</f>
        <v>9.4550000000000001</v>
      </c>
      <c r="E158" s="17">
        <f>CHOOSE(CONTROL!$C$42, 9.4888, 9.4888) * CHOOSE(CONTROL!$C$21, $C$9, 100%, $E$9)</f>
        <v>9.4887999999999995</v>
      </c>
      <c r="F158" s="17">
        <f>CHOOSE(CONTROL!$C$42, 9.3673, 9.3673)*CHOOSE(CONTROL!$C$21, $C$9, 100%, $E$9)</f>
        <v>9.3673000000000002</v>
      </c>
      <c r="G158" s="17">
        <f>CHOOSE(CONTROL!$C$42, 9.3838, 9.3838)*CHOOSE(CONTROL!$C$21, $C$9, 100%, $E$9)</f>
        <v>9.3838000000000008</v>
      </c>
      <c r="H158" s="17">
        <f>CHOOSE(CONTROL!$C$42, 9.4776, 9.4776) * CHOOSE(CONTROL!$C$21, $C$9, 100%, $E$9)</f>
        <v>9.4776000000000007</v>
      </c>
      <c r="I158" s="17">
        <f>CHOOSE(CONTROL!$C$42, 9.4071, 9.4071)* CHOOSE(CONTROL!$C$21, $C$9, 100%, $E$9)</f>
        <v>9.4070999999999998</v>
      </c>
      <c r="J158" s="17">
        <f>CHOOSE(CONTROL!$C$42, 9.3599, 9.3599)* CHOOSE(CONTROL!$C$21, $C$9, 100%, $E$9)</f>
        <v>9.3598999999999997</v>
      </c>
      <c r="K158" s="52">
        <f>CHOOSE(CONTROL!$C$42, 9.401, 9.401) * CHOOSE(CONTROL!$C$21, $C$9, 100%, $E$9)</f>
        <v>9.4009999999999998</v>
      </c>
      <c r="L158" s="17">
        <f>CHOOSE(CONTROL!$C$42, 10.0646, 10.0646) * CHOOSE(CONTROL!$C$21, $C$9, 100%, $E$9)</f>
        <v>10.0646</v>
      </c>
      <c r="M158" s="17">
        <f>CHOOSE(CONTROL!$C$42, 9.2828, 9.2828) * CHOOSE(CONTROL!$C$21, $C$9, 100%, $E$9)</f>
        <v>9.2827999999999999</v>
      </c>
      <c r="N158" s="17">
        <f>CHOOSE(CONTROL!$C$42, 9.299, 9.299) * CHOOSE(CONTROL!$C$21, $C$9, 100%, $E$9)</f>
        <v>9.2989999999999995</v>
      </c>
      <c r="O158" s="17">
        <f>CHOOSE(CONTROL!$C$42, 9.3994, 9.3994) * CHOOSE(CONTROL!$C$21, $C$9, 100%, $E$9)</f>
        <v>9.3994</v>
      </c>
      <c r="P158" s="17">
        <f>CHOOSE(CONTROL!$C$42, 9.3293, 9.3293) * CHOOSE(CONTROL!$C$21, $C$9, 100%, $E$9)</f>
        <v>9.3292999999999999</v>
      </c>
      <c r="Q158" s="17">
        <f>CHOOSE(CONTROL!$C$42, 9.9941, 9.9941) * CHOOSE(CONTROL!$C$21, $C$9, 100%, $E$9)</f>
        <v>9.9940999999999995</v>
      </c>
      <c r="R158" s="17">
        <f>CHOOSE(CONTROL!$C$42, 10.6061, 10.6061) * CHOOSE(CONTROL!$C$21, $C$9, 100%, $E$9)</f>
        <v>10.6061</v>
      </c>
      <c r="S158" s="17">
        <f>CHOOSE(CONTROL!$C$42, 9.0602, 9.0602) * CHOOSE(CONTROL!$C$21, $C$9, 100%, $E$9)</f>
        <v>9.0602</v>
      </c>
      <c r="T15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58" s="56">
        <f>(1000*CHOOSE(CONTROL!$C$42, 695, 695)*CHOOSE(CONTROL!$C$42, 0.5599, 0.5599)*CHOOSE(CONTROL!$C$42, 28, 28))/1000000</f>
        <v>10.895653999999999</v>
      </c>
      <c r="V158" s="56">
        <f>(1000*CHOOSE(CONTROL!$C$42, 500, 500)*CHOOSE(CONTROL!$C$42, 0.275, 0.275)*CHOOSE(CONTROL!$C$42, 28, 28))/1000000</f>
        <v>3.85</v>
      </c>
      <c r="W158" s="56">
        <f>(1000*CHOOSE(CONTROL!$C$42, 0.0916, 0.0916)*CHOOSE(CONTROL!$C$42, 121.5, 121.5)*CHOOSE(CONTROL!$C$42, 28, 28))/1000000</f>
        <v>0.31162319999999999</v>
      </c>
      <c r="X158" s="56">
        <f>(28*0.2374*100000/1000000)</f>
        <v>0.66471999999999998</v>
      </c>
      <c r="Y158" s="56"/>
      <c r="Z158" s="17"/>
      <c r="AA158" s="55"/>
      <c r="AB158" s="48">
        <f>(B158*122.58+C158*297.941+D158*89.177+E158*140.302+F158*40+G158*60+H158*0+I158*100+J158*300)/(122.58+297.941+89.177+140.302+0+40+60+100+300)</f>
        <v>9.387444014608695</v>
      </c>
      <c r="AC158" s="45">
        <f>(M158*'RAP TEMPLATE-GAS AVAILABILITY'!O157+N158*'RAP TEMPLATE-GAS AVAILABILITY'!P157+O158*'RAP TEMPLATE-GAS AVAILABILITY'!Q157+P158*'RAP TEMPLATE-GAS AVAILABILITY'!R157)/('RAP TEMPLATE-GAS AVAILABILITY'!O157+'RAP TEMPLATE-GAS AVAILABILITY'!P157+'RAP TEMPLATE-GAS AVAILABILITY'!Q157+'RAP TEMPLATE-GAS AVAILABILITY'!R157)</f>
        <v>9.3432705035971235</v>
      </c>
    </row>
    <row r="159" spans="1:29" ht="15.75" x14ac:dyDescent="0.25">
      <c r="A159" s="16">
        <v>45717</v>
      </c>
      <c r="B159" s="17">
        <f>CHOOSE(CONTROL!$C$42, 9.1065, 9.1065) * CHOOSE(CONTROL!$C$21, $C$9, 100%, $E$9)</f>
        <v>9.1065000000000005</v>
      </c>
      <c r="C159" s="17">
        <f>CHOOSE(CONTROL!$C$42, 9.1116, 9.1116) * CHOOSE(CONTROL!$C$21, $C$9, 100%, $E$9)</f>
        <v>9.1115999999999993</v>
      </c>
      <c r="D159" s="17">
        <f>CHOOSE(CONTROL!$C$42, 9.2085, 9.2085) * CHOOSE(CONTROL!$C$21, $C$9, 100%, $E$9)</f>
        <v>9.2085000000000008</v>
      </c>
      <c r="E159" s="17">
        <f>CHOOSE(CONTROL!$C$42, 9.2422, 9.2422) * CHOOSE(CONTROL!$C$21, $C$9, 100%, $E$9)</f>
        <v>9.2422000000000004</v>
      </c>
      <c r="F159" s="17">
        <f>CHOOSE(CONTROL!$C$42, 9.1202, 9.1202)*CHOOSE(CONTROL!$C$21, $C$9, 100%, $E$9)</f>
        <v>9.1202000000000005</v>
      </c>
      <c r="G159" s="17">
        <f>CHOOSE(CONTROL!$C$42, 9.1364, 9.1364)*CHOOSE(CONTROL!$C$21, $C$9, 100%, $E$9)</f>
        <v>9.1364000000000001</v>
      </c>
      <c r="H159" s="17">
        <f>CHOOSE(CONTROL!$C$42, 9.2311, 9.2311) * CHOOSE(CONTROL!$C$21, $C$9, 100%, $E$9)</f>
        <v>9.2310999999999996</v>
      </c>
      <c r="I159" s="17">
        <f>CHOOSE(CONTROL!$C$42, 9.1598, 9.1598)* CHOOSE(CONTROL!$C$21, $C$9, 100%, $E$9)</f>
        <v>9.1598000000000006</v>
      </c>
      <c r="J159" s="17">
        <f>CHOOSE(CONTROL!$C$42, 9.1128, 9.1128)* CHOOSE(CONTROL!$C$21, $C$9, 100%, $E$9)</f>
        <v>9.1128</v>
      </c>
      <c r="K159" s="52">
        <f>CHOOSE(CONTROL!$C$42, 9.1537, 9.1537) * CHOOSE(CONTROL!$C$21, $C$9, 100%, $E$9)</f>
        <v>9.1537000000000006</v>
      </c>
      <c r="L159" s="17">
        <f>CHOOSE(CONTROL!$C$42, 9.8181, 9.8181) * CHOOSE(CONTROL!$C$21, $C$9, 100%, $E$9)</f>
        <v>9.8180999999999994</v>
      </c>
      <c r="M159" s="17">
        <f>CHOOSE(CONTROL!$C$42, 9.0378, 9.0378) * CHOOSE(CONTROL!$C$21, $C$9, 100%, $E$9)</f>
        <v>9.0378000000000007</v>
      </c>
      <c r="N159" s="17">
        <f>CHOOSE(CONTROL!$C$42, 9.0539, 9.0539) * CHOOSE(CONTROL!$C$21, $C$9, 100%, $E$9)</f>
        <v>9.0539000000000005</v>
      </c>
      <c r="O159" s="17">
        <f>CHOOSE(CONTROL!$C$42, 9.1551, 9.1551) * CHOOSE(CONTROL!$C$21, $C$9, 100%, $E$9)</f>
        <v>9.1550999999999991</v>
      </c>
      <c r="P159" s="17">
        <f>CHOOSE(CONTROL!$C$42, 9.0842, 9.0842) * CHOOSE(CONTROL!$C$21, $C$9, 100%, $E$9)</f>
        <v>9.0841999999999992</v>
      </c>
      <c r="Q159" s="17">
        <f>CHOOSE(CONTROL!$C$42, 9.7498, 9.7498) * CHOOSE(CONTROL!$C$21, $C$9, 100%, $E$9)</f>
        <v>9.7498000000000005</v>
      </c>
      <c r="R159" s="17">
        <f>CHOOSE(CONTROL!$C$42, 10.3612, 10.3612) * CHOOSE(CONTROL!$C$21, $C$9, 100%, $E$9)</f>
        <v>10.3612</v>
      </c>
      <c r="S159" s="17">
        <f>CHOOSE(CONTROL!$C$42, 8.8211, 8.8211) * CHOOSE(CONTROL!$C$21, $C$9, 100%, $E$9)</f>
        <v>8.8210999999999995</v>
      </c>
      <c r="T15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59" s="56">
        <f>(1000*CHOOSE(CONTROL!$C$42, 695, 695)*CHOOSE(CONTROL!$C$42, 0.5599, 0.5599)*CHOOSE(CONTROL!$C$42, 31, 31))/1000000</f>
        <v>12.063045499999998</v>
      </c>
      <c r="V159" s="56">
        <f>(1000*CHOOSE(CONTROL!$C$42, 500, 500)*CHOOSE(CONTROL!$C$42, 0.275, 0.275)*CHOOSE(CONTROL!$C$42, 31, 31))/1000000</f>
        <v>4.2625000000000002</v>
      </c>
      <c r="W159" s="56">
        <f>(1000*CHOOSE(CONTROL!$C$42, 0.0916, 0.0916)*CHOOSE(CONTROL!$C$42, 121.5, 121.5)*CHOOSE(CONTROL!$C$42, 31, 31))/1000000</f>
        <v>0.34501139999999997</v>
      </c>
      <c r="X159" s="56">
        <f>(31*0.2374*100000/1000000)</f>
        <v>0.73594000000000004</v>
      </c>
      <c r="Y159" s="56"/>
      <c r="Z159" s="17"/>
      <c r="AA159" s="55"/>
      <c r="AB159" s="48">
        <f>(B159*122.58+C159*297.941+D159*89.177+E159*140.302+F159*40+G159*60+H159*0+I159*100+J159*300)/(122.58+297.941+89.177+140.302+0+40+60+100+300)</f>
        <v>9.1406013343478261</v>
      </c>
      <c r="AC159" s="45">
        <f>(M159*'RAP TEMPLATE-GAS AVAILABILITY'!O158+N159*'RAP TEMPLATE-GAS AVAILABILITY'!P158+O159*'RAP TEMPLATE-GAS AVAILABILITY'!Q158+P159*'RAP TEMPLATE-GAS AVAILABILITY'!R158)/('RAP TEMPLATE-GAS AVAILABILITY'!O158+'RAP TEMPLATE-GAS AVAILABILITY'!P158+'RAP TEMPLATE-GAS AVAILABILITY'!Q158+'RAP TEMPLATE-GAS AVAILABILITY'!R158)</f>
        <v>9.09856762589928</v>
      </c>
    </row>
    <row r="160" spans="1:29" ht="15.75" x14ac:dyDescent="0.25">
      <c r="A160" s="16">
        <v>45748</v>
      </c>
      <c r="B160" s="17">
        <f>CHOOSE(CONTROL!$C$42, 9.099, 9.099) * CHOOSE(CONTROL!$C$21, $C$9, 100%, $E$9)</f>
        <v>9.0990000000000002</v>
      </c>
      <c r="C160" s="17">
        <f>CHOOSE(CONTROL!$C$42, 9.1035, 9.1035) * CHOOSE(CONTROL!$C$21, $C$9, 100%, $E$9)</f>
        <v>9.1035000000000004</v>
      </c>
      <c r="D160" s="17">
        <f>CHOOSE(CONTROL!$C$42, 9.351, 9.351) * CHOOSE(CONTROL!$C$21, $C$9, 100%, $E$9)</f>
        <v>9.3510000000000009</v>
      </c>
      <c r="E160" s="17">
        <f>CHOOSE(CONTROL!$C$42, 9.3828, 9.3828) * CHOOSE(CONTROL!$C$21, $C$9, 100%, $E$9)</f>
        <v>9.3827999999999996</v>
      </c>
      <c r="F160" s="17">
        <f>CHOOSE(CONTROL!$C$42, 9.1106, 9.1106)*CHOOSE(CONTROL!$C$21, $C$9, 100%, $E$9)</f>
        <v>9.1105999999999998</v>
      </c>
      <c r="G160" s="17">
        <f>CHOOSE(CONTROL!$C$42, 9.1266, 9.1266)*CHOOSE(CONTROL!$C$21, $C$9, 100%, $E$9)</f>
        <v>9.1265999999999998</v>
      </c>
      <c r="H160" s="17">
        <f>CHOOSE(CONTROL!$C$42, 9.3723, 9.3723) * CHOOSE(CONTROL!$C$21, $C$9, 100%, $E$9)</f>
        <v>9.3722999999999992</v>
      </c>
      <c r="I160" s="17">
        <f>CHOOSE(CONTROL!$C$42, 9.1499, 9.1499)* CHOOSE(CONTROL!$C$21, $C$9, 100%, $E$9)</f>
        <v>9.1499000000000006</v>
      </c>
      <c r="J160" s="17">
        <f>CHOOSE(CONTROL!$C$42, 9.1032, 9.1032)* CHOOSE(CONTROL!$C$21, $C$9, 100%, $E$9)</f>
        <v>9.1031999999999993</v>
      </c>
      <c r="K160" s="52">
        <f>CHOOSE(CONTROL!$C$42, 9.1438, 9.1438) * CHOOSE(CONTROL!$C$21, $C$9, 100%, $E$9)</f>
        <v>9.1438000000000006</v>
      </c>
      <c r="L160" s="17">
        <f>CHOOSE(CONTROL!$C$42, 9.9593, 9.9593) * CHOOSE(CONTROL!$C$21, $C$9, 100%, $E$9)</f>
        <v>9.9593000000000007</v>
      </c>
      <c r="M160" s="17">
        <f>CHOOSE(CONTROL!$C$42, 9.0284, 9.0284) * CHOOSE(CONTROL!$C$21, $C$9, 100%, $E$9)</f>
        <v>9.0283999999999995</v>
      </c>
      <c r="N160" s="17">
        <f>CHOOSE(CONTROL!$C$42, 9.0441, 9.0441) * CHOOSE(CONTROL!$C$21, $C$9, 100%, $E$9)</f>
        <v>9.0441000000000003</v>
      </c>
      <c r="O160" s="17">
        <f>CHOOSE(CONTROL!$C$42, 9.295, 9.295) * CHOOSE(CONTROL!$C$21, $C$9, 100%, $E$9)</f>
        <v>9.2949999999999999</v>
      </c>
      <c r="P160" s="17">
        <f>CHOOSE(CONTROL!$C$42, 9.0744, 9.0744) * CHOOSE(CONTROL!$C$21, $C$9, 100%, $E$9)</f>
        <v>9.0744000000000007</v>
      </c>
      <c r="Q160" s="17">
        <f>CHOOSE(CONTROL!$C$42, 9.8897, 9.8897) * CHOOSE(CONTROL!$C$21, $C$9, 100%, $E$9)</f>
        <v>9.8896999999999995</v>
      </c>
      <c r="R160" s="17">
        <f>CHOOSE(CONTROL!$C$42, 10.5014, 10.5014) * CHOOSE(CONTROL!$C$21, $C$9, 100%, $E$9)</f>
        <v>10.5014</v>
      </c>
      <c r="S160" s="17">
        <f>CHOOSE(CONTROL!$C$42, 8.813, 8.813) * CHOOSE(CONTROL!$C$21, $C$9, 100%, $E$9)</f>
        <v>8.8130000000000006</v>
      </c>
      <c r="T16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60" s="56">
        <f>(1000*CHOOSE(CONTROL!$C$42, 695, 695)*CHOOSE(CONTROL!$C$42, 0.5599, 0.5599)*CHOOSE(CONTROL!$C$42, 30, 30))/1000000</f>
        <v>11.673914999999997</v>
      </c>
      <c r="V160" s="56">
        <f>(1000*CHOOSE(CONTROL!$C$42, 500, 500)*CHOOSE(CONTROL!$C$42, 0.275, 0.275)*CHOOSE(CONTROL!$C$42, 30, 30))/1000000</f>
        <v>4.125</v>
      </c>
      <c r="W160" s="56">
        <f>(1000*CHOOSE(CONTROL!$C$42, 0.0916, 0.0916)*CHOOSE(CONTROL!$C$42, 121.5, 121.5)*CHOOSE(CONTROL!$C$42, 30, 30))/1000000</f>
        <v>0.33388200000000001</v>
      </c>
      <c r="X160" s="56">
        <f>(30*0.1790888*145000/1000000)+(30*0.2374*100000/1000000)</f>
        <v>1.4912362799999999</v>
      </c>
      <c r="Y160" s="56"/>
      <c r="Z160" s="17"/>
      <c r="AA160" s="55"/>
      <c r="AB160" s="48">
        <f>(B160*141.293+C160*267.993+D160*115.016+E160*189.698+F160*40+G160*85+H160*0+I160*100+J160*300)/(141.293+267.993+115.016+189.698+0+40+85+100+300)</f>
        <v>9.1742108901533488</v>
      </c>
      <c r="AC160" s="45">
        <f>(M160*'RAP TEMPLATE-GAS AVAILABILITY'!O159+N160*'RAP TEMPLATE-GAS AVAILABILITY'!P159+O160*'RAP TEMPLATE-GAS AVAILABILITY'!Q159+P160*'RAP TEMPLATE-GAS AVAILABILITY'!R159)/('RAP TEMPLATE-GAS AVAILABILITY'!O159+'RAP TEMPLATE-GAS AVAILABILITY'!P159+'RAP TEMPLATE-GAS AVAILABILITY'!Q159+'RAP TEMPLATE-GAS AVAILABILITY'!R159)</f>
        <v>9.1134345323741002</v>
      </c>
    </row>
    <row r="161" spans="1:29" ht="15.75" x14ac:dyDescent="0.25">
      <c r="A161" s="16">
        <v>45778</v>
      </c>
      <c r="B161" s="17">
        <f>CHOOSE(CONTROL!$C$42, 9.1994, 9.1994) * CHOOSE(CONTROL!$C$21, $C$9, 100%, $E$9)</f>
        <v>9.1994000000000007</v>
      </c>
      <c r="C161" s="17">
        <f>CHOOSE(CONTROL!$C$42, 9.2074, 9.2074) * CHOOSE(CONTROL!$C$21, $C$9, 100%, $E$9)</f>
        <v>9.2073999999999998</v>
      </c>
      <c r="D161" s="17">
        <f>CHOOSE(CONTROL!$C$42, 9.4519, 9.4519) * CHOOSE(CONTROL!$C$21, $C$9, 100%, $E$9)</f>
        <v>9.4519000000000002</v>
      </c>
      <c r="E161" s="17">
        <f>CHOOSE(CONTROL!$C$42, 9.4831, 9.4831) * CHOOSE(CONTROL!$C$21, $C$9, 100%, $E$9)</f>
        <v>9.4831000000000003</v>
      </c>
      <c r="F161" s="17">
        <f>CHOOSE(CONTROL!$C$42, 9.21, 9.21)*CHOOSE(CONTROL!$C$21, $C$9, 100%, $E$9)</f>
        <v>9.2100000000000009</v>
      </c>
      <c r="G161" s="17">
        <f>CHOOSE(CONTROL!$C$42, 9.2262, 9.2262)*CHOOSE(CONTROL!$C$21, $C$9, 100%, $E$9)</f>
        <v>9.2262000000000004</v>
      </c>
      <c r="H161" s="17">
        <f>CHOOSE(CONTROL!$C$42, 9.4714, 9.4714) * CHOOSE(CONTROL!$C$21, $C$9, 100%, $E$9)</f>
        <v>9.4713999999999992</v>
      </c>
      <c r="I161" s="17">
        <f>CHOOSE(CONTROL!$C$42, 9.2492, 9.2492)* CHOOSE(CONTROL!$C$21, $C$9, 100%, $E$9)</f>
        <v>9.2492000000000001</v>
      </c>
      <c r="J161" s="17">
        <f>CHOOSE(CONTROL!$C$42, 9.2026, 9.2026)* CHOOSE(CONTROL!$C$21, $C$9, 100%, $E$9)</f>
        <v>9.2026000000000003</v>
      </c>
      <c r="K161" s="52">
        <f>CHOOSE(CONTROL!$C$42, 9.2432, 9.2432) * CHOOSE(CONTROL!$C$21, $C$9, 100%, $E$9)</f>
        <v>9.2431999999999999</v>
      </c>
      <c r="L161" s="17">
        <f>CHOOSE(CONTROL!$C$42, 10.0584, 10.0584) * CHOOSE(CONTROL!$C$21, $C$9, 100%, $E$9)</f>
        <v>10.058400000000001</v>
      </c>
      <c r="M161" s="17">
        <f>CHOOSE(CONTROL!$C$42, 9.1268, 9.1268) * CHOOSE(CONTROL!$C$21, $C$9, 100%, $E$9)</f>
        <v>9.1267999999999994</v>
      </c>
      <c r="N161" s="17">
        <f>CHOOSE(CONTROL!$C$42, 9.1429, 9.1429) * CHOOSE(CONTROL!$C$21, $C$9, 100%, $E$9)</f>
        <v>9.1428999999999991</v>
      </c>
      <c r="O161" s="17">
        <f>CHOOSE(CONTROL!$C$42, 9.3932, 9.3932) * CHOOSE(CONTROL!$C$21, $C$9, 100%, $E$9)</f>
        <v>9.3932000000000002</v>
      </c>
      <c r="P161" s="17">
        <f>CHOOSE(CONTROL!$C$42, 9.1729, 9.1729) * CHOOSE(CONTROL!$C$21, $C$9, 100%, $E$9)</f>
        <v>9.1729000000000003</v>
      </c>
      <c r="Q161" s="17">
        <f>CHOOSE(CONTROL!$C$42, 9.9879, 9.9879) * CHOOSE(CONTROL!$C$21, $C$9, 100%, $E$9)</f>
        <v>9.9878999999999998</v>
      </c>
      <c r="R161" s="17">
        <f>CHOOSE(CONTROL!$C$42, 10.5999, 10.5999) * CHOOSE(CONTROL!$C$21, $C$9, 100%, $E$9)</f>
        <v>10.5999</v>
      </c>
      <c r="S161" s="17">
        <f>CHOOSE(CONTROL!$C$42, 8.9091, 8.9091) * CHOOSE(CONTROL!$C$21, $C$9, 100%, $E$9)</f>
        <v>8.9091000000000005</v>
      </c>
      <c r="T16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61" s="56">
        <f>(1000*CHOOSE(CONTROL!$C$42, 695, 695)*CHOOSE(CONTROL!$C$42, 0.5599, 0.5599)*CHOOSE(CONTROL!$C$42, 31, 31))/1000000</f>
        <v>12.063045499999998</v>
      </c>
      <c r="V161" s="56">
        <f>(1000*CHOOSE(CONTROL!$C$42, 500, 500)*CHOOSE(CONTROL!$C$42, 0.275, 0.275)*CHOOSE(CONTROL!$C$42, 31, 31))/1000000</f>
        <v>4.2625000000000002</v>
      </c>
      <c r="W161" s="56">
        <f>(1000*CHOOSE(CONTROL!$C$42, 0.0916, 0.0916)*CHOOSE(CONTROL!$C$42, 121.5, 121.5)*CHOOSE(CONTROL!$C$42, 31, 31))/1000000</f>
        <v>0.34501139999999997</v>
      </c>
      <c r="X161" s="56">
        <f>(31*0.1790888*145000/1000000)+(31*0.2374*100000/1000000)</f>
        <v>1.5409441560000001</v>
      </c>
      <c r="Y161" s="56"/>
      <c r="Z161" s="17"/>
      <c r="AA161" s="55"/>
      <c r="AB161" s="48">
        <f>(B161*194.205+C161*267.466+D161*133.845+E161*153.484+F161*40+G161*85+H161*0+I161*100+J161*300)/(194.205+267.466+133.845+153.484+0+40+85+100+300)</f>
        <v>9.2685687608320251</v>
      </c>
      <c r="AC161" s="45">
        <f>(M161*'RAP TEMPLATE-GAS AVAILABILITY'!O160+N161*'RAP TEMPLATE-GAS AVAILABILITY'!P160+O161*'RAP TEMPLATE-GAS AVAILABILITY'!Q160+P161*'RAP TEMPLATE-GAS AVAILABILITY'!R160)/('RAP TEMPLATE-GAS AVAILABILITY'!O160+'RAP TEMPLATE-GAS AVAILABILITY'!P160+'RAP TEMPLATE-GAS AVAILABILITY'!Q160+'RAP TEMPLATE-GAS AVAILABILITY'!R160)</f>
        <v>9.2118848920863297</v>
      </c>
    </row>
    <row r="162" spans="1:29" ht="15.75" x14ac:dyDescent="0.25">
      <c r="A162" s="16">
        <v>45809</v>
      </c>
      <c r="B162" s="17">
        <f>CHOOSE(CONTROL!$C$42, 9.4795, 9.4795) * CHOOSE(CONTROL!$C$21, $C$9, 100%, $E$9)</f>
        <v>9.4794999999999998</v>
      </c>
      <c r="C162" s="17">
        <f>CHOOSE(CONTROL!$C$42, 9.4875, 9.4875) * CHOOSE(CONTROL!$C$21, $C$9, 100%, $E$9)</f>
        <v>9.4875000000000007</v>
      </c>
      <c r="D162" s="17">
        <f>CHOOSE(CONTROL!$C$42, 9.7319, 9.7319) * CHOOSE(CONTROL!$C$21, $C$9, 100%, $E$9)</f>
        <v>9.7318999999999996</v>
      </c>
      <c r="E162" s="17">
        <f>CHOOSE(CONTROL!$C$42, 9.7631, 9.7631) * CHOOSE(CONTROL!$C$21, $C$9, 100%, $E$9)</f>
        <v>9.7630999999999997</v>
      </c>
      <c r="F162" s="17">
        <f>CHOOSE(CONTROL!$C$42, 9.4904, 9.4904)*CHOOSE(CONTROL!$C$21, $C$9, 100%, $E$9)</f>
        <v>9.4903999999999993</v>
      </c>
      <c r="G162" s="17">
        <f>CHOOSE(CONTROL!$C$42, 9.5067, 9.5067)*CHOOSE(CONTROL!$C$21, $C$9, 100%, $E$9)</f>
        <v>9.5067000000000004</v>
      </c>
      <c r="H162" s="17">
        <f>CHOOSE(CONTROL!$C$42, 9.7514, 9.7514) * CHOOSE(CONTROL!$C$21, $C$9, 100%, $E$9)</f>
        <v>9.7514000000000003</v>
      </c>
      <c r="I162" s="17">
        <f>CHOOSE(CONTROL!$C$42, 9.5302, 9.5302)* CHOOSE(CONTROL!$C$21, $C$9, 100%, $E$9)</f>
        <v>9.5302000000000007</v>
      </c>
      <c r="J162" s="17">
        <f>CHOOSE(CONTROL!$C$42, 9.483, 9.483)* CHOOSE(CONTROL!$C$21, $C$9, 100%, $E$9)</f>
        <v>9.4830000000000005</v>
      </c>
      <c r="K162" s="52">
        <f>CHOOSE(CONTROL!$C$42, 9.5241, 9.5241) * CHOOSE(CONTROL!$C$21, $C$9, 100%, $E$9)</f>
        <v>9.5241000000000007</v>
      </c>
      <c r="L162" s="17">
        <f>CHOOSE(CONTROL!$C$42, 10.3384, 10.3384) * CHOOSE(CONTROL!$C$21, $C$9, 100%, $E$9)</f>
        <v>10.3384</v>
      </c>
      <c r="M162" s="17">
        <f>CHOOSE(CONTROL!$C$42, 9.4047, 9.4047) * CHOOSE(CONTROL!$C$21, $C$9, 100%, $E$9)</f>
        <v>9.4047000000000001</v>
      </c>
      <c r="N162" s="17">
        <f>CHOOSE(CONTROL!$C$42, 9.4209, 9.4209) * CHOOSE(CONTROL!$C$21, $C$9, 100%, $E$9)</f>
        <v>9.4208999999999996</v>
      </c>
      <c r="O162" s="17">
        <f>CHOOSE(CONTROL!$C$42, 9.6707, 9.6707) * CHOOSE(CONTROL!$C$21, $C$9, 100%, $E$9)</f>
        <v>9.6707000000000001</v>
      </c>
      <c r="P162" s="17">
        <f>CHOOSE(CONTROL!$C$42, 9.4513, 9.4513) * CHOOSE(CONTROL!$C$21, $C$9, 100%, $E$9)</f>
        <v>9.4512999999999998</v>
      </c>
      <c r="Q162" s="17">
        <f>CHOOSE(CONTROL!$C$42, 10.2654, 10.2654) * CHOOSE(CONTROL!$C$21, $C$9, 100%, $E$9)</f>
        <v>10.2654</v>
      </c>
      <c r="R162" s="17">
        <f>CHOOSE(CONTROL!$C$42, 10.8781, 10.8781) * CHOOSE(CONTROL!$C$21, $C$9, 100%, $E$9)</f>
        <v>10.8781</v>
      </c>
      <c r="S162" s="17">
        <f>CHOOSE(CONTROL!$C$42, 9.1807, 9.1807) * CHOOSE(CONTROL!$C$21, $C$9, 100%, $E$9)</f>
        <v>9.1806999999999999</v>
      </c>
      <c r="T16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62" s="56">
        <f>(1000*CHOOSE(CONTROL!$C$42, 695, 695)*CHOOSE(CONTROL!$C$42, 0.5599, 0.5599)*CHOOSE(CONTROL!$C$42, 30, 30))/1000000</f>
        <v>11.673914999999997</v>
      </c>
      <c r="V162" s="56">
        <f>(1000*CHOOSE(CONTROL!$C$42, 500, 500)*CHOOSE(CONTROL!$C$42, 0.275, 0.275)*CHOOSE(CONTROL!$C$42, 30, 30))/1000000</f>
        <v>4.125</v>
      </c>
      <c r="W162" s="56">
        <f>(1000*CHOOSE(CONTROL!$C$42, 0.0916, 0.0916)*CHOOSE(CONTROL!$C$42, 121.5, 121.5)*CHOOSE(CONTROL!$C$42, 30, 30))/1000000</f>
        <v>0.33388200000000001</v>
      </c>
      <c r="X162" s="56">
        <f>(30*0.1790888*145000/1000000)+(30*0.2374*100000/1000000)</f>
        <v>1.4912362799999999</v>
      </c>
      <c r="Y162" s="56"/>
      <c r="Z162" s="17"/>
      <c r="AA162" s="55"/>
      <c r="AB162" s="48">
        <f>(B162*194.205+C162*267.466+D162*133.845+E162*153.484+F162*40+G162*85+H162*0+I162*100+J162*300)/(194.205+267.466+133.845+153.484+0+40+85+100+300)</f>
        <v>9.5488236015698593</v>
      </c>
      <c r="AC162" s="45">
        <f>(M162*'RAP TEMPLATE-GAS AVAILABILITY'!O161+N162*'RAP TEMPLATE-GAS AVAILABILITY'!P161+O162*'RAP TEMPLATE-GAS AVAILABILITY'!Q161+P162*'RAP TEMPLATE-GAS AVAILABILITY'!R161)/('RAP TEMPLATE-GAS AVAILABILITY'!O161+'RAP TEMPLATE-GAS AVAILABILITY'!P161+'RAP TEMPLATE-GAS AVAILABILITY'!Q161+'RAP TEMPLATE-GAS AVAILABILITY'!R161)</f>
        <v>9.4897676258992814</v>
      </c>
    </row>
    <row r="163" spans="1:29" ht="15.75" x14ac:dyDescent="0.25">
      <c r="A163" s="16">
        <v>45839</v>
      </c>
      <c r="B163" s="17">
        <f>CHOOSE(CONTROL!$C$42, 9.317, 9.317) * CHOOSE(CONTROL!$C$21, $C$9, 100%, $E$9)</f>
        <v>9.3170000000000002</v>
      </c>
      <c r="C163" s="17">
        <f>CHOOSE(CONTROL!$C$42, 9.325, 9.325) * CHOOSE(CONTROL!$C$21, $C$9, 100%, $E$9)</f>
        <v>9.3249999999999993</v>
      </c>
      <c r="D163" s="17">
        <f>CHOOSE(CONTROL!$C$42, 9.5695, 9.5695) * CHOOSE(CONTROL!$C$21, $C$9, 100%, $E$9)</f>
        <v>9.5694999999999997</v>
      </c>
      <c r="E163" s="17">
        <f>CHOOSE(CONTROL!$C$42, 9.6006, 9.6006) * CHOOSE(CONTROL!$C$21, $C$9, 100%, $E$9)</f>
        <v>9.6006</v>
      </c>
      <c r="F163" s="17">
        <f>CHOOSE(CONTROL!$C$42, 9.3283, 9.3283)*CHOOSE(CONTROL!$C$21, $C$9, 100%, $E$9)</f>
        <v>9.3283000000000005</v>
      </c>
      <c r="G163" s="17">
        <f>CHOOSE(CONTROL!$C$42, 9.3448, 9.3448)*CHOOSE(CONTROL!$C$21, $C$9, 100%, $E$9)</f>
        <v>9.3447999999999993</v>
      </c>
      <c r="H163" s="17">
        <f>CHOOSE(CONTROL!$C$42, 9.589, 9.589) * CHOOSE(CONTROL!$C$21, $C$9, 100%, $E$9)</f>
        <v>9.5890000000000004</v>
      </c>
      <c r="I163" s="17">
        <f>CHOOSE(CONTROL!$C$42, 9.3672, 9.3672)* CHOOSE(CONTROL!$C$21, $C$9, 100%, $E$9)</f>
        <v>9.3672000000000004</v>
      </c>
      <c r="J163" s="17">
        <f>CHOOSE(CONTROL!$C$42, 9.3209, 9.3209)* CHOOSE(CONTROL!$C$21, $C$9, 100%, $E$9)</f>
        <v>9.3209</v>
      </c>
      <c r="K163" s="52">
        <f>CHOOSE(CONTROL!$C$42, 9.3611, 9.3611) * CHOOSE(CONTROL!$C$21, $C$9, 100%, $E$9)</f>
        <v>9.3611000000000004</v>
      </c>
      <c r="L163" s="17">
        <f>CHOOSE(CONTROL!$C$42, 10.176, 10.176) * CHOOSE(CONTROL!$C$21, $C$9, 100%, $E$9)</f>
        <v>10.176</v>
      </c>
      <c r="M163" s="17">
        <f>CHOOSE(CONTROL!$C$42, 9.2441, 9.2441) * CHOOSE(CONTROL!$C$21, $C$9, 100%, $E$9)</f>
        <v>9.2440999999999995</v>
      </c>
      <c r="N163" s="17">
        <f>CHOOSE(CONTROL!$C$42, 9.2604, 9.2604) * CHOOSE(CONTROL!$C$21, $C$9, 100%, $E$9)</f>
        <v>9.2604000000000006</v>
      </c>
      <c r="O163" s="17">
        <f>CHOOSE(CONTROL!$C$42, 9.5097, 9.5097) * CHOOSE(CONTROL!$C$21, $C$9, 100%, $E$9)</f>
        <v>9.5097000000000005</v>
      </c>
      <c r="P163" s="17">
        <f>CHOOSE(CONTROL!$C$42, 9.2897, 9.2897) * CHOOSE(CONTROL!$C$21, $C$9, 100%, $E$9)</f>
        <v>9.2896999999999998</v>
      </c>
      <c r="Q163" s="17">
        <f>CHOOSE(CONTROL!$C$42, 10.1044, 10.1044) * CHOOSE(CONTROL!$C$21, $C$9, 100%, $E$9)</f>
        <v>10.1044</v>
      </c>
      <c r="R163" s="17">
        <f>CHOOSE(CONTROL!$C$42, 10.7167, 10.7167) * CHOOSE(CONTROL!$C$21, $C$9, 100%, $E$9)</f>
        <v>10.716699999999999</v>
      </c>
      <c r="S163" s="17">
        <f>CHOOSE(CONTROL!$C$42, 9.0231, 9.0231) * CHOOSE(CONTROL!$C$21, $C$9, 100%, $E$9)</f>
        <v>9.0230999999999995</v>
      </c>
      <c r="T16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63" s="56">
        <f>(1000*CHOOSE(CONTROL!$C$42, 695, 695)*CHOOSE(CONTROL!$C$42, 0.5599, 0.5599)*CHOOSE(CONTROL!$C$42, 31, 31))/1000000</f>
        <v>12.063045499999998</v>
      </c>
      <c r="V163" s="56">
        <f>(1000*CHOOSE(CONTROL!$C$42, 500, 500)*CHOOSE(CONTROL!$C$42, 0.275, 0.275)*CHOOSE(CONTROL!$C$42, 31, 31))/1000000</f>
        <v>4.2625000000000002</v>
      </c>
      <c r="W163" s="56">
        <f>(1000*CHOOSE(CONTROL!$C$42, 0.0916, 0.0916)*CHOOSE(CONTROL!$C$42, 121.5, 121.5)*CHOOSE(CONTROL!$C$42, 31, 31))/1000000</f>
        <v>0.34501139999999997</v>
      </c>
      <c r="X163" s="56">
        <f>(31*0.1790888*145000/1000000)+(31*0.2374*100000/1000000)</f>
        <v>1.5409441560000001</v>
      </c>
      <c r="Y163" s="56"/>
      <c r="Z163" s="17"/>
      <c r="AA163" s="55"/>
      <c r="AB163" s="48">
        <f>(B163*194.205+C163*267.466+D163*133.845+E163*153.484+F163*40+G163*85+H163*0+I163*100+J163*300)/(194.205+267.466+133.845+153.484+0+40+85+100+300)</f>
        <v>9.3864416427786512</v>
      </c>
      <c r="AC163" s="45">
        <f>(M163*'RAP TEMPLATE-GAS AVAILABILITY'!O162+N163*'RAP TEMPLATE-GAS AVAILABILITY'!P162+O163*'RAP TEMPLATE-GAS AVAILABILITY'!Q162+P163*'RAP TEMPLATE-GAS AVAILABILITY'!R162)/('RAP TEMPLATE-GAS AVAILABILITY'!O162+'RAP TEMPLATE-GAS AVAILABILITY'!P162+'RAP TEMPLATE-GAS AVAILABILITY'!Q162+'RAP TEMPLATE-GAS AVAILABILITY'!R162)</f>
        <v>9.3289345323741006</v>
      </c>
    </row>
    <row r="164" spans="1:29" ht="15.75" x14ac:dyDescent="0.25">
      <c r="A164" s="16">
        <v>45870</v>
      </c>
      <c r="B164" s="17">
        <f>CHOOSE(CONTROL!$C$42, 8.8756, 8.8756) * CHOOSE(CONTROL!$C$21, $C$9, 100%, $E$9)</f>
        <v>8.8756000000000004</v>
      </c>
      <c r="C164" s="17">
        <f>CHOOSE(CONTROL!$C$42, 8.8836, 8.8836) * CHOOSE(CONTROL!$C$21, $C$9, 100%, $E$9)</f>
        <v>8.8835999999999995</v>
      </c>
      <c r="D164" s="17">
        <f>CHOOSE(CONTROL!$C$42, 9.1281, 9.1281) * CHOOSE(CONTROL!$C$21, $C$9, 100%, $E$9)</f>
        <v>9.1280999999999999</v>
      </c>
      <c r="E164" s="17">
        <f>CHOOSE(CONTROL!$C$42, 9.1593, 9.1593) * CHOOSE(CONTROL!$C$21, $C$9, 100%, $E$9)</f>
        <v>9.1593</v>
      </c>
      <c r="F164" s="17">
        <f>CHOOSE(CONTROL!$C$42, 8.8872, 8.8872)*CHOOSE(CONTROL!$C$21, $C$9, 100%, $E$9)</f>
        <v>8.8872</v>
      </c>
      <c r="G164" s="17">
        <f>CHOOSE(CONTROL!$C$42, 8.9037, 8.9037)*CHOOSE(CONTROL!$C$21, $C$9, 100%, $E$9)</f>
        <v>8.9037000000000006</v>
      </c>
      <c r="H164" s="17">
        <f>CHOOSE(CONTROL!$C$42, 9.1476, 9.1476) * CHOOSE(CONTROL!$C$21, $C$9, 100%, $E$9)</f>
        <v>9.1476000000000006</v>
      </c>
      <c r="I164" s="17">
        <f>CHOOSE(CONTROL!$C$42, 8.9244, 8.9244)* CHOOSE(CONTROL!$C$21, $C$9, 100%, $E$9)</f>
        <v>8.9244000000000003</v>
      </c>
      <c r="J164" s="17">
        <f>CHOOSE(CONTROL!$C$42, 8.8798, 8.8798)* CHOOSE(CONTROL!$C$21, $C$9, 100%, $E$9)</f>
        <v>8.8797999999999995</v>
      </c>
      <c r="K164" s="52">
        <f>CHOOSE(CONTROL!$C$42, 8.9184, 8.9184) * CHOOSE(CONTROL!$C$21, $C$9, 100%, $E$9)</f>
        <v>8.9184000000000001</v>
      </c>
      <c r="L164" s="17">
        <f>CHOOSE(CONTROL!$C$42, 9.7346, 9.7346) * CHOOSE(CONTROL!$C$21, $C$9, 100%, $E$9)</f>
        <v>9.7346000000000004</v>
      </c>
      <c r="M164" s="17">
        <f>CHOOSE(CONTROL!$C$42, 8.8069, 8.8069) * CHOOSE(CONTROL!$C$21, $C$9, 100%, $E$9)</f>
        <v>8.8069000000000006</v>
      </c>
      <c r="N164" s="17">
        <f>CHOOSE(CONTROL!$C$42, 8.8233, 8.8233) * CHOOSE(CONTROL!$C$21, $C$9, 100%, $E$9)</f>
        <v>8.8232999999999997</v>
      </c>
      <c r="O164" s="17">
        <f>CHOOSE(CONTROL!$C$42, 9.0723, 9.0723) * CHOOSE(CONTROL!$C$21, $C$9, 100%, $E$9)</f>
        <v>9.0723000000000003</v>
      </c>
      <c r="P164" s="17">
        <f>CHOOSE(CONTROL!$C$42, 8.851, 8.851) * CHOOSE(CONTROL!$C$21, $C$9, 100%, $E$9)</f>
        <v>8.8510000000000009</v>
      </c>
      <c r="Q164" s="17">
        <f>CHOOSE(CONTROL!$C$42, 9.667, 9.667) * CHOOSE(CONTROL!$C$21, $C$9, 100%, $E$9)</f>
        <v>9.6669999999999998</v>
      </c>
      <c r="R164" s="17">
        <f>CHOOSE(CONTROL!$C$42, 10.2782, 10.2782) * CHOOSE(CONTROL!$C$21, $C$9, 100%, $E$9)</f>
        <v>10.2782</v>
      </c>
      <c r="S164" s="17">
        <f>CHOOSE(CONTROL!$C$42, 8.5951, 8.5951) * CHOOSE(CONTROL!$C$21, $C$9, 100%, $E$9)</f>
        <v>8.5951000000000004</v>
      </c>
      <c r="T16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64" s="56">
        <f>(1000*CHOOSE(CONTROL!$C$42, 695, 695)*CHOOSE(CONTROL!$C$42, 0.5599, 0.5599)*CHOOSE(CONTROL!$C$42, 31, 31))/1000000</f>
        <v>12.063045499999998</v>
      </c>
      <c r="V164" s="56">
        <f>(1000*CHOOSE(CONTROL!$C$42, 500, 500)*CHOOSE(CONTROL!$C$42, 0.275, 0.275)*CHOOSE(CONTROL!$C$42, 31, 31))/1000000</f>
        <v>4.2625000000000002</v>
      </c>
      <c r="W164" s="56">
        <f>(1000*CHOOSE(CONTROL!$C$42, 0.0916, 0.0916)*CHOOSE(CONTROL!$C$42, 121.5, 121.5)*CHOOSE(CONTROL!$C$42, 31, 31))/1000000</f>
        <v>0.34501139999999997</v>
      </c>
      <c r="X164" s="56">
        <f>(31*0.1790888*145000/1000000)+(31*0.2374*100000/1000000)</f>
        <v>1.5409441560000001</v>
      </c>
      <c r="Y164" s="56"/>
      <c r="Z164" s="17"/>
      <c r="AA164" s="55"/>
      <c r="AB164" s="48">
        <f>(B164*194.205+C164*267.466+D164*133.845+E164*153.484+F164*40+G164*85+H164*0+I164*100+J164*300)/(194.205+267.466+133.845+153.484+0+40+85+100+300)</f>
        <v>8.945043878571429</v>
      </c>
      <c r="AC164" s="45">
        <f>(M164*'RAP TEMPLATE-GAS AVAILABILITY'!O163+N164*'RAP TEMPLATE-GAS AVAILABILITY'!P163+O164*'RAP TEMPLATE-GAS AVAILABILITY'!Q163+P164*'RAP TEMPLATE-GAS AVAILABILITY'!R163)/('RAP TEMPLATE-GAS AVAILABILITY'!O163+'RAP TEMPLATE-GAS AVAILABILITY'!P163+'RAP TEMPLATE-GAS AVAILABILITY'!Q163+'RAP TEMPLATE-GAS AVAILABILITY'!R163)</f>
        <v>8.8914856115107916</v>
      </c>
    </row>
    <row r="165" spans="1:29" ht="15.75" x14ac:dyDescent="0.25">
      <c r="A165" s="16">
        <v>45901</v>
      </c>
      <c r="B165" s="17">
        <f>CHOOSE(CONTROL!$C$42, 8.3298, 8.3298) * CHOOSE(CONTROL!$C$21, $C$9, 100%, $E$9)</f>
        <v>8.3298000000000005</v>
      </c>
      <c r="C165" s="17">
        <f>CHOOSE(CONTROL!$C$42, 8.3378, 8.3378) * CHOOSE(CONTROL!$C$21, $C$9, 100%, $E$9)</f>
        <v>8.3377999999999997</v>
      </c>
      <c r="D165" s="17">
        <f>CHOOSE(CONTROL!$C$42, 8.5823, 8.5823) * CHOOSE(CONTROL!$C$21, $C$9, 100%, $E$9)</f>
        <v>8.5823</v>
      </c>
      <c r="E165" s="17">
        <f>CHOOSE(CONTROL!$C$42, 8.6135, 8.6135) * CHOOSE(CONTROL!$C$21, $C$9, 100%, $E$9)</f>
        <v>8.6135000000000002</v>
      </c>
      <c r="F165" s="17">
        <f>CHOOSE(CONTROL!$C$42, 8.3414, 8.3414)*CHOOSE(CONTROL!$C$21, $C$9, 100%, $E$9)</f>
        <v>8.3414000000000001</v>
      </c>
      <c r="G165" s="17">
        <f>CHOOSE(CONTROL!$C$42, 8.358, 8.358)*CHOOSE(CONTROL!$C$21, $C$9, 100%, $E$9)</f>
        <v>8.3580000000000005</v>
      </c>
      <c r="H165" s="17">
        <f>CHOOSE(CONTROL!$C$42, 8.6018, 8.6018) * CHOOSE(CONTROL!$C$21, $C$9, 100%, $E$9)</f>
        <v>8.6018000000000008</v>
      </c>
      <c r="I165" s="17">
        <f>CHOOSE(CONTROL!$C$42, 8.3769, 8.3769)* CHOOSE(CONTROL!$C$21, $C$9, 100%, $E$9)</f>
        <v>8.3768999999999991</v>
      </c>
      <c r="J165" s="17">
        <f>CHOOSE(CONTROL!$C$42, 8.334, 8.334)* CHOOSE(CONTROL!$C$21, $C$9, 100%, $E$9)</f>
        <v>8.3339999999999996</v>
      </c>
      <c r="K165" s="52">
        <f>CHOOSE(CONTROL!$C$42, 8.3709, 8.3709) * CHOOSE(CONTROL!$C$21, $C$9, 100%, $E$9)</f>
        <v>8.3709000000000007</v>
      </c>
      <c r="L165" s="17">
        <f>CHOOSE(CONTROL!$C$42, 9.1888, 9.1888) * CHOOSE(CONTROL!$C$21, $C$9, 100%, $E$9)</f>
        <v>9.1888000000000005</v>
      </c>
      <c r="M165" s="17">
        <f>CHOOSE(CONTROL!$C$42, 8.2661, 8.2661) * CHOOSE(CONTROL!$C$21, $C$9, 100%, $E$9)</f>
        <v>8.2660999999999998</v>
      </c>
      <c r="N165" s="17">
        <f>CHOOSE(CONTROL!$C$42, 8.2825, 8.2825) * CHOOSE(CONTROL!$C$21, $C$9, 100%, $E$9)</f>
        <v>8.2825000000000006</v>
      </c>
      <c r="O165" s="17">
        <f>CHOOSE(CONTROL!$C$42, 8.5314, 8.5314) * CHOOSE(CONTROL!$C$21, $C$9, 100%, $E$9)</f>
        <v>8.5313999999999997</v>
      </c>
      <c r="P165" s="17">
        <f>CHOOSE(CONTROL!$C$42, 8.3084, 8.3084) * CHOOSE(CONTROL!$C$21, $C$9, 100%, $E$9)</f>
        <v>8.3084000000000007</v>
      </c>
      <c r="Q165" s="17">
        <f>CHOOSE(CONTROL!$C$42, 9.1261, 9.1261) * CHOOSE(CONTROL!$C$21, $C$9, 100%, $E$9)</f>
        <v>9.1260999999999992</v>
      </c>
      <c r="R165" s="17">
        <f>CHOOSE(CONTROL!$C$42, 9.7359, 9.7359) * CHOOSE(CONTROL!$C$21, $C$9, 100%, $E$9)</f>
        <v>9.7359000000000009</v>
      </c>
      <c r="S165" s="17">
        <f>CHOOSE(CONTROL!$C$42, 8.0659, 8.0659) * CHOOSE(CONTROL!$C$21, $C$9, 100%, $E$9)</f>
        <v>8.0658999999999992</v>
      </c>
      <c r="T16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65" s="56">
        <f>(1000*CHOOSE(CONTROL!$C$42, 695, 695)*CHOOSE(CONTROL!$C$42, 0.5599, 0.5599)*CHOOSE(CONTROL!$C$42, 30, 30))/1000000</f>
        <v>11.673914999999997</v>
      </c>
      <c r="V165" s="56">
        <f>(1000*CHOOSE(CONTROL!$C$42, 500, 500)*CHOOSE(CONTROL!$C$42, 0.275, 0.275)*CHOOSE(CONTROL!$C$42, 30, 30))/1000000</f>
        <v>4.125</v>
      </c>
      <c r="W165" s="56">
        <f>(1000*CHOOSE(CONTROL!$C$42, 0.0916, 0.0916)*CHOOSE(CONTROL!$C$42, 121.5, 121.5)*CHOOSE(CONTROL!$C$42, 30, 30))/1000000</f>
        <v>0.33388200000000001</v>
      </c>
      <c r="X165" s="56">
        <f>(30*0.1790888*145000/1000000)+(30*0.2374*100000/1000000)</f>
        <v>1.4912362799999999</v>
      </c>
      <c r="Y165" s="56"/>
      <c r="Z165" s="17"/>
      <c r="AA165" s="55"/>
      <c r="AB165" s="48">
        <f>(B165*194.205+C165*267.466+D165*133.845+E165*153.484+F165*40+G165*85+H165*0+I165*100+J165*300)/(194.205+267.466+133.845+153.484+0+40+85+100+300)</f>
        <v>8.3991171124803774</v>
      </c>
      <c r="AC165" s="45">
        <f>(M165*'RAP TEMPLATE-GAS AVAILABILITY'!O164+N165*'RAP TEMPLATE-GAS AVAILABILITY'!P164+O165*'RAP TEMPLATE-GAS AVAILABILITY'!Q164+P165*'RAP TEMPLATE-GAS AVAILABILITY'!R164)/('RAP TEMPLATE-GAS AVAILABILITY'!O164+'RAP TEMPLATE-GAS AVAILABILITY'!P164+'RAP TEMPLATE-GAS AVAILABILITY'!Q164+'RAP TEMPLATE-GAS AVAILABILITY'!R164)</f>
        <v>8.3503985611510796</v>
      </c>
    </row>
    <row r="166" spans="1:29" ht="15.75" x14ac:dyDescent="0.25">
      <c r="A166" s="16">
        <v>45931</v>
      </c>
      <c r="B166" s="17">
        <f>CHOOSE(CONTROL!$C$42, 8.176, 8.176) * CHOOSE(CONTROL!$C$21, $C$9, 100%, $E$9)</f>
        <v>8.1760000000000002</v>
      </c>
      <c r="C166" s="17">
        <f>CHOOSE(CONTROL!$C$42, 8.1814, 8.1814) * CHOOSE(CONTROL!$C$21, $C$9, 100%, $E$9)</f>
        <v>8.1814</v>
      </c>
      <c r="D166" s="17">
        <f>CHOOSE(CONTROL!$C$42, 8.4307, 8.4307) * CHOOSE(CONTROL!$C$21, $C$9, 100%, $E$9)</f>
        <v>8.4306999999999999</v>
      </c>
      <c r="E166" s="17">
        <f>CHOOSE(CONTROL!$C$42, 8.4596, 8.4596) * CHOOSE(CONTROL!$C$21, $C$9, 100%, $E$9)</f>
        <v>8.4596</v>
      </c>
      <c r="F166" s="17">
        <f>CHOOSE(CONTROL!$C$42, 8.1898, 8.1898)*CHOOSE(CONTROL!$C$21, $C$9, 100%, $E$9)</f>
        <v>8.1898</v>
      </c>
      <c r="G166" s="17">
        <f>CHOOSE(CONTROL!$C$42, 8.2062, 8.2062)*CHOOSE(CONTROL!$C$21, $C$9, 100%, $E$9)</f>
        <v>8.2062000000000008</v>
      </c>
      <c r="H166" s="17">
        <f>CHOOSE(CONTROL!$C$42, 8.4497, 8.4497) * CHOOSE(CONTROL!$C$21, $C$9, 100%, $E$9)</f>
        <v>8.4497</v>
      </c>
      <c r="I166" s="17">
        <f>CHOOSE(CONTROL!$C$42, 8.2244, 8.2244)* CHOOSE(CONTROL!$C$21, $C$9, 100%, $E$9)</f>
        <v>8.2243999999999993</v>
      </c>
      <c r="J166" s="17">
        <f>CHOOSE(CONTROL!$C$42, 8.1824, 8.1824)* CHOOSE(CONTROL!$C$21, $C$9, 100%, $E$9)</f>
        <v>8.1823999999999995</v>
      </c>
      <c r="K166" s="52">
        <f>CHOOSE(CONTROL!$C$42, 8.2183, 8.2183) * CHOOSE(CONTROL!$C$21, $C$9, 100%, $E$9)</f>
        <v>8.2182999999999993</v>
      </c>
      <c r="L166" s="17">
        <f>CHOOSE(CONTROL!$C$42, 9.0367, 9.0367) * CHOOSE(CONTROL!$C$21, $C$9, 100%, $E$9)</f>
        <v>9.0366999999999997</v>
      </c>
      <c r="M166" s="17">
        <f>CHOOSE(CONTROL!$C$42, 8.1158, 8.1158) * CHOOSE(CONTROL!$C$21, $C$9, 100%, $E$9)</f>
        <v>8.1158000000000001</v>
      </c>
      <c r="N166" s="17">
        <f>CHOOSE(CONTROL!$C$42, 8.1321, 8.1321) * CHOOSE(CONTROL!$C$21, $C$9, 100%, $E$9)</f>
        <v>8.1320999999999994</v>
      </c>
      <c r="O166" s="17">
        <f>CHOOSE(CONTROL!$C$42, 8.3807, 8.3807) * CHOOSE(CONTROL!$C$21, $C$9, 100%, $E$9)</f>
        <v>8.3806999999999992</v>
      </c>
      <c r="P166" s="17">
        <f>CHOOSE(CONTROL!$C$42, 8.1572, 8.1572) * CHOOSE(CONTROL!$C$21, $C$9, 100%, $E$9)</f>
        <v>8.1571999999999996</v>
      </c>
      <c r="Q166" s="17">
        <f>CHOOSE(CONTROL!$C$42, 8.9754, 8.9754) * CHOOSE(CONTROL!$C$21, $C$9, 100%, $E$9)</f>
        <v>8.9754000000000005</v>
      </c>
      <c r="R166" s="17">
        <f>CHOOSE(CONTROL!$C$42, 9.5848, 9.5848) * CHOOSE(CONTROL!$C$21, $C$9, 100%, $E$9)</f>
        <v>9.5847999999999995</v>
      </c>
      <c r="S166" s="17">
        <f>CHOOSE(CONTROL!$C$42, 7.9184, 7.9184) * CHOOSE(CONTROL!$C$21, $C$9, 100%, $E$9)</f>
        <v>7.9184000000000001</v>
      </c>
      <c r="T16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66" s="56">
        <f>(1000*CHOOSE(CONTROL!$C$42, 695, 695)*CHOOSE(CONTROL!$C$42, 0.5599, 0.5599)*CHOOSE(CONTROL!$C$42, 31, 31))/1000000</f>
        <v>12.063045499999998</v>
      </c>
      <c r="V166" s="56">
        <f>(1000*CHOOSE(CONTROL!$C$42, 500, 500)*CHOOSE(CONTROL!$C$42, 0.275, 0.275)*CHOOSE(CONTROL!$C$42, 31, 31))/1000000</f>
        <v>4.2625000000000002</v>
      </c>
      <c r="W166" s="56">
        <f>(1000*CHOOSE(CONTROL!$C$42, 0.0916, 0.0916)*CHOOSE(CONTROL!$C$42, 121.5, 121.5)*CHOOSE(CONTROL!$C$42, 31, 31))/1000000</f>
        <v>0.34501139999999997</v>
      </c>
      <c r="X166" s="56">
        <f>(31*0.1790888*145000/1000000)+(31*0.2374*100000/1000000)</f>
        <v>1.5409441560000001</v>
      </c>
      <c r="Y166" s="56"/>
      <c r="Z166" s="17"/>
      <c r="AA166" s="55"/>
      <c r="AB166" s="48">
        <f>(B166*131.881+C166*277.167+D166*79.08+E166*225.872+F166*40+G166*85+H166*0+I166*100+J166*300)/(131.881+277.167+79.08+225.872+0+40+85+100+300)</f>
        <v>8.2531385609362378</v>
      </c>
      <c r="AC166" s="45">
        <f>(M166*'RAP TEMPLATE-GAS AVAILABILITY'!O165+N166*'RAP TEMPLATE-GAS AVAILABILITY'!P165+O166*'RAP TEMPLATE-GAS AVAILABILITY'!Q165+P166*'RAP TEMPLATE-GAS AVAILABILITY'!R165)/('RAP TEMPLATE-GAS AVAILABILITY'!O165+'RAP TEMPLATE-GAS AVAILABILITY'!P165+'RAP TEMPLATE-GAS AVAILABILITY'!Q165+'RAP TEMPLATE-GAS AVAILABILITY'!R165)</f>
        <v>8.19983381294964</v>
      </c>
    </row>
    <row r="167" spans="1:29" ht="15.75" x14ac:dyDescent="0.25">
      <c r="A167" s="16">
        <v>45962</v>
      </c>
      <c r="B167" s="17">
        <f>CHOOSE(CONTROL!$C$42, 8.408, 8.408) * CHOOSE(CONTROL!$C$21, $C$9, 100%, $E$9)</f>
        <v>8.4079999999999995</v>
      </c>
      <c r="C167" s="17">
        <f>CHOOSE(CONTROL!$C$42, 8.4131, 8.4131) * CHOOSE(CONTROL!$C$21, $C$9, 100%, $E$9)</f>
        <v>8.4131</v>
      </c>
      <c r="D167" s="17">
        <f>CHOOSE(CONTROL!$C$42, 8.4944, 8.4944) * CHOOSE(CONTROL!$C$21, $C$9, 100%, $E$9)</f>
        <v>8.4944000000000006</v>
      </c>
      <c r="E167" s="17">
        <f>CHOOSE(CONTROL!$C$42, 8.5282, 8.5282) * CHOOSE(CONTROL!$C$21, $C$9, 100%, $E$9)</f>
        <v>8.5282</v>
      </c>
      <c r="F167" s="17">
        <f>CHOOSE(CONTROL!$C$42, 8.4259, 8.4259)*CHOOSE(CONTROL!$C$21, $C$9, 100%, $E$9)</f>
        <v>8.4259000000000004</v>
      </c>
      <c r="G167" s="17">
        <f>CHOOSE(CONTROL!$C$42, 8.4426, 8.4426)*CHOOSE(CONTROL!$C$21, $C$9, 100%, $E$9)</f>
        <v>8.4426000000000005</v>
      </c>
      <c r="H167" s="17">
        <f>CHOOSE(CONTROL!$C$42, 8.5171, 8.5171) * CHOOSE(CONTROL!$C$21, $C$9, 100%, $E$9)</f>
        <v>8.5170999999999992</v>
      </c>
      <c r="I167" s="17">
        <f>CHOOSE(CONTROL!$C$42, 8.459, 8.459)* CHOOSE(CONTROL!$C$21, $C$9, 100%, $E$9)</f>
        <v>8.4589999999999996</v>
      </c>
      <c r="J167" s="17">
        <f>CHOOSE(CONTROL!$C$42, 8.4185, 8.4185)* CHOOSE(CONTROL!$C$21, $C$9, 100%, $E$9)</f>
        <v>8.4184999999999999</v>
      </c>
      <c r="K167" s="52">
        <f>CHOOSE(CONTROL!$C$42, 8.453, 8.453) * CHOOSE(CONTROL!$C$21, $C$9, 100%, $E$9)</f>
        <v>8.4529999999999994</v>
      </c>
      <c r="L167" s="17">
        <f>CHOOSE(CONTROL!$C$42, 9.1041, 9.1041) * CHOOSE(CONTROL!$C$21, $C$9, 100%, $E$9)</f>
        <v>9.1041000000000007</v>
      </c>
      <c r="M167" s="17">
        <f>CHOOSE(CONTROL!$C$42, 8.3498, 8.3498) * CHOOSE(CONTROL!$C$21, $C$9, 100%, $E$9)</f>
        <v>8.3498000000000001</v>
      </c>
      <c r="N167" s="17">
        <f>CHOOSE(CONTROL!$C$42, 8.3664, 8.3664) * CHOOSE(CONTROL!$C$21, $C$9, 100%, $E$9)</f>
        <v>8.3664000000000005</v>
      </c>
      <c r="O167" s="17">
        <f>CHOOSE(CONTROL!$C$42, 8.4475, 8.4475) * CHOOSE(CONTROL!$C$21, $C$9, 100%, $E$9)</f>
        <v>8.4474999999999998</v>
      </c>
      <c r="P167" s="17">
        <f>CHOOSE(CONTROL!$C$42, 8.3898, 8.3898) * CHOOSE(CONTROL!$C$21, $C$9, 100%, $E$9)</f>
        <v>8.3897999999999993</v>
      </c>
      <c r="Q167" s="17">
        <f>CHOOSE(CONTROL!$C$42, 9.0422, 9.0422) * CHOOSE(CONTROL!$C$21, $C$9, 100%, $E$9)</f>
        <v>9.0421999999999993</v>
      </c>
      <c r="R167" s="17">
        <f>CHOOSE(CONTROL!$C$42, 9.6518, 9.6518) * CHOOSE(CONTROL!$C$21, $C$9, 100%, $E$9)</f>
        <v>9.6517999999999997</v>
      </c>
      <c r="S167" s="17">
        <f>CHOOSE(CONTROL!$C$42, 8.1437, 8.1437) * CHOOSE(CONTROL!$C$21, $C$9, 100%, $E$9)</f>
        <v>8.1437000000000008</v>
      </c>
      <c r="T16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67" s="56">
        <f>(1000*CHOOSE(CONTROL!$C$42, 695, 695)*CHOOSE(CONTROL!$C$42, 0.5599, 0.5599)*CHOOSE(CONTROL!$C$42, 30, 30))/1000000</f>
        <v>11.673914999999997</v>
      </c>
      <c r="V167" s="56">
        <f>(1000*CHOOSE(CONTROL!$C$42, 500, 500)*CHOOSE(CONTROL!$C$42, 0.275, 0.275)*CHOOSE(CONTROL!$C$42, 30, 30))/1000000</f>
        <v>4.125</v>
      </c>
      <c r="W167" s="56">
        <f>(1000*CHOOSE(CONTROL!$C$42, 0.0916, 0.0916)*CHOOSE(CONTROL!$C$42, 121.5, 121.5)*CHOOSE(CONTROL!$C$42, 30, 30))/1000000</f>
        <v>0.33388200000000001</v>
      </c>
      <c r="X167" s="56">
        <f>(30*0.2374*100000/1000000)</f>
        <v>0.71220000000000006</v>
      </c>
      <c r="Y167" s="56"/>
      <c r="Z167" s="17"/>
      <c r="AA167" s="55"/>
      <c r="AB167" s="48">
        <f>(B167*122.58+C167*297.941+D167*89.177+E167*140.302+F167*40+G167*60+H167*0+I167*100+J167*300)/(122.58+297.941+89.177+140.302+0+40+60+100+300)</f>
        <v>8.440287558521737</v>
      </c>
      <c r="AC167" s="45">
        <f>(M167*'RAP TEMPLATE-GAS AVAILABILITY'!O166+N167*'RAP TEMPLATE-GAS AVAILABILITY'!P166+O167*'RAP TEMPLATE-GAS AVAILABILITY'!Q166+P167*'RAP TEMPLATE-GAS AVAILABILITY'!R166)/('RAP TEMPLATE-GAS AVAILABILITY'!O166+'RAP TEMPLATE-GAS AVAILABILITY'!P166+'RAP TEMPLATE-GAS AVAILABILITY'!Q166+'RAP TEMPLATE-GAS AVAILABILITY'!R166)</f>
        <v>8.4007920863309344</v>
      </c>
    </row>
    <row r="168" spans="1:29" ht="15.75" x14ac:dyDescent="0.25">
      <c r="A168" s="16">
        <v>45992</v>
      </c>
      <c r="B168" s="17">
        <f>CHOOSE(CONTROL!$C$42, 8.999, 8.999) * CHOOSE(CONTROL!$C$21, $C$9, 100%, $E$9)</f>
        <v>8.9990000000000006</v>
      </c>
      <c r="C168" s="17">
        <f>CHOOSE(CONTROL!$C$42, 9.0041, 9.0041) * CHOOSE(CONTROL!$C$21, $C$9, 100%, $E$9)</f>
        <v>9.0040999999999993</v>
      </c>
      <c r="D168" s="17">
        <f>CHOOSE(CONTROL!$C$42, 9.0854, 9.0854) * CHOOSE(CONTROL!$C$21, $C$9, 100%, $E$9)</f>
        <v>9.0853999999999999</v>
      </c>
      <c r="E168" s="17">
        <f>CHOOSE(CONTROL!$C$42, 9.1192, 9.1192) * CHOOSE(CONTROL!$C$21, $C$9, 100%, $E$9)</f>
        <v>9.1191999999999993</v>
      </c>
      <c r="F168" s="17">
        <f>CHOOSE(CONTROL!$C$42, 9.0193, 9.0193)*CHOOSE(CONTROL!$C$21, $C$9, 100%, $E$9)</f>
        <v>9.0192999999999994</v>
      </c>
      <c r="G168" s="17">
        <f>CHOOSE(CONTROL!$C$42, 9.0367, 9.0367)*CHOOSE(CONTROL!$C$21, $C$9, 100%, $E$9)</f>
        <v>9.0366999999999997</v>
      </c>
      <c r="H168" s="17">
        <f>CHOOSE(CONTROL!$C$42, 9.1081, 9.1081) * CHOOSE(CONTROL!$C$21, $C$9, 100%, $E$9)</f>
        <v>9.1081000000000003</v>
      </c>
      <c r="I168" s="17">
        <f>CHOOSE(CONTROL!$C$42, 9.0519, 9.0519)* CHOOSE(CONTROL!$C$21, $C$9, 100%, $E$9)</f>
        <v>9.0518999999999998</v>
      </c>
      <c r="J168" s="17">
        <f>CHOOSE(CONTROL!$C$42, 9.0119, 9.0119)* CHOOSE(CONTROL!$C$21, $C$9, 100%, $E$9)</f>
        <v>9.0119000000000007</v>
      </c>
      <c r="K168" s="52">
        <f>CHOOSE(CONTROL!$C$42, 9.0458, 9.0458) * CHOOSE(CONTROL!$C$21, $C$9, 100%, $E$9)</f>
        <v>9.0457999999999998</v>
      </c>
      <c r="L168" s="17">
        <f>CHOOSE(CONTROL!$C$42, 9.6951, 9.6951) * CHOOSE(CONTROL!$C$21, $C$9, 100%, $E$9)</f>
        <v>9.6951000000000001</v>
      </c>
      <c r="M168" s="17">
        <f>CHOOSE(CONTROL!$C$42, 8.9379, 8.9379) * CHOOSE(CONTROL!$C$21, $C$9, 100%, $E$9)</f>
        <v>8.9379000000000008</v>
      </c>
      <c r="N168" s="17">
        <f>CHOOSE(CONTROL!$C$42, 8.9551, 8.9551) * CHOOSE(CONTROL!$C$21, $C$9, 100%, $E$9)</f>
        <v>8.9550999999999998</v>
      </c>
      <c r="O168" s="17">
        <f>CHOOSE(CONTROL!$C$42, 9.0332, 9.0332) * CHOOSE(CONTROL!$C$21, $C$9, 100%, $E$9)</f>
        <v>9.0332000000000008</v>
      </c>
      <c r="P168" s="17">
        <f>CHOOSE(CONTROL!$C$42, 8.9773, 8.9773) * CHOOSE(CONTROL!$C$21, $C$9, 100%, $E$9)</f>
        <v>8.9772999999999996</v>
      </c>
      <c r="Q168" s="17">
        <f>CHOOSE(CONTROL!$C$42, 9.6279, 9.6279) * CHOOSE(CONTROL!$C$21, $C$9, 100%, $E$9)</f>
        <v>9.6279000000000003</v>
      </c>
      <c r="R168" s="17">
        <f>CHOOSE(CONTROL!$C$42, 10.2389, 10.2389) * CHOOSE(CONTROL!$C$21, $C$9, 100%, $E$9)</f>
        <v>10.238899999999999</v>
      </c>
      <c r="S168" s="17">
        <f>CHOOSE(CONTROL!$C$42, 8.7168, 8.7168) * CHOOSE(CONTROL!$C$21, $C$9, 100%, $E$9)</f>
        <v>8.7167999999999992</v>
      </c>
      <c r="T16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68" s="56">
        <f>(1000*CHOOSE(CONTROL!$C$42, 695, 695)*CHOOSE(CONTROL!$C$42, 0.5599, 0.5599)*CHOOSE(CONTROL!$C$42, 31, 31))/1000000</f>
        <v>12.063045499999998</v>
      </c>
      <c r="V168" s="56">
        <f>(1000*CHOOSE(CONTROL!$C$42, 500, 500)*CHOOSE(CONTROL!$C$42, 0.275, 0.275)*CHOOSE(CONTROL!$C$42, 31, 31))/1000000</f>
        <v>4.2625000000000002</v>
      </c>
      <c r="W168" s="56">
        <f>(1000*CHOOSE(CONTROL!$C$42, 0.0916, 0.0916)*CHOOSE(CONTROL!$C$42, 121.5, 121.5)*CHOOSE(CONTROL!$C$42, 31, 31))/1000000</f>
        <v>0.34501139999999997</v>
      </c>
      <c r="X168" s="56">
        <f>(31*0.2374*100000/1000000)</f>
        <v>0.73594000000000004</v>
      </c>
      <c r="Y168" s="56"/>
      <c r="Z168" s="17"/>
      <c r="AA168" s="55"/>
      <c r="AB168" s="48">
        <f>(B168*122.58+C168*297.941+D168*89.177+E168*140.302+F168*40+G168*60+H168*0+I168*100+J168*300)/(122.58+297.941+89.177+140.302+0+40+60+100+300)</f>
        <v>9.0323240802608691</v>
      </c>
      <c r="AC168" s="45">
        <f>(M168*'RAP TEMPLATE-GAS AVAILABILITY'!O167+N168*'RAP TEMPLATE-GAS AVAILABILITY'!P167+O168*'RAP TEMPLATE-GAS AVAILABILITY'!Q167+P168*'RAP TEMPLATE-GAS AVAILABILITY'!R167)/('RAP TEMPLATE-GAS AVAILABILITY'!O167+'RAP TEMPLATE-GAS AVAILABILITY'!P167+'RAP TEMPLATE-GAS AVAILABILITY'!Q167+'RAP TEMPLATE-GAS AVAILABILITY'!R167)</f>
        <v>8.9877525179856104</v>
      </c>
    </row>
    <row r="169" spans="1:29" ht="15.75" x14ac:dyDescent="0.25">
      <c r="A169" s="16">
        <v>46023</v>
      </c>
      <c r="B169" s="17">
        <f>CHOOSE(CONTROL!$C$42, 9.5014, 9.5014) * CHOOSE(CONTROL!$C$21, $C$9, 100%, $E$9)</f>
        <v>9.5014000000000003</v>
      </c>
      <c r="C169" s="17">
        <f>CHOOSE(CONTROL!$C$42, 9.5065, 9.5065) * CHOOSE(CONTROL!$C$21, $C$9, 100%, $E$9)</f>
        <v>9.5065000000000008</v>
      </c>
      <c r="D169" s="17">
        <f>CHOOSE(CONTROL!$C$42, 9.6033, 9.6033) * CHOOSE(CONTROL!$C$21, $C$9, 100%, $E$9)</f>
        <v>9.6033000000000008</v>
      </c>
      <c r="E169" s="17">
        <f>CHOOSE(CONTROL!$C$42, 9.637, 9.637) * CHOOSE(CONTROL!$C$21, $C$9, 100%, $E$9)</f>
        <v>9.6370000000000005</v>
      </c>
      <c r="F169" s="17">
        <f>CHOOSE(CONTROL!$C$42, 9.5156, 9.5156)*CHOOSE(CONTROL!$C$21, $C$9, 100%, $E$9)</f>
        <v>9.5155999999999992</v>
      </c>
      <c r="G169" s="17">
        <f>CHOOSE(CONTROL!$C$42, 9.5321, 9.5321)*CHOOSE(CONTROL!$C$21, $C$9, 100%, $E$9)</f>
        <v>9.5320999999999998</v>
      </c>
      <c r="H169" s="17">
        <f>CHOOSE(CONTROL!$C$42, 9.6259, 9.6259) * CHOOSE(CONTROL!$C$21, $C$9, 100%, $E$9)</f>
        <v>9.6258999999999997</v>
      </c>
      <c r="I169" s="17">
        <f>CHOOSE(CONTROL!$C$42, 9.5558, 9.5558)* CHOOSE(CONTROL!$C$21, $C$9, 100%, $E$9)</f>
        <v>9.5557999999999996</v>
      </c>
      <c r="J169" s="17">
        <f>CHOOSE(CONTROL!$C$42, 9.5082, 9.5082)* CHOOSE(CONTROL!$C$21, $C$9, 100%, $E$9)</f>
        <v>9.5082000000000004</v>
      </c>
      <c r="K169" s="52">
        <f>CHOOSE(CONTROL!$C$42, 9.5498, 9.5498) * CHOOSE(CONTROL!$C$21, $C$9, 100%, $E$9)</f>
        <v>9.5497999999999994</v>
      </c>
      <c r="L169" s="17">
        <f>CHOOSE(CONTROL!$C$42, 10.2129, 10.2129) * CHOOSE(CONTROL!$C$21, $C$9, 100%, $E$9)</f>
        <v>10.212899999999999</v>
      </c>
      <c r="M169" s="17">
        <f>CHOOSE(CONTROL!$C$42, 9.4297, 9.4297) * CHOOSE(CONTROL!$C$21, $C$9, 100%, $E$9)</f>
        <v>9.4297000000000004</v>
      </c>
      <c r="N169" s="17">
        <f>CHOOSE(CONTROL!$C$42, 9.446, 9.446) * CHOOSE(CONTROL!$C$21, $C$9, 100%, $E$9)</f>
        <v>9.4459999999999997</v>
      </c>
      <c r="O169" s="17">
        <f>CHOOSE(CONTROL!$C$42, 9.5464, 9.5464) * CHOOSE(CONTROL!$C$21, $C$9, 100%, $E$9)</f>
        <v>9.5464000000000002</v>
      </c>
      <c r="P169" s="17">
        <f>CHOOSE(CONTROL!$C$42, 9.4767, 9.4767) * CHOOSE(CONTROL!$C$21, $C$9, 100%, $E$9)</f>
        <v>9.4766999999999992</v>
      </c>
      <c r="Q169" s="17">
        <f>CHOOSE(CONTROL!$C$42, 10.1411, 10.1411) * CHOOSE(CONTROL!$C$21, $C$9, 100%, $E$9)</f>
        <v>10.1411</v>
      </c>
      <c r="R169" s="17">
        <f>CHOOSE(CONTROL!$C$42, 10.7534, 10.7534) * CHOOSE(CONTROL!$C$21, $C$9, 100%, $E$9)</f>
        <v>10.753399999999999</v>
      </c>
      <c r="S169" s="17">
        <f>CHOOSE(CONTROL!$C$42, 9.204, 9.204) * CHOOSE(CONTROL!$C$21, $C$9, 100%, $E$9)</f>
        <v>9.2040000000000006</v>
      </c>
      <c r="T16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69" s="56">
        <f>(1000*CHOOSE(CONTROL!$C$42, 695, 695)*CHOOSE(CONTROL!$C$42, 0.5599, 0.5599)*CHOOSE(CONTROL!$C$42, 31, 31))/1000000</f>
        <v>12.063045499999998</v>
      </c>
      <c r="V169" s="56">
        <f>(1000*CHOOSE(CONTROL!$C$42, 500, 500)*CHOOSE(CONTROL!$C$42, 0.275, 0.275)*CHOOSE(CONTROL!$C$42, 31, 31))/1000000</f>
        <v>4.2625000000000002</v>
      </c>
      <c r="W169" s="56">
        <f>(1000*CHOOSE(CONTROL!$C$42, 0.0916, 0.0916)*CHOOSE(CONTROL!$C$42, 121.5, 121.5)*CHOOSE(CONTROL!$C$42, 31, 31))/1000000</f>
        <v>0.34501139999999997</v>
      </c>
      <c r="X169" s="56">
        <f>(31*0.2374*100000/1000000)</f>
        <v>0.73594000000000004</v>
      </c>
      <c r="Y169" s="56"/>
      <c r="Z169" s="17"/>
      <c r="AA169" s="55"/>
      <c r="AB169" s="48">
        <f>(B169*122.58+C169*297.941+D169*89.177+E169*140.302+F169*40+G169*60+H169*0+I169*100+J169*300)/(122.58+297.941+89.177+140.302+0+40+60+100+300)</f>
        <v>9.5357665970434784</v>
      </c>
      <c r="AC169" s="45">
        <f>(M169*'RAP TEMPLATE-GAS AVAILABILITY'!O168+N169*'RAP TEMPLATE-GAS AVAILABILITY'!P168+O169*'RAP TEMPLATE-GAS AVAILABILITY'!Q168+P169*'RAP TEMPLATE-GAS AVAILABILITY'!R168)/('RAP TEMPLATE-GAS AVAILABILITY'!O168+'RAP TEMPLATE-GAS AVAILABILITY'!P168+'RAP TEMPLATE-GAS AVAILABILITY'!Q168+'RAP TEMPLATE-GAS AVAILABILITY'!R168)</f>
        <v>9.4902935251798581</v>
      </c>
    </row>
    <row r="170" spans="1:29" ht="15.75" x14ac:dyDescent="0.25">
      <c r="A170" s="16">
        <v>46054</v>
      </c>
      <c r="B170" s="17">
        <f>CHOOSE(CONTROL!$C$42, 9.6902, 9.6902) * CHOOSE(CONTROL!$C$21, $C$9, 100%, $E$9)</f>
        <v>9.6902000000000008</v>
      </c>
      <c r="C170" s="17">
        <f>CHOOSE(CONTROL!$C$42, 9.6953, 9.6953) * CHOOSE(CONTROL!$C$21, $C$9, 100%, $E$9)</f>
        <v>9.6952999999999996</v>
      </c>
      <c r="D170" s="17">
        <f>CHOOSE(CONTROL!$C$42, 9.7921, 9.7921) * CHOOSE(CONTROL!$C$21, $C$9, 100%, $E$9)</f>
        <v>9.7920999999999996</v>
      </c>
      <c r="E170" s="17">
        <f>CHOOSE(CONTROL!$C$42, 9.8259, 9.8259) * CHOOSE(CONTROL!$C$21, $C$9, 100%, $E$9)</f>
        <v>9.8259000000000007</v>
      </c>
      <c r="F170" s="17">
        <f>CHOOSE(CONTROL!$C$42, 9.7045, 9.7045)*CHOOSE(CONTROL!$C$21, $C$9, 100%, $E$9)</f>
        <v>9.7044999999999995</v>
      </c>
      <c r="G170" s="17">
        <f>CHOOSE(CONTROL!$C$42, 9.7209, 9.7209)*CHOOSE(CONTROL!$C$21, $C$9, 100%, $E$9)</f>
        <v>9.7209000000000003</v>
      </c>
      <c r="H170" s="17">
        <f>CHOOSE(CONTROL!$C$42, 9.8148, 9.8148) * CHOOSE(CONTROL!$C$21, $C$9, 100%, $E$9)</f>
        <v>9.8148</v>
      </c>
      <c r="I170" s="17">
        <f>CHOOSE(CONTROL!$C$42, 9.7452, 9.7452)* CHOOSE(CONTROL!$C$21, $C$9, 100%, $E$9)</f>
        <v>9.7452000000000005</v>
      </c>
      <c r="J170" s="17">
        <f>CHOOSE(CONTROL!$C$42, 9.6971, 9.6971)* CHOOSE(CONTROL!$C$21, $C$9, 100%, $E$9)</f>
        <v>9.6971000000000007</v>
      </c>
      <c r="K170" s="52">
        <f>CHOOSE(CONTROL!$C$42, 9.7392, 9.7392) * CHOOSE(CONTROL!$C$21, $C$9, 100%, $E$9)</f>
        <v>9.7392000000000003</v>
      </c>
      <c r="L170" s="17">
        <f>CHOOSE(CONTROL!$C$42, 10.4018, 10.4018) * CHOOSE(CONTROL!$C$21, $C$9, 100%, $E$9)</f>
        <v>10.4018</v>
      </c>
      <c r="M170" s="17">
        <f>CHOOSE(CONTROL!$C$42, 9.6169, 9.6169) * CHOOSE(CONTROL!$C$21, $C$9, 100%, $E$9)</f>
        <v>9.6168999999999993</v>
      </c>
      <c r="N170" s="17">
        <f>CHOOSE(CONTROL!$C$42, 9.6331, 9.6331) * CHOOSE(CONTROL!$C$21, $C$9, 100%, $E$9)</f>
        <v>9.6331000000000007</v>
      </c>
      <c r="O170" s="17">
        <f>CHOOSE(CONTROL!$C$42, 9.7335, 9.7335) * CHOOSE(CONTROL!$C$21, $C$9, 100%, $E$9)</f>
        <v>9.7334999999999994</v>
      </c>
      <c r="P170" s="17">
        <f>CHOOSE(CONTROL!$C$42, 9.6644, 9.6644) * CHOOSE(CONTROL!$C$21, $C$9, 100%, $E$9)</f>
        <v>9.6644000000000005</v>
      </c>
      <c r="Q170" s="17">
        <f>CHOOSE(CONTROL!$C$42, 10.3282, 10.3282) * CHOOSE(CONTROL!$C$21, $C$9, 100%, $E$9)</f>
        <v>10.328200000000001</v>
      </c>
      <c r="R170" s="17">
        <f>CHOOSE(CONTROL!$C$42, 10.941, 10.941) * CHOOSE(CONTROL!$C$21, $C$9, 100%, $E$9)</f>
        <v>10.941000000000001</v>
      </c>
      <c r="S170" s="17">
        <f>CHOOSE(CONTROL!$C$42, 9.3871, 9.3871) * CHOOSE(CONTROL!$C$21, $C$9, 100%, $E$9)</f>
        <v>9.3871000000000002</v>
      </c>
      <c r="T17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70" s="56">
        <f>(1000*CHOOSE(CONTROL!$C$42, 695, 695)*CHOOSE(CONTROL!$C$42, 0.5599, 0.5599)*CHOOSE(CONTROL!$C$42, 28, 28))/1000000</f>
        <v>10.895653999999999</v>
      </c>
      <c r="V170" s="56">
        <f>(1000*CHOOSE(CONTROL!$C$42, 500, 500)*CHOOSE(CONTROL!$C$42, 0.275, 0.275)*CHOOSE(CONTROL!$C$42, 28, 28))/1000000</f>
        <v>3.85</v>
      </c>
      <c r="W170" s="56">
        <f>(1000*CHOOSE(CONTROL!$C$42, 0.0916, 0.0916)*CHOOSE(CONTROL!$C$42, 121.5, 121.5)*CHOOSE(CONTROL!$C$42, 28, 28))/1000000</f>
        <v>0.31162319999999999</v>
      </c>
      <c r="X170" s="56">
        <f>(28*0.2374*100000/1000000)</f>
        <v>0.66471999999999998</v>
      </c>
      <c r="Y170" s="56"/>
      <c r="Z170" s="17"/>
      <c r="AA170" s="55"/>
      <c r="AB170" s="48">
        <f>(B170*122.58+C170*297.941+D170*89.177+E170*140.302+F170*40+G170*60+H170*0+I170*100+J170*300)/(122.58+297.941+89.177+140.302+0+40+60+100+300)</f>
        <v>9.7246605363478267</v>
      </c>
      <c r="AC170" s="45">
        <f>(M170*'RAP TEMPLATE-GAS AVAILABILITY'!O169+N170*'RAP TEMPLATE-GAS AVAILABILITY'!P169+O170*'RAP TEMPLATE-GAS AVAILABILITY'!Q169+P170*'RAP TEMPLATE-GAS AVAILABILITY'!R169)/('RAP TEMPLATE-GAS AVAILABILITY'!O169+'RAP TEMPLATE-GAS AVAILABILITY'!P169+'RAP TEMPLATE-GAS AVAILABILITY'!Q169+'RAP TEMPLATE-GAS AVAILABILITY'!R169)</f>
        <v>9.6775143884892074</v>
      </c>
    </row>
    <row r="171" spans="1:29" ht="15.75" x14ac:dyDescent="0.25">
      <c r="A171" s="16">
        <v>46082</v>
      </c>
      <c r="B171" s="17">
        <f>CHOOSE(CONTROL!$C$42, 9.4348, 9.4348) * CHOOSE(CONTROL!$C$21, $C$9, 100%, $E$9)</f>
        <v>9.4347999999999992</v>
      </c>
      <c r="C171" s="17">
        <f>CHOOSE(CONTROL!$C$42, 9.4399, 9.4399) * CHOOSE(CONTROL!$C$21, $C$9, 100%, $E$9)</f>
        <v>9.4398999999999997</v>
      </c>
      <c r="D171" s="17">
        <f>CHOOSE(CONTROL!$C$42, 9.5367, 9.5367) * CHOOSE(CONTROL!$C$21, $C$9, 100%, $E$9)</f>
        <v>9.5366999999999997</v>
      </c>
      <c r="E171" s="17">
        <f>CHOOSE(CONTROL!$C$42, 9.5705, 9.5705) * CHOOSE(CONTROL!$C$21, $C$9, 100%, $E$9)</f>
        <v>9.5704999999999991</v>
      </c>
      <c r="F171" s="17">
        <f>CHOOSE(CONTROL!$C$42, 9.4484, 9.4484)*CHOOSE(CONTROL!$C$21, $C$9, 100%, $E$9)</f>
        <v>9.4483999999999995</v>
      </c>
      <c r="G171" s="17">
        <f>CHOOSE(CONTROL!$C$42, 9.4646, 9.4646)*CHOOSE(CONTROL!$C$21, $C$9, 100%, $E$9)</f>
        <v>9.4646000000000008</v>
      </c>
      <c r="H171" s="17">
        <f>CHOOSE(CONTROL!$C$42, 9.5593, 9.5593) * CHOOSE(CONTROL!$C$21, $C$9, 100%, $E$9)</f>
        <v>9.5593000000000004</v>
      </c>
      <c r="I171" s="17">
        <f>CHOOSE(CONTROL!$C$42, 9.489, 9.489)* CHOOSE(CONTROL!$C$21, $C$9, 100%, $E$9)</f>
        <v>9.4890000000000008</v>
      </c>
      <c r="J171" s="17">
        <f>CHOOSE(CONTROL!$C$42, 9.441, 9.441)* CHOOSE(CONTROL!$C$21, $C$9, 100%, $E$9)</f>
        <v>9.4410000000000007</v>
      </c>
      <c r="K171" s="52">
        <f>CHOOSE(CONTROL!$C$42, 9.483, 9.483) * CHOOSE(CONTROL!$C$21, $C$9, 100%, $E$9)</f>
        <v>9.4830000000000005</v>
      </c>
      <c r="L171" s="17">
        <f>CHOOSE(CONTROL!$C$42, 10.1463, 10.1463) * CHOOSE(CONTROL!$C$21, $C$9, 100%, $E$9)</f>
        <v>10.1463</v>
      </c>
      <c r="M171" s="17">
        <f>CHOOSE(CONTROL!$C$42, 9.3631, 9.3631) * CHOOSE(CONTROL!$C$21, $C$9, 100%, $E$9)</f>
        <v>9.3630999999999993</v>
      </c>
      <c r="N171" s="17">
        <f>CHOOSE(CONTROL!$C$42, 9.3792, 9.3792) * CHOOSE(CONTROL!$C$21, $C$9, 100%, $E$9)</f>
        <v>9.3792000000000009</v>
      </c>
      <c r="O171" s="17">
        <f>CHOOSE(CONTROL!$C$42, 9.4804, 9.4804) * CHOOSE(CONTROL!$C$21, $C$9, 100%, $E$9)</f>
        <v>9.4803999999999995</v>
      </c>
      <c r="P171" s="17">
        <f>CHOOSE(CONTROL!$C$42, 9.4105, 9.4105) * CHOOSE(CONTROL!$C$21, $C$9, 100%, $E$9)</f>
        <v>9.4105000000000008</v>
      </c>
      <c r="Q171" s="17">
        <f>CHOOSE(CONTROL!$C$42, 10.0751, 10.0751) * CHOOSE(CONTROL!$C$21, $C$9, 100%, $E$9)</f>
        <v>10.075100000000001</v>
      </c>
      <c r="R171" s="17">
        <f>CHOOSE(CONTROL!$C$42, 10.6873, 10.6873) * CHOOSE(CONTROL!$C$21, $C$9, 100%, $E$9)</f>
        <v>10.6873</v>
      </c>
      <c r="S171" s="17">
        <f>CHOOSE(CONTROL!$C$42, 9.1394, 9.1394) * CHOOSE(CONTROL!$C$21, $C$9, 100%, $E$9)</f>
        <v>9.1394000000000002</v>
      </c>
      <c r="T17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71" s="56">
        <f>(1000*CHOOSE(CONTROL!$C$42, 695, 695)*CHOOSE(CONTROL!$C$42, 0.5599, 0.5599)*CHOOSE(CONTROL!$C$42, 31, 31))/1000000</f>
        <v>12.063045499999998</v>
      </c>
      <c r="V171" s="56">
        <f>(1000*CHOOSE(CONTROL!$C$42, 500, 500)*CHOOSE(CONTROL!$C$42, 0.275, 0.275)*CHOOSE(CONTROL!$C$42, 31, 31))/1000000</f>
        <v>4.2625000000000002</v>
      </c>
      <c r="W171" s="56">
        <f>(1000*CHOOSE(CONTROL!$C$42, 0.0916, 0.0916)*CHOOSE(CONTROL!$C$42, 121.5, 121.5)*CHOOSE(CONTROL!$C$42, 31, 31))/1000000</f>
        <v>0.34501139999999997</v>
      </c>
      <c r="X171" s="56">
        <f>(31*0.2374*100000/1000000)</f>
        <v>0.73594000000000004</v>
      </c>
      <c r="Y171" s="56"/>
      <c r="Z171" s="17"/>
      <c r="AA171" s="55"/>
      <c r="AB171" s="48">
        <f>(B171*122.58+C171*297.941+D171*89.177+E171*140.302+F171*40+G171*60+H171*0+I171*100+J171*300)/(122.58+297.941+89.177+140.302+0+40+60+100+300)</f>
        <v>9.4689370580869543</v>
      </c>
      <c r="AC171" s="45">
        <f>(M171*'RAP TEMPLATE-GAS AVAILABILITY'!O170+N171*'RAP TEMPLATE-GAS AVAILABILITY'!P170+O171*'RAP TEMPLATE-GAS AVAILABILITY'!Q170+P171*'RAP TEMPLATE-GAS AVAILABILITY'!R170)/('RAP TEMPLATE-GAS AVAILABILITY'!O170+'RAP TEMPLATE-GAS AVAILABILITY'!P170+'RAP TEMPLATE-GAS AVAILABILITY'!Q170+'RAP TEMPLATE-GAS AVAILABILITY'!R170)</f>
        <v>9.4240115107913667</v>
      </c>
    </row>
    <row r="172" spans="1:29" ht="15.75" x14ac:dyDescent="0.25">
      <c r="A172" s="16">
        <v>46113</v>
      </c>
      <c r="B172" s="17">
        <f>CHOOSE(CONTROL!$C$42, 9.4269, 9.4269) * CHOOSE(CONTROL!$C$21, $C$9, 100%, $E$9)</f>
        <v>9.4268999999999998</v>
      </c>
      <c r="C172" s="17">
        <f>CHOOSE(CONTROL!$C$42, 9.4314, 9.4314) * CHOOSE(CONTROL!$C$21, $C$9, 100%, $E$9)</f>
        <v>9.4314</v>
      </c>
      <c r="D172" s="17">
        <f>CHOOSE(CONTROL!$C$42, 9.679, 9.679) * CHOOSE(CONTROL!$C$21, $C$9, 100%, $E$9)</f>
        <v>9.6790000000000003</v>
      </c>
      <c r="E172" s="17">
        <f>CHOOSE(CONTROL!$C$42, 9.7108, 9.7108) * CHOOSE(CONTROL!$C$21, $C$9, 100%, $E$9)</f>
        <v>9.7108000000000008</v>
      </c>
      <c r="F172" s="17">
        <f>CHOOSE(CONTROL!$C$42, 9.4386, 9.4386)*CHOOSE(CONTROL!$C$21, $C$9, 100%, $E$9)</f>
        <v>9.4385999999999992</v>
      </c>
      <c r="G172" s="17">
        <f>CHOOSE(CONTROL!$C$42, 9.4545, 9.4545)*CHOOSE(CONTROL!$C$21, $C$9, 100%, $E$9)</f>
        <v>9.4544999999999995</v>
      </c>
      <c r="H172" s="17">
        <f>CHOOSE(CONTROL!$C$42, 9.7002, 9.7002) * CHOOSE(CONTROL!$C$21, $C$9, 100%, $E$9)</f>
        <v>9.7002000000000006</v>
      </c>
      <c r="I172" s="17">
        <f>CHOOSE(CONTROL!$C$42, 9.4788, 9.4788)* CHOOSE(CONTROL!$C$21, $C$9, 100%, $E$9)</f>
        <v>9.4787999999999997</v>
      </c>
      <c r="J172" s="17">
        <f>CHOOSE(CONTROL!$C$42, 9.4312, 9.4312)* CHOOSE(CONTROL!$C$21, $C$9, 100%, $E$9)</f>
        <v>9.4312000000000005</v>
      </c>
      <c r="K172" s="52">
        <f>CHOOSE(CONTROL!$C$42, 9.4728, 9.4728) * CHOOSE(CONTROL!$C$21, $C$9, 100%, $E$9)</f>
        <v>9.4727999999999994</v>
      </c>
      <c r="L172" s="17">
        <f>CHOOSE(CONTROL!$C$42, 10.2872, 10.2872) * CHOOSE(CONTROL!$C$21, $C$9, 100%, $E$9)</f>
        <v>10.2872</v>
      </c>
      <c r="M172" s="17">
        <f>CHOOSE(CONTROL!$C$42, 9.3533, 9.3533) * CHOOSE(CONTROL!$C$21, $C$9, 100%, $E$9)</f>
        <v>9.3533000000000008</v>
      </c>
      <c r="N172" s="17">
        <f>CHOOSE(CONTROL!$C$42, 9.3691, 9.3691) * CHOOSE(CONTROL!$C$21, $C$9, 100%, $E$9)</f>
        <v>9.3690999999999995</v>
      </c>
      <c r="O172" s="17">
        <f>CHOOSE(CONTROL!$C$42, 9.62, 9.62) * CHOOSE(CONTROL!$C$21, $C$9, 100%, $E$9)</f>
        <v>9.6199999999999992</v>
      </c>
      <c r="P172" s="17">
        <f>CHOOSE(CONTROL!$C$42, 9.4003, 9.4003) * CHOOSE(CONTROL!$C$21, $C$9, 100%, $E$9)</f>
        <v>9.4002999999999997</v>
      </c>
      <c r="Q172" s="17">
        <f>CHOOSE(CONTROL!$C$42, 10.2147, 10.2147) * CHOOSE(CONTROL!$C$21, $C$9, 100%, $E$9)</f>
        <v>10.214700000000001</v>
      </c>
      <c r="R172" s="17">
        <f>CHOOSE(CONTROL!$C$42, 10.8272, 10.8272) * CHOOSE(CONTROL!$C$21, $C$9, 100%, $E$9)</f>
        <v>10.827199999999999</v>
      </c>
      <c r="S172" s="17">
        <f>CHOOSE(CONTROL!$C$42, 9.131, 9.131) * CHOOSE(CONTROL!$C$21, $C$9, 100%, $E$9)</f>
        <v>9.1310000000000002</v>
      </c>
      <c r="T17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72" s="56">
        <f>(1000*CHOOSE(CONTROL!$C$42, 695, 695)*CHOOSE(CONTROL!$C$42, 0.5599, 0.5599)*CHOOSE(CONTROL!$C$42, 30, 30))/1000000</f>
        <v>11.673914999999997</v>
      </c>
      <c r="V172" s="56">
        <f>(1000*CHOOSE(CONTROL!$C$42, 500, 500)*CHOOSE(CONTROL!$C$42, 0.275, 0.275)*CHOOSE(CONTROL!$C$42, 30, 30))/1000000</f>
        <v>4.125</v>
      </c>
      <c r="W172" s="56">
        <f>(1000*CHOOSE(CONTROL!$C$42, 0.0916, 0.0916)*CHOOSE(CONTROL!$C$42, 121.5, 121.5)*CHOOSE(CONTROL!$C$42, 30, 30))/1000000</f>
        <v>0.33388200000000001</v>
      </c>
      <c r="X172" s="56">
        <f>(30*0.1790888*145000/1000000)+(30*0.2374*100000/1000000)</f>
        <v>1.4912362799999999</v>
      </c>
      <c r="Y172" s="56"/>
      <c r="Z172" s="17"/>
      <c r="AA172" s="55"/>
      <c r="AB172" s="48">
        <f>(B172*141.293+C172*267.993+D172*115.016+E172*189.698+F172*40+G172*85+H172*0+I172*100+J172*300)/(141.293+267.993+115.016+189.698+0+40+85+100+300)</f>
        <v>9.5022436354317996</v>
      </c>
      <c r="AC172" s="45">
        <f>(M172*'RAP TEMPLATE-GAS AVAILABILITY'!O171+N172*'RAP TEMPLATE-GAS AVAILABILITY'!P171+O172*'RAP TEMPLATE-GAS AVAILABILITY'!Q171+P172*'RAP TEMPLATE-GAS AVAILABILITY'!R171)/('RAP TEMPLATE-GAS AVAILABILITY'!O171+'RAP TEMPLATE-GAS AVAILABILITY'!P171+'RAP TEMPLATE-GAS AVAILABILITY'!Q171+'RAP TEMPLATE-GAS AVAILABILITY'!R171)</f>
        <v>9.4385294964028787</v>
      </c>
    </row>
    <row r="173" spans="1:29" ht="15.75" x14ac:dyDescent="0.25">
      <c r="A173" s="16">
        <v>46143</v>
      </c>
      <c r="B173" s="17">
        <f>CHOOSE(CONTROL!$C$42, 9.5309, 9.5309) * CHOOSE(CONTROL!$C$21, $C$9, 100%, $E$9)</f>
        <v>9.5309000000000008</v>
      </c>
      <c r="C173" s="17">
        <f>CHOOSE(CONTROL!$C$42, 9.5389, 9.5389) * CHOOSE(CONTROL!$C$21, $C$9, 100%, $E$9)</f>
        <v>9.5388999999999999</v>
      </c>
      <c r="D173" s="17">
        <f>CHOOSE(CONTROL!$C$42, 9.7834, 9.7834) * CHOOSE(CONTROL!$C$21, $C$9, 100%, $E$9)</f>
        <v>9.7834000000000003</v>
      </c>
      <c r="E173" s="17">
        <f>CHOOSE(CONTROL!$C$42, 9.8146, 9.8146) * CHOOSE(CONTROL!$C$21, $C$9, 100%, $E$9)</f>
        <v>9.8146000000000004</v>
      </c>
      <c r="F173" s="17">
        <f>CHOOSE(CONTROL!$C$42, 9.5415, 9.5415)*CHOOSE(CONTROL!$C$21, $C$9, 100%, $E$9)</f>
        <v>9.5414999999999992</v>
      </c>
      <c r="G173" s="17">
        <f>CHOOSE(CONTROL!$C$42, 9.5577, 9.5577)*CHOOSE(CONTROL!$C$21, $C$9, 100%, $E$9)</f>
        <v>9.5577000000000005</v>
      </c>
      <c r="H173" s="17">
        <f>CHOOSE(CONTROL!$C$42, 9.8029, 9.8029) * CHOOSE(CONTROL!$C$21, $C$9, 100%, $E$9)</f>
        <v>9.8028999999999993</v>
      </c>
      <c r="I173" s="17">
        <f>CHOOSE(CONTROL!$C$42, 9.5818, 9.5818)* CHOOSE(CONTROL!$C$21, $C$9, 100%, $E$9)</f>
        <v>9.5817999999999994</v>
      </c>
      <c r="J173" s="17">
        <f>CHOOSE(CONTROL!$C$42, 9.5341, 9.5341)* CHOOSE(CONTROL!$C$21, $C$9, 100%, $E$9)</f>
        <v>9.5341000000000005</v>
      </c>
      <c r="K173" s="52">
        <f>CHOOSE(CONTROL!$C$42, 9.5757, 9.5757) * CHOOSE(CONTROL!$C$21, $C$9, 100%, $E$9)</f>
        <v>9.5756999999999994</v>
      </c>
      <c r="L173" s="17">
        <f>CHOOSE(CONTROL!$C$42, 10.3899, 10.3899) * CHOOSE(CONTROL!$C$21, $C$9, 100%, $E$9)</f>
        <v>10.389900000000001</v>
      </c>
      <c r="M173" s="17">
        <f>CHOOSE(CONTROL!$C$42, 9.4553, 9.4553) * CHOOSE(CONTROL!$C$21, $C$9, 100%, $E$9)</f>
        <v>9.4552999999999994</v>
      </c>
      <c r="N173" s="17">
        <f>CHOOSE(CONTROL!$C$42, 9.4714, 9.4714) * CHOOSE(CONTROL!$C$21, $C$9, 100%, $E$9)</f>
        <v>9.4713999999999992</v>
      </c>
      <c r="O173" s="17">
        <f>CHOOSE(CONTROL!$C$42, 9.7217, 9.7217) * CHOOSE(CONTROL!$C$21, $C$9, 100%, $E$9)</f>
        <v>9.7217000000000002</v>
      </c>
      <c r="P173" s="17">
        <f>CHOOSE(CONTROL!$C$42, 9.5024, 9.5024) * CHOOSE(CONTROL!$C$21, $C$9, 100%, $E$9)</f>
        <v>9.5023999999999997</v>
      </c>
      <c r="Q173" s="17">
        <f>CHOOSE(CONTROL!$C$42, 10.3164, 10.3164) * CHOOSE(CONTROL!$C$21, $C$9, 100%, $E$9)</f>
        <v>10.3164</v>
      </c>
      <c r="R173" s="17">
        <f>CHOOSE(CONTROL!$C$42, 10.9292, 10.9292) * CHOOSE(CONTROL!$C$21, $C$9, 100%, $E$9)</f>
        <v>10.9292</v>
      </c>
      <c r="S173" s="17">
        <f>CHOOSE(CONTROL!$C$42, 9.2306, 9.2306) * CHOOSE(CONTROL!$C$21, $C$9, 100%, $E$9)</f>
        <v>9.2306000000000008</v>
      </c>
      <c r="T17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73" s="56">
        <f>(1000*CHOOSE(CONTROL!$C$42, 695, 695)*CHOOSE(CONTROL!$C$42, 0.5599, 0.5599)*CHOOSE(CONTROL!$C$42, 31, 31))/1000000</f>
        <v>12.063045499999998</v>
      </c>
      <c r="V173" s="56">
        <f>(1000*CHOOSE(CONTROL!$C$42, 500, 500)*CHOOSE(CONTROL!$C$42, 0.275, 0.275)*CHOOSE(CONTROL!$C$42, 31, 31))/1000000</f>
        <v>4.2625000000000002</v>
      </c>
      <c r="W173" s="56">
        <f>(1000*CHOOSE(CONTROL!$C$42, 0.0916, 0.0916)*CHOOSE(CONTROL!$C$42, 121.5, 121.5)*CHOOSE(CONTROL!$C$42, 31, 31))/1000000</f>
        <v>0.34501139999999997</v>
      </c>
      <c r="X173" s="56">
        <f>(31*0.1790888*145000/1000000)+(31*0.2374*100000/1000000)</f>
        <v>1.5409441560000001</v>
      </c>
      <c r="Y173" s="56"/>
      <c r="Z173" s="17"/>
      <c r="AA173" s="55"/>
      <c r="AB173" s="48">
        <f>(B173*194.205+C173*267.466+D173*133.845+E173*153.484+F173*40+G173*85+H173*0+I173*100+J173*300)/(194.205+267.466+133.845+153.484+0+40+85+100+300)</f>
        <v>9.6001551030612244</v>
      </c>
      <c r="AC173" s="45">
        <f>(M173*'RAP TEMPLATE-GAS AVAILABILITY'!O172+N173*'RAP TEMPLATE-GAS AVAILABILITY'!P172+O173*'RAP TEMPLATE-GAS AVAILABILITY'!Q172+P173*'RAP TEMPLATE-GAS AVAILABILITY'!R172)/('RAP TEMPLATE-GAS AVAILABILITY'!O172+'RAP TEMPLATE-GAS AVAILABILITY'!P172+'RAP TEMPLATE-GAS AVAILABILITY'!Q172+'RAP TEMPLATE-GAS AVAILABILITY'!R172)</f>
        <v>9.5405287769784159</v>
      </c>
    </row>
    <row r="174" spans="1:29" ht="15.75" x14ac:dyDescent="0.25">
      <c r="A174" s="16">
        <v>46174</v>
      </c>
      <c r="B174" s="17">
        <f>CHOOSE(CONTROL!$C$42, 9.8211, 9.8211) * CHOOSE(CONTROL!$C$21, $C$9, 100%, $E$9)</f>
        <v>9.8210999999999995</v>
      </c>
      <c r="C174" s="17">
        <f>CHOOSE(CONTROL!$C$42, 9.8291, 9.8291) * CHOOSE(CONTROL!$C$21, $C$9, 100%, $E$9)</f>
        <v>9.8291000000000004</v>
      </c>
      <c r="D174" s="17">
        <f>CHOOSE(CONTROL!$C$42, 10.0736, 10.0736) * CHOOSE(CONTROL!$C$21, $C$9, 100%, $E$9)</f>
        <v>10.073600000000001</v>
      </c>
      <c r="E174" s="17">
        <f>CHOOSE(CONTROL!$C$42, 10.1047, 10.1047) * CHOOSE(CONTROL!$C$21, $C$9, 100%, $E$9)</f>
        <v>10.104699999999999</v>
      </c>
      <c r="F174" s="17">
        <f>CHOOSE(CONTROL!$C$42, 9.832, 9.832)*CHOOSE(CONTROL!$C$21, $C$9, 100%, $E$9)</f>
        <v>9.8320000000000007</v>
      </c>
      <c r="G174" s="17">
        <f>CHOOSE(CONTROL!$C$42, 9.8483, 9.8483)*CHOOSE(CONTROL!$C$21, $C$9, 100%, $E$9)</f>
        <v>9.8483000000000001</v>
      </c>
      <c r="H174" s="17">
        <f>CHOOSE(CONTROL!$C$42, 10.0931, 10.0931) * CHOOSE(CONTROL!$C$21, $C$9, 100%, $E$9)</f>
        <v>10.0931</v>
      </c>
      <c r="I174" s="17">
        <f>CHOOSE(CONTROL!$C$42, 9.8728, 9.8728)* CHOOSE(CONTROL!$C$21, $C$9, 100%, $E$9)</f>
        <v>9.8727999999999998</v>
      </c>
      <c r="J174" s="17">
        <f>CHOOSE(CONTROL!$C$42, 9.8246, 9.8246)* CHOOSE(CONTROL!$C$21, $C$9, 100%, $E$9)</f>
        <v>9.8246000000000002</v>
      </c>
      <c r="K174" s="52">
        <f>CHOOSE(CONTROL!$C$42, 9.8668, 9.8668) * CHOOSE(CONTROL!$C$21, $C$9, 100%, $E$9)</f>
        <v>9.8667999999999996</v>
      </c>
      <c r="L174" s="17">
        <f>CHOOSE(CONTROL!$C$42, 10.6801, 10.6801) * CHOOSE(CONTROL!$C$21, $C$9, 100%, $E$9)</f>
        <v>10.680099999999999</v>
      </c>
      <c r="M174" s="17">
        <f>CHOOSE(CONTROL!$C$42, 9.7432, 9.7432) * CHOOSE(CONTROL!$C$21, $C$9, 100%, $E$9)</f>
        <v>9.7431999999999999</v>
      </c>
      <c r="N174" s="17">
        <f>CHOOSE(CONTROL!$C$42, 9.7594, 9.7594) * CHOOSE(CONTROL!$C$21, $C$9, 100%, $E$9)</f>
        <v>9.7593999999999994</v>
      </c>
      <c r="O174" s="17">
        <f>CHOOSE(CONTROL!$C$42, 10.0093, 10.0093) * CHOOSE(CONTROL!$C$21, $C$9, 100%, $E$9)</f>
        <v>10.0093</v>
      </c>
      <c r="P174" s="17">
        <f>CHOOSE(CONTROL!$C$42, 9.7908, 9.7908) * CHOOSE(CONTROL!$C$21, $C$9, 100%, $E$9)</f>
        <v>9.7908000000000008</v>
      </c>
      <c r="Q174" s="17">
        <f>CHOOSE(CONTROL!$C$42, 10.604, 10.604) * CHOOSE(CONTROL!$C$21, $C$9, 100%, $E$9)</f>
        <v>10.603999999999999</v>
      </c>
      <c r="R174" s="17">
        <f>CHOOSE(CONTROL!$C$42, 11.2175, 11.2175) * CHOOSE(CONTROL!$C$21, $C$9, 100%, $E$9)</f>
        <v>11.217499999999999</v>
      </c>
      <c r="S174" s="17">
        <f>CHOOSE(CONTROL!$C$42, 9.5119, 9.5119) * CHOOSE(CONTROL!$C$21, $C$9, 100%, $E$9)</f>
        <v>9.5119000000000007</v>
      </c>
      <c r="T17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74" s="56">
        <f>(1000*CHOOSE(CONTROL!$C$42, 695, 695)*CHOOSE(CONTROL!$C$42, 0.5599, 0.5599)*CHOOSE(CONTROL!$C$42, 30, 30))/1000000</f>
        <v>11.673914999999997</v>
      </c>
      <c r="V174" s="56">
        <f>(1000*CHOOSE(CONTROL!$C$42, 500, 500)*CHOOSE(CONTROL!$C$42, 0.275, 0.275)*CHOOSE(CONTROL!$C$42, 30, 30))/1000000</f>
        <v>4.125</v>
      </c>
      <c r="W174" s="56">
        <f>(1000*CHOOSE(CONTROL!$C$42, 0.0916, 0.0916)*CHOOSE(CONTROL!$C$42, 121.5, 121.5)*CHOOSE(CONTROL!$C$42, 30, 30))/1000000</f>
        <v>0.33388200000000001</v>
      </c>
      <c r="X174" s="56">
        <f>(30*0.1790888*145000/1000000)+(30*0.2374*100000/1000000)</f>
        <v>1.4912362799999999</v>
      </c>
      <c r="Y174" s="56"/>
      <c r="Z174" s="17"/>
      <c r="AA174" s="55"/>
      <c r="AB174" s="48">
        <f>(B174*194.205+C174*267.466+D174*133.845+E174*153.484+F174*40+G174*85+H174*0+I174*100+J174*300)/(194.205+267.466+133.845+153.484+0+40+85+100+300)</f>
        <v>9.8905126003924657</v>
      </c>
      <c r="AC174" s="45">
        <f>(M174*'RAP TEMPLATE-GAS AVAILABILITY'!O173+N174*'RAP TEMPLATE-GAS AVAILABILITY'!P173+O174*'RAP TEMPLATE-GAS AVAILABILITY'!Q173+P174*'RAP TEMPLATE-GAS AVAILABILITY'!R173)/('RAP TEMPLATE-GAS AVAILABILITY'!O173+'RAP TEMPLATE-GAS AVAILABILITY'!P173+'RAP TEMPLATE-GAS AVAILABILITY'!Q173+'RAP TEMPLATE-GAS AVAILABILITY'!R173)</f>
        <v>9.8284395683453223</v>
      </c>
    </row>
    <row r="175" spans="1:29" ht="15.75" x14ac:dyDescent="0.25">
      <c r="A175" s="16">
        <v>46204</v>
      </c>
      <c r="B175" s="17">
        <f>CHOOSE(CONTROL!$C$42, 9.6527, 9.6527) * CHOOSE(CONTROL!$C$21, $C$9, 100%, $E$9)</f>
        <v>9.6526999999999994</v>
      </c>
      <c r="C175" s="17">
        <f>CHOOSE(CONTROL!$C$42, 9.6607, 9.6607) * CHOOSE(CONTROL!$C$21, $C$9, 100%, $E$9)</f>
        <v>9.6607000000000003</v>
      </c>
      <c r="D175" s="17">
        <f>CHOOSE(CONTROL!$C$42, 9.9052, 9.9052) * CHOOSE(CONTROL!$C$21, $C$9, 100%, $E$9)</f>
        <v>9.9052000000000007</v>
      </c>
      <c r="E175" s="17">
        <f>CHOOSE(CONTROL!$C$42, 9.9364, 9.9364) * CHOOSE(CONTROL!$C$21, $C$9, 100%, $E$9)</f>
        <v>9.9364000000000008</v>
      </c>
      <c r="F175" s="17">
        <f>CHOOSE(CONTROL!$C$42, 9.6641, 9.6641)*CHOOSE(CONTROL!$C$21, $C$9, 100%, $E$9)</f>
        <v>9.6640999999999995</v>
      </c>
      <c r="G175" s="17">
        <f>CHOOSE(CONTROL!$C$42, 9.6805, 9.6805)*CHOOSE(CONTROL!$C$21, $C$9, 100%, $E$9)</f>
        <v>9.6805000000000003</v>
      </c>
      <c r="H175" s="17">
        <f>CHOOSE(CONTROL!$C$42, 9.9247, 9.9247) * CHOOSE(CONTROL!$C$21, $C$9, 100%, $E$9)</f>
        <v>9.9246999999999996</v>
      </c>
      <c r="I175" s="17">
        <f>CHOOSE(CONTROL!$C$42, 9.704, 9.704)* CHOOSE(CONTROL!$C$21, $C$9, 100%, $E$9)</f>
        <v>9.7040000000000006</v>
      </c>
      <c r="J175" s="17">
        <f>CHOOSE(CONTROL!$C$42, 9.6567, 9.6567)* CHOOSE(CONTROL!$C$21, $C$9, 100%, $E$9)</f>
        <v>9.6567000000000007</v>
      </c>
      <c r="K175" s="52">
        <f>CHOOSE(CONTROL!$C$42, 9.6979, 9.6979) * CHOOSE(CONTROL!$C$21, $C$9, 100%, $E$9)</f>
        <v>9.6979000000000006</v>
      </c>
      <c r="L175" s="17">
        <f>CHOOSE(CONTROL!$C$42, 10.5117, 10.5117) * CHOOSE(CONTROL!$C$21, $C$9, 100%, $E$9)</f>
        <v>10.511699999999999</v>
      </c>
      <c r="M175" s="17">
        <f>CHOOSE(CONTROL!$C$42, 9.5768, 9.5768) * CHOOSE(CONTROL!$C$21, $C$9, 100%, $E$9)</f>
        <v>9.5768000000000004</v>
      </c>
      <c r="N175" s="17">
        <f>CHOOSE(CONTROL!$C$42, 9.5931, 9.5931) * CHOOSE(CONTROL!$C$21, $C$9, 100%, $E$9)</f>
        <v>9.5930999999999997</v>
      </c>
      <c r="O175" s="17">
        <f>CHOOSE(CONTROL!$C$42, 9.8424, 9.8424) * CHOOSE(CONTROL!$C$21, $C$9, 100%, $E$9)</f>
        <v>9.8423999999999996</v>
      </c>
      <c r="P175" s="17">
        <f>CHOOSE(CONTROL!$C$42, 9.6235, 9.6235) * CHOOSE(CONTROL!$C$21, $C$9, 100%, $E$9)</f>
        <v>9.6234999999999999</v>
      </c>
      <c r="Q175" s="17">
        <f>CHOOSE(CONTROL!$C$42, 10.4371, 10.4371) * CHOOSE(CONTROL!$C$21, $C$9, 100%, $E$9)</f>
        <v>10.437099999999999</v>
      </c>
      <c r="R175" s="17">
        <f>CHOOSE(CONTROL!$C$42, 11.0502, 11.0502) * CHOOSE(CONTROL!$C$21, $C$9, 100%, $E$9)</f>
        <v>11.0502</v>
      </c>
      <c r="S175" s="17">
        <f>CHOOSE(CONTROL!$C$42, 9.3487, 9.3487) * CHOOSE(CONTROL!$C$21, $C$9, 100%, $E$9)</f>
        <v>9.3486999999999991</v>
      </c>
      <c r="T17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75" s="56">
        <f>(1000*CHOOSE(CONTROL!$C$42, 695, 695)*CHOOSE(CONTROL!$C$42, 0.5599, 0.5599)*CHOOSE(CONTROL!$C$42, 31, 31))/1000000</f>
        <v>12.063045499999998</v>
      </c>
      <c r="V175" s="56">
        <f>(1000*CHOOSE(CONTROL!$C$42, 500, 500)*CHOOSE(CONTROL!$C$42, 0.275, 0.275)*CHOOSE(CONTROL!$C$42, 31, 31))/1000000</f>
        <v>4.2625000000000002</v>
      </c>
      <c r="W175" s="56">
        <f>(1000*CHOOSE(CONTROL!$C$42, 0.0916, 0.0916)*CHOOSE(CONTROL!$C$42, 121.5, 121.5)*CHOOSE(CONTROL!$C$42, 31, 31))/1000000</f>
        <v>0.34501139999999997</v>
      </c>
      <c r="X175" s="56">
        <f>(31*0.1790888*145000/1000000)+(31*0.2374*100000/1000000)</f>
        <v>1.5409441560000001</v>
      </c>
      <c r="Y175" s="56"/>
      <c r="Z175" s="17"/>
      <c r="AA175" s="55"/>
      <c r="AB175" s="48">
        <f>(B175*194.205+C175*267.466+D175*133.845+E175*153.484+F175*40+G175*85+H175*0+I175*100+J175*300)/(194.205+267.466+133.845+153.484+0+40+85+100+300)</f>
        <v>9.7222667200156998</v>
      </c>
      <c r="AC175" s="45">
        <f>(M175*'RAP TEMPLATE-GAS AVAILABILITY'!O174+N175*'RAP TEMPLATE-GAS AVAILABILITY'!P174+O175*'RAP TEMPLATE-GAS AVAILABILITY'!Q174+P175*'RAP TEMPLATE-GAS AVAILABILITY'!R174)/('RAP TEMPLATE-GAS AVAILABILITY'!O174+'RAP TEMPLATE-GAS AVAILABILITY'!P174+'RAP TEMPLATE-GAS AVAILABILITY'!Q174+'RAP TEMPLATE-GAS AVAILABILITY'!R174)</f>
        <v>9.6617928057553968</v>
      </c>
    </row>
    <row r="176" spans="1:29" ht="15.75" x14ac:dyDescent="0.25">
      <c r="A176" s="16">
        <v>46235</v>
      </c>
      <c r="B176" s="17">
        <f>CHOOSE(CONTROL!$C$42, 9.1955, 9.1955) * CHOOSE(CONTROL!$C$21, $C$9, 100%, $E$9)</f>
        <v>9.1954999999999991</v>
      </c>
      <c r="C176" s="17">
        <f>CHOOSE(CONTROL!$C$42, 9.2034, 9.2034) * CHOOSE(CONTROL!$C$21, $C$9, 100%, $E$9)</f>
        <v>9.2034000000000002</v>
      </c>
      <c r="D176" s="17">
        <f>CHOOSE(CONTROL!$C$42, 9.4479, 9.4479) * CHOOSE(CONTROL!$C$21, $C$9, 100%, $E$9)</f>
        <v>9.4479000000000006</v>
      </c>
      <c r="E176" s="17">
        <f>CHOOSE(CONTROL!$C$42, 9.4791, 9.4791) * CHOOSE(CONTROL!$C$21, $C$9, 100%, $E$9)</f>
        <v>9.4791000000000007</v>
      </c>
      <c r="F176" s="17">
        <f>CHOOSE(CONTROL!$C$42, 9.207, 9.207)*CHOOSE(CONTROL!$C$21, $C$9, 100%, $E$9)</f>
        <v>9.2070000000000007</v>
      </c>
      <c r="G176" s="17">
        <f>CHOOSE(CONTROL!$C$42, 9.2235, 9.2235)*CHOOSE(CONTROL!$C$21, $C$9, 100%, $E$9)</f>
        <v>9.2234999999999996</v>
      </c>
      <c r="H176" s="17">
        <f>CHOOSE(CONTROL!$C$42, 9.4674, 9.4674) * CHOOSE(CONTROL!$C$21, $C$9, 100%, $E$9)</f>
        <v>9.4673999999999996</v>
      </c>
      <c r="I176" s="17">
        <f>CHOOSE(CONTROL!$C$42, 9.2453, 9.2453)* CHOOSE(CONTROL!$C$21, $C$9, 100%, $E$9)</f>
        <v>9.2453000000000003</v>
      </c>
      <c r="J176" s="17">
        <f>CHOOSE(CONTROL!$C$42, 9.1996, 9.1996)* CHOOSE(CONTROL!$C$21, $C$9, 100%, $E$9)</f>
        <v>9.1996000000000002</v>
      </c>
      <c r="K176" s="52">
        <f>CHOOSE(CONTROL!$C$42, 9.2392, 9.2392) * CHOOSE(CONTROL!$C$21, $C$9, 100%, $E$9)</f>
        <v>9.2392000000000003</v>
      </c>
      <c r="L176" s="17">
        <f>CHOOSE(CONTROL!$C$42, 10.0544, 10.0544) * CHOOSE(CONTROL!$C$21, $C$9, 100%, $E$9)</f>
        <v>10.054399999999999</v>
      </c>
      <c r="M176" s="17">
        <f>CHOOSE(CONTROL!$C$42, 9.1239, 9.1239) * CHOOSE(CONTROL!$C$21, $C$9, 100%, $E$9)</f>
        <v>9.1239000000000008</v>
      </c>
      <c r="N176" s="17">
        <f>CHOOSE(CONTROL!$C$42, 9.1402, 9.1402) * CHOOSE(CONTROL!$C$21, $C$9, 100%, $E$9)</f>
        <v>9.1402000000000001</v>
      </c>
      <c r="O176" s="17">
        <f>CHOOSE(CONTROL!$C$42, 9.3893, 9.3893) * CHOOSE(CONTROL!$C$21, $C$9, 100%, $E$9)</f>
        <v>9.3893000000000004</v>
      </c>
      <c r="P176" s="17">
        <f>CHOOSE(CONTROL!$C$42, 9.1689, 9.1689) * CHOOSE(CONTROL!$C$21, $C$9, 100%, $E$9)</f>
        <v>9.1689000000000007</v>
      </c>
      <c r="Q176" s="17">
        <f>CHOOSE(CONTROL!$C$42, 9.984, 9.984) * CHOOSE(CONTROL!$C$21, $C$9, 100%, $E$9)</f>
        <v>9.984</v>
      </c>
      <c r="R176" s="17">
        <f>CHOOSE(CONTROL!$C$42, 10.5959, 10.5959) * CHOOSE(CONTROL!$C$21, $C$9, 100%, $E$9)</f>
        <v>10.5959</v>
      </c>
      <c r="S176" s="17">
        <f>CHOOSE(CONTROL!$C$42, 8.9053, 8.9053) * CHOOSE(CONTROL!$C$21, $C$9, 100%, $E$9)</f>
        <v>8.9053000000000004</v>
      </c>
      <c r="T17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76" s="56">
        <f>(1000*CHOOSE(CONTROL!$C$42, 695, 695)*CHOOSE(CONTROL!$C$42, 0.5599, 0.5599)*CHOOSE(CONTROL!$C$42, 31, 31))/1000000</f>
        <v>12.063045499999998</v>
      </c>
      <c r="V176" s="56">
        <f>(1000*CHOOSE(CONTROL!$C$42, 500, 500)*CHOOSE(CONTROL!$C$42, 0.275, 0.275)*CHOOSE(CONTROL!$C$42, 31, 31))/1000000</f>
        <v>4.2625000000000002</v>
      </c>
      <c r="W176" s="56">
        <f>(1000*CHOOSE(CONTROL!$C$42, 0.0916, 0.0916)*CHOOSE(CONTROL!$C$42, 121.5, 121.5)*CHOOSE(CONTROL!$C$42, 31, 31))/1000000</f>
        <v>0.34501139999999997</v>
      </c>
      <c r="X176" s="56">
        <f>(31*0.1790888*145000/1000000)+(31*0.2374*100000/1000000)</f>
        <v>1.5409441560000001</v>
      </c>
      <c r="Y176" s="56"/>
      <c r="Z176" s="17"/>
      <c r="AA176" s="55"/>
      <c r="AB176" s="48">
        <f>(B176*194.205+C176*267.466+D176*133.845+E176*153.484+F176*40+G176*85+H176*0+I176*100+J176*300)/(194.205+267.466+133.845+153.484+0+40+85+100+300)</f>
        <v>9.2649454645211939</v>
      </c>
      <c r="AC176" s="45">
        <f>(M176*'RAP TEMPLATE-GAS AVAILABILITY'!O175+N176*'RAP TEMPLATE-GAS AVAILABILITY'!P175+O176*'RAP TEMPLATE-GAS AVAILABILITY'!Q175+P176*'RAP TEMPLATE-GAS AVAILABILITY'!R175)/('RAP TEMPLATE-GAS AVAILABILITY'!O175+'RAP TEMPLATE-GAS AVAILABILITY'!P175+'RAP TEMPLATE-GAS AVAILABILITY'!Q175+'RAP TEMPLATE-GAS AVAILABILITY'!R175)</f>
        <v>9.2085920863309365</v>
      </c>
    </row>
    <row r="177" spans="1:29" ht="15.75" x14ac:dyDescent="0.25">
      <c r="A177" s="16">
        <v>46266</v>
      </c>
      <c r="B177" s="17">
        <f>CHOOSE(CONTROL!$C$42, 8.63, 8.63) * CHOOSE(CONTROL!$C$21, $C$9, 100%, $E$9)</f>
        <v>8.6300000000000008</v>
      </c>
      <c r="C177" s="17">
        <f>CHOOSE(CONTROL!$C$42, 8.6379, 8.6379) * CHOOSE(CONTROL!$C$21, $C$9, 100%, $E$9)</f>
        <v>8.6379000000000001</v>
      </c>
      <c r="D177" s="17">
        <f>CHOOSE(CONTROL!$C$42, 8.8824, 8.8824) * CHOOSE(CONTROL!$C$21, $C$9, 100%, $E$9)</f>
        <v>8.8824000000000005</v>
      </c>
      <c r="E177" s="17">
        <f>CHOOSE(CONTROL!$C$42, 8.9136, 8.9136) * CHOOSE(CONTROL!$C$21, $C$9, 100%, $E$9)</f>
        <v>8.9136000000000006</v>
      </c>
      <c r="F177" s="17">
        <f>CHOOSE(CONTROL!$C$42, 8.6416, 8.6416)*CHOOSE(CONTROL!$C$21, $C$9, 100%, $E$9)</f>
        <v>8.6416000000000004</v>
      </c>
      <c r="G177" s="17">
        <f>CHOOSE(CONTROL!$C$42, 8.6581, 8.6581)*CHOOSE(CONTROL!$C$21, $C$9, 100%, $E$9)</f>
        <v>8.6580999999999992</v>
      </c>
      <c r="H177" s="17">
        <f>CHOOSE(CONTROL!$C$42, 8.9019, 8.9019) * CHOOSE(CONTROL!$C$21, $C$9, 100%, $E$9)</f>
        <v>8.9018999999999995</v>
      </c>
      <c r="I177" s="17">
        <f>CHOOSE(CONTROL!$C$42, 8.678, 8.678)* CHOOSE(CONTROL!$C$21, $C$9, 100%, $E$9)</f>
        <v>8.6780000000000008</v>
      </c>
      <c r="J177" s="17">
        <f>CHOOSE(CONTROL!$C$42, 8.6342, 8.6342)* CHOOSE(CONTROL!$C$21, $C$9, 100%, $E$9)</f>
        <v>8.6341999999999999</v>
      </c>
      <c r="K177" s="52">
        <f>CHOOSE(CONTROL!$C$42, 8.672, 8.672) * CHOOSE(CONTROL!$C$21, $C$9, 100%, $E$9)</f>
        <v>8.6720000000000006</v>
      </c>
      <c r="L177" s="17">
        <f>CHOOSE(CONTROL!$C$42, 9.4889, 9.4889) * CHOOSE(CONTROL!$C$21, $C$9, 100%, $E$9)</f>
        <v>9.4888999999999992</v>
      </c>
      <c r="M177" s="17">
        <f>CHOOSE(CONTROL!$C$42, 8.5635, 8.5635) * CHOOSE(CONTROL!$C$21, $C$9, 100%, $E$9)</f>
        <v>8.5634999999999994</v>
      </c>
      <c r="N177" s="17">
        <f>CHOOSE(CONTROL!$C$42, 8.5799, 8.5799) * CHOOSE(CONTROL!$C$21, $C$9, 100%, $E$9)</f>
        <v>8.5799000000000003</v>
      </c>
      <c r="O177" s="17">
        <f>CHOOSE(CONTROL!$C$42, 8.8289, 8.8289) * CHOOSE(CONTROL!$C$21, $C$9, 100%, $E$9)</f>
        <v>8.8289000000000009</v>
      </c>
      <c r="P177" s="17">
        <f>CHOOSE(CONTROL!$C$42, 8.6068, 8.6068) * CHOOSE(CONTROL!$C$21, $C$9, 100%, $E$9)</f>
        <v>8.6067999999999998</v>
      </c>
      <c r="Q177" s="17">
        <f>CHOOSE(CONTROL!$C$42, 9.4236, 9.4236) * CHOOSE(CONTROL!$C$21, $C$9, 100%, $E$9)</f>
        <v>9.4236000000000004</v>
      </c>
      <c r="R177" s="17">
        <f>CHOOSE(CONTROL!$C$42, 10.0341, 10.0341) * CHOOSE(CONTROL!$C$21, $C$9, 100%, $E$9)</f>
        <v>10.0341</v>
      </c>
      <c r="S177" s="17">
        <f>CHOOSE(CONTROL!$C$42, 8.3569, 8.3569) * CHOOSE(CONTROL!$C$21, $C$9, 100%, $E$9)</f>
        <v>8.3568999999999996</v>
      </c>
      <c r="T17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77" s="56">
        <f>(1000*CHOOSE(CONTROL!$C$42, 695, 695)*CHOOSE(CONTROL!$C$42, 0.5599, 0.5599)*CHOOSE(CONTROL!$C$42, 30, 30))/1000000</f>
        <v>11.673914999999997</v>
      </c>
      <c r="V177" s="56">
        <f>(1000*CHOOSE(CONTROL!$C$42, 500, 500)*CHOOSE(CONTROL!$C$42, 0.275, 0.275)*CHOOSE(CONTROL!$C$42, 30, 30))/1000000</f>
        <v>4.125</v>
      </c>
      <c r="W177" s="56">
        <f>(1000*CHOOSE(CONTROL!$C$42, 0.0916, 0.0916)*CHOOSE(CONTROL!$C$42, 121.5, 121.5)*CHOOSE(CONTROL!$C$42, 30, 30))/1000000</f>
        <v>0.33388200000000001</v>
      </c>
      <c r="X177" s="56">
        <f>(30*0.1790888*145000/1000000)+(30*0.2374*100000/1000000)</f>
        <v>1.4912362799999999</v>
      </c>
      <c r="Y177" s="56"/>
      <c r="Z177" s="17"/>
      <c r="AA177" s="55"/>
      <c r="AB177" s="48">
        <f>(B177*194.205+C177*267.466+D177*133.845+E177*153.484+F177*40+G177*85+H177*0+I177*100+J177*300)/(194.205+267.466+133.845+153.484+0+40+85+100+300)</f>
        <v>8.6993375367346939</v>
      </c>
      <c r="AC177" s="45">
        <f>(M177*'RAP TEMPLATE-GAS AVAILABILITY'!O176+N177*'RAP TEMPLATE-GAS AVAILABILITY'!P176+O177*'RAP TEMPLATE-GAS AVAILABILITY'!Q176+P177*'RAP TEMPLATE-GAS AVAILABILITY'!R176)/('RAP TEMPLATE-GAS AVAILABILITY'!O176+'RAP TEMPLATE-GAS AVAILABILITY'!P176+'RAP TEMPLATE-GAS AVAILABILITY'!Q176+'RAP TEMPLATE-GAS AVAILABILITY'!R176)</f>
        <v>8.6479705035971222</v>
      </c>
    </row>
    <row r="178" spans="1:29" ht="15.75" x14ac:dyDescent="0.25">
      <c r="A178" s="16">
        <v>46296</v>
      </c>
      <c r="B178" s="17">
        <f>CHOOSE(CONTROL!$C$42, 8.4707, 8.4707) * CHOOSE(CONTROL!$C$21, $C$9, 100%, $E$9)</f>
        <v>8.4707000000000008</v>
      </c>
      <c r="C178" s="17">
        <f>CHOOSE(CONTROL!$C$42, 8.476, 8.476) * CHOOSE(CONTROL!$C$21, $C$9, 100%, $E$9)</f>
        <v>8.4760000000000009</v>
      </c>
      <c r="D178" s="17">
        <f>CHOOSE(CONTROL!$C$42, 8.7253, 8.7253) * CHOOSE(CONTROL!$C$21, $C$9, 100%, $E$9)</f>
        <v>8.7253000000000007</v>
      </c>
      <c r="E178" s="17">
        <f>CHOOSE(CONTROL!$C$42, 8.7542, 8.7542) * CHOOSE(CONTROL!$C$21, $C$9, 100%, $E$9)</f>
        <v>8.7542000000000009</v>
      </c>
      <c r="F178" s="17">
        <f>CHOOSE(CONTROL!$C$42, 8.4845, 8.4845)*CHOOSE(CONTROL!$C$21, $C$9, 100%, $E$9)</f>
        <v>8.4845000000000006</v>
      </c>
      <c r="G178" s="17">
        <f>CHOOSE(CONTROL!$C$42, 8.5009, 8.5009)*CHOOSE(CONTROL!$C$21, $C$9, 100%, $E$9)</f>
        <v>8.5008999999999997</v>
      </c>
      <c r="H178" s="17">
        <f>CHOOSE(CONTROL!$C$42, 8.7443, 8.7443) * CHOOSE(CONTROL!$C$21, $C$9, 100%, $E$9)</f>
        <v>8.7443000000000008</v>
      </c>
      <c r="I178" s="17">
        <f>CHOOSE(CONTROL!$C$42, 8.5199, 8.5199)* CHOOSE(CONTROL!$C$21, $C$9, 100%, $E$9)</f>
        <v>8.5198999999999998</v>
      </c>
      <c r="J178" s="17">
        <f>CHOOSE(CONTROL!$C$42, 8.4771, 8.4771)* CHOOSE(CONTROL!$C$21, $C$9, 100%, $E$9)</f>
        <v>8.4771000000000001</v>
      </c>
      <c r="K178" s="52">
        <f>CHOOSE(CONTROL!$C$42, 8.5139, 8.5139) * CHOOSE(CONTROL!$C$21, $C$9, 100%, $E$9)</f>
        <v>8.5138999999999996</v>
      </c>
      <c r="L178" s="17">
        <f>CHOOSE(CONTROL!$C$42, 9.3313, 9.3313) * CHOOSE(CONTROL!$C$21, $C$9, 100%, $E$9)</f>
        <v>9.3313000000000006</v>
      </c>
      <c r="M178" s="17">
        <f>CHOOSE(CONTROL!$C$42, 8.4078, 8.4078) * CHOOSE(CONTROL!$C$21, $C$9, 100%, $E$9)</f>
        <v>8.4077999999999999</v>
      </c>
      <c r="N178" s="17">
        <f>CHOOSE(CONTROL!$C$42, 8.4241, 8.4241) * CHOOSE(CONTROL!$C$21, $C$9, 100%, $E$9)</f>
        <v>8.4240999999999993</v>
      </c>
      <c r="O178" s="17">
        <f>CHOOSE(CONTROL!$C$42, 8.6727, 8.6727) * CHOOSE(CONTROL!$C$21, $C$9, 100%, $E$9)</f>
        <v>8.6727000000000007</v>
      </c>
      <c r="P178" s="17">
        <f>CHOOSE(CONTROL!$C$42, 8.4501, 8.4501) * CHOOSE(CONTROL!$C$21, $C$9, 100%, $E$9)</f>
        <v>8.4501000000000008</v>
      </c>
      <c r="Q178" s="17">
        <f>CHOOSE(CONTROL!$C$42, 9.2674, 9.2674) * CHOOSE(CONTROL!$C$21, $C$9, 100%, $E$9)</f>
        <v>9.2674000000000003</v>
      </c>
      <c r="R178" s="17">
        <f>CHOOSE(CONTROL!$C$42, 9.8776, 9.8776) * CHOOSE(CONTROL!$C$21, $C$9, 100%, $E$9)</f>
        <v>9.8775999999999993</v>
      </c>
      <c r="S178" s="17">
        <f>CHOOSE(CONTROL!$C$42, 8.2041, 8.2041) * CHOOSE(CONTROL!$C$21, $C$9, 100%, $E$9)</f>
        <v>8.2041000000000004</v>
      </c>
      <c r="T17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78" s="56">
        <f>(1000*CHOOSE(CONTROL!$C$42, 695, 695)*CHOOSE(CONTROL!$C$42, 0.5599, 0.5599)*CHOOSE(CONTROL!$C$42, 31, 31))/1000000</f>
        <v>12.063045499999998</v>
      </c>
      <c r="V178" s="56">
        <f>(1000*CHOOSE(CONTROL!$C$42, 500, 500)*CHOOSE(CONTROL!$C$42, 0.275, 0.275)*CHOOSE(CONTROL!$C$42, 31, 31))/1000000</f>
        <v>4.2625000000000002</v>
      </c>
      <c r="W178" s="56">
        <f>(1000*CHOOSE(CONTROL!$C$42, 0.0916, 0.0916)*CHOOSE(CONTROL!$C$42, 121.5, 121.5)*CHOOSE(CONTROL!$C$42, 31, 31))/1000000</f>
        <v>0.34501139999999997</v>
      </c>
      <c r="X178" s="56">
        <f>(31*0.1790888*145000/1000000)+(31*0.2374*100000/1000000)</f>
        <v>1.5409441560000001</v>
      </c>
      <c r="Y178" s="56"/>
      <c r="Z178" s="17"/>
      <c r="AA178" s="55"/>
      <c r="AB178" s="48">
        <f>(B178*131.881+C178*277.167+D178*79.08+E178*225.872+F178*40+G178*85+H178*0+I178*100+J178*300)/(131.881+277.167+79.08+225.872+0+40+85+100+300)</f>
        <v>8.5478561461662643</v>
      </c>
      <c r="AC178" s="45">
        <f>(M178*'RAP TEMPLATE-GAS AVAILABILITY'!O177+N178*'RAP TEMPLATE-GAS AVAILABILITY'!P177+O178*'RAP TEMPLATE-GAS AVAILABILITY'!Q177+P178*'RAP TEMPLATE-GAS AVAILABILITY'!R177)/('RAP TEMPLATE-GAS AVAILABILITY'!O177+'RAP TEMPLATE-GAS AVAILABILITY'!P177+'RAP TEMPLATE-GAS AVAILABILITY'!Q177+'RAP TEMPLATE-GAS AVAILABILITY'!R177)</f>
        <v>8.4919633093525189</v>
      </c>
    </row>
    <row r="179" spans="1:29" ht="15.75" x14ac:dyDescent="0.25">
      <c r="A179" s="16">
        <v>46327</v>
      </c>
      <c r="B179" s="17">
        <f>CHOOSE(CONTROL!$C$42, 8.711, 8.711) * CHOOSE(CONTROL!$C$21, $C$9, 100%, $E$9)</f>
        <v>8.7110000000000003</v>
      </c>
      <c r="C179" s="17">
        <f>CHOOSE(CONTROL!$C$42, 8.7161, 8.7161) * CHOOSE(CONTROL!$C$21, $C$9, 100%, $E$9)</f>
        <v>8.7161000000000008</v>
      </c>
      <c r="D179" s="17">
        <f>CHOOSE(CONTROL!$C$42, 8.7975, 8.7975) * CHOOSE(CONTROL!$C$21, $C$9, 100%, $E$9)</f>
        <v>8.7974999999999994</v>
      </c>
      <c r="E179" s="17">
        <f>CHOOSE(CONTROL!$C$42, 8.8312, 8.8312) * CHOOSE(CONTROL!$C$21, $C$9, 100%, $E$9)</f>
        <v>8.8312000000000008</v>
      </c>
      <c r="F179" s="17">
        <f>CHOOSE(CONTROL!$C$42, 8.729, 8.729)*CHOOSE(CONTROL!$C$21, $C$9, 100%, $E$9)</f>
        <v>8.7289999999999992</v>
      </c>
      <c r="G179" s="17">
        <f>CHOOSE(CONTROL!$C$42, 8.7457, 8.7457)*CHOOSE(CONTROL!$C$21, $C$9, 100%, $E$9)</f>
        <v>8.7456999999999994</v>
      </c>
      <c r="H179" s="17">
        <f>CHOOSE(CONTROL!$C$42, 8.8201, 8.8201) * CHOOSE(CONTROL!$C$21, $C$9, 100%, $E$9)</f>
        <v>8.8201000000000001</v>
      </c>
      <c r="I179" s="17">
        <f>CHOOSE(CONTROL!$C$42, 8.763, 8.763)* CHOOSE(CONTROL!$C$21, $C$9, 100%, $E$9)</f>
        <v>8.7629999999999999</v>
      </c>
      <c r="J179" s="17">
        <f>CHOOSE(CONTROL!$C$42, 8.7216, 8.7216)* CHOOSE(CONTROL!$C$21, $C$9, 100%, $E$9)</f>
        <v>8.7216000000000005</v>
      </c>
      <c r="K179" s="52">
        <f>CHOOSE(CONTROL!$C$42, 8.7569, 8.7569) * CHOOSE(CONTROL!$C$21, $C$9, 100%, $E$9)</f>
        <v>8.7568999999999999</v>
      </c>
      <c r="L179" s="17">
        <f>CHOOSE(CONTROL!$C$42, 9.4071, 9.4071) * CHOOSE(CONTROL!$C$21, $C$9, 100%, $E$9)</f>
        <v>9.4070999999999998</v>
      </c>
      <c r="M179" s="17">
        <f>CHOOSE(CONTROL!$C$42, 8.6501, 8.6501) * CHOOSE(CONTROL!$C$21, $C$9, 100%, $E$9)</f>
        <v>8.6501000000000001</v>
      </c>
      <c r="N179" s="17">
        <f>CHOOSE(CONTROL!$C$42, 8.6667, 8.6667) * CHOOSE(CONTROL!$C$21, $C$9, 100%, $E$9)</f>
        <v>8.6667000000000005</v>
      </c>
      <c r="O179" s="17">
        <f>CHOOSE(CONTROL!$C$42, 8.7478, 8.7478) * CHOOSE(CONTROL!$C$21, $C$9, 100%, $E$9)</f>
        <v>8.7477999999999998</v>
      </c>
      <c r="P179" s="17">
        <f>CHOOSE(CONTROL!$C$42, 8.691, 8.691) * CHOOSE(CONTROL!$C$21, $C$9, 100%, $E$9)</f>
        <v>8.6910000000000007</v>
      </c>
      <c r="Q179" s="17">
        <f>CHOOSE(CONTROL!$C$42, 9.3425, 9.3425) * CHOOSE(CONTROL!$C$21, $C$9, 100%, $E$9)</f>
        <v>9.3424999999999994</v>
      </c>
      <c r="R179" s="17">
        <f>CHOOSE(CONTROL!$C$42, 9.9528, 9.9528) * CHOOSE(CONTROL!$C$21, $C$9, 100%, $E$9)</f>
        <v>9.9527999999999999</v>
      </c>
      <c r="S179" s="17">
        <f>CHOOSE(CONTROL!$C$42, 8.4376, 8.4376) * CHOOSE(CONTROL!$C$21, $C$9, 100%, $E$9)</f>
        <v>8.4375999999999998</v>
      </c>
      <c r="T17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79" s="56">
        <f>(1000*CHOOSE(CONTROL!$C$42, 695, 695)*CHOOSE(CONTROL!$C$42, 0.5599, 0.5599)*CHOOSE(CONTROL!$C$42, 30, 30))/1000000</f>
        <v>11.673914999999997</v>
      </c>
      <c r="V179" s="56">
        <f>(1000*CHOOSE(CONTROL!$C$42, 500, 500)*CHOOSE(CONTROL!$C$42, 0.275, 0.275)*CHOOSE(CONTROL!$C$42, 30, 30))/1000000</f>
        <v>4.125</v>
      </c>
      <c r="W179" s="56">
        <f>(1000*CHOOSE(CONTROL!$C$42, 0.0916, 0.0916)*CHOOSE(CONTROL!$C$42, 121.5, 121.5)*CHOOSE(CONTROL!$C$42, 30, 30))/1000000</f>
        <v>0.33388200000000001</v>
      </c>
      <c r="X179" s="56">
        <f>(30*0.2374*100000/1000000)</f>
        <v>0.71220000000000006</v>
      </c>
      <c r="Y179" s="56"/>
      <c r="Z179" s="17"/>
      <c r="AA179" s="55"/>
      <c r="AB179" s="48">
        <f>(B179*122.58+C179*297.941+D179*89.177+E179*140.302+F179*40+G179*60+H179*0+I179*100+J179*300)/(122.58+297.941+89.177+140.302+0+40+60+100+300)</f>
        <v>8.7434170521739141</v>
      </c>
      <c r="AC179" s="45">
        <f>(M179*'RAP TEMPLATE-GAS AVAILABILITY'!O178+N179*'RAP TEMPLATE-GAS AVAILABILITY'!P178+O179*'RAP TEMPLATE-GAS AVAILABILITY'!Q178+P179*'RAP TEMPLATE-GAS AVAILABILITY'!R178)/('RAP TEMPLATE-GAS AVAILABILITY'!O178+'RAP TEMPLATE-GAS AVAILABILITY'!P178+'RAP TEMPLATE-GAS AVAILABILITY'!Q178+'RAP TEMPLATE-GAS AVAILABILITY'!R178)</f>
        <v>8.7012215827338135</v>
      </c>
    </row>
    <row r="180" spans="1:29" ht="15.75" x14ac:dyDescent="0.25">
      <c r="A180" s="16">
        <v>46357</v>
      </c>
      <c r="B180" s="17">
        <f>CHOOSE(CONTROL!$C$42, 9.3233, 9.3233) * CHOOSE(CONTROL!$C$21, $C$9, 100%, $E$9)</f>
        <v>9.3232999999999997</v>
      </c>
      <c r="C180" s="17">
        <f>CHOOSE(CONTROL!$C$42, 9.3284, 9.3284) * CHOOSE(CONTROL!$C$21, $C$9, 100%, $E$9)</f>
        <v>9.3284000000000002</v>
      </c>
      <c r="D180" s="17">
        <f>CHOOSE(CONTROL!$C$42, 9.4098, 9.4098) * CHOOSE(CONTROL!$C$21, $C$9, 100%, $E$9)</f>
        <v>9.4098000000000006</v>
      </c>
      <c r="E180" s="17">
        <f>CHOOSE(CONTROL!$C$42, 9.4436, 9.4436) * CHOOSE(CONTROL!$C$21, $C$9, 100%, $E$9)</f>
        <v>9.4436</v>
      </c>
      <c r="F180" s="17">
        <f>CHOOSE(CONTROL!$C$42, 9.3437, 9.3437)*CHOOSE(CONTROL!$C$21, $C$9, 100%, $E$9)</f>
        <v>9.3437000000000001</v>
      </c>
      <c r="G180" s="17">
        <f>CHOOSE(CONTROL!$C$42, 9.361, 9.361)*CHOOSE(CONTROL!$C$21, $C$9, 100%, $E$9)</f>
        <v>9.3610000000000007</v>
      </c>
      <c r="H180" s="17">
        <f>CHOOSE(CONTROL!$C$42, 9.4324, 9.4324) * CHOOSE(CONTROL!$C$21, $C$9, 100%, $E$9)</f>
        <v>9.4323999999999995</v>
      </c>
      <c r="I180" s="17">
        <f>CHOOSE(CONTROL!$C$42, 9.3772, 9.3772)* CHOOSE(CONTROL!$C$21, $C$9, 100%, $E$9)</f>
        <v>9.3772000000000002</v>
      </c>
      <c r="J180" s="17">
        <f>CHOOSE(CONTROL!$C$42, 9.3363, 9.3363)* CHOOSE(CONTROL!$C$21, $C$9, 100%, $E$9)</f>
        <v>9.3362999999999996</v>
      </c>
      <c r="K180" s="52">
        <f>CHOOSE(CONTROL!$C$42, 9.3712, 9.3712) * CHOOSE(CONTROL!$C$21, $C$9, 100%, $E$9)</f>
        <v>9.3712</v>
      </c>
      <c r="L180" s="17">
        <f>CHOOSE(CONTROL!$C$42, 10.0194, 10.0194) * CHOOSE(CONTROL!$C$21, $C$9, 100%, $E$9)</f>
        <v>10.019399999999999</v>
      </c>
      <c r="M180" s="17">
        <f>CHOOSE(CONTROL!$C$42, 9.2593, 9.2593) * CHOOSE(CONTROL!$C$21, $C$9, 100%, $E$9)</f>
        <v>9.2592999999999996</v>
      </c>
      <c r="N180" s="17">
        <f>CHOOSE(CONTROL!$C$42, 9.2765, 9.2765) * CHOOSE(CONTROL!$C$21, $C$9, 100%, $E$9)</f>
        <v>9.2765000000000004</v>
      </c>
      <c r="O180" s="17">
        <f>CHOOSE(CONTROL!$C$42, 9.3546, 9.3546) * CHOOSE(CONTROL!$C$21, $C$9, 100%, $E$9)</f>
        <v>9.3545999999999996</v>
      </c>
      <c r="P180" s="17">
        <f>CHOOSE(CONTROL!$C$42, 9.2997, 9.2997) * CHOOSE(CONTROL!$C$21, $C$9, 100%, $E$9)</f>
        <v>9.2996999999999996</v>
      </c>
      <c r="Q180" s="17">
        <f>CHOOSE(CONTROL!$C$42, 9.9493, 9.9493) * CHOOSE(CONTROL!$C$21, $C$9, 100%, $E$9)</f>
        <v>9.9492999999999991</v>
      </c>
      <c r="R180" s="17">
        <f>CHOOSE(CONTROL!$C$42, 10.5612, 10.5612) * CHOOSE(CONTROL!$C$21, $C$9, 100%, $E$9)</f>
        <v>10.561199999999999</v>
      </c>
      <c r="S180" s="17">
        <f>CHOOSE(CONTROL!$C$42, 9.0313, 9.0313) * CHOOSE(CONTROL!$C$21, $C$9, 100%, $E$9)</f>
        <v>9.0312999999999999</v>
      </c>
      <c r="T18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80" s="56">
        <f>(1000*CHOOSE(CONTROL!$C$42, 695, 695)*CHOOSE(CONTROL!$C$42, 0.5599, 0.5599)*CHOOSE(CONTROL!$C$42, 31, 31))/1000000</f>
        <v>12.063045499999998</v>
      </c>
      <c r="V180" s="56">
        <f>(1000*CHOOSE(CONTROL!$C$42, 500, 500)*CHOOSE(CONTROL!$C$42, 0.275, 0.275)*CHOOSE(CONTROL!$C$42, 31, 31))/1000000</f>
        <v>4.2625000000000002</v>
      </c>
      <c r="W180" s="56">
        <f>(1000*CHOOSE(CONTROL!$C$42, 0.0916, 0.0916)*CHOOSE(CONTROL!$C$42, 121.5, 121.5)*CHOOSE(CONTROL!$C$42, 31, 31))/1000000</f>
        <v>0.34501139999999997</v>
      </c>
      <c r="X180" s="56">
        <f>(31*0.2374*100000/1000000)</f>
        <v>0.73594000000000004</v>
      </c>
      <c r="Y180" s="56"/>
      <c r="Z180" s="17"/>
      <c r="AA180" s="55"/>
      <c r="AB180" s="48">
        <f>(B180*122.58+C180*297.941+D180*89.177+E180*140.302+F180*40+G180*60+H180*0+I180*100+J180*300)/(122.58+297.941+89.177+140.302+0+40+60+100+300)</f>
        <v>9.3567605566956509</v>
      </c>
      <c r="AC180" s="45">
        <f>(M180*'RAP TEMPLATE-GAS AVAILABILITY'!O179+N180*'RAP TEMPLATE-GAS AVAILABILITY'!P179+O180*'RAP TEMPLATE-GAS AVAILABILITY'!Q179+P180*'RAP TEMPLATE-GAS AVAILABILITY'!R179)/('RAP TEMPLATE-GAS AVAILABILITY'!O179+'RAP TEMPLATE-GAS AVAILABILITY'!P179+'RAP TEMPLATE-GAS AVAILABILITY'!Q179+'RAP TEMPLATE-GAS AVAILABILITY'!R179)</f>
        <v>9.309296402877699</v>
      </c>
    </row>
    <row r="181" spans="1:29" ht="15.75" x14ac:dyDescent="0.25">
      <c r="A181" s="16">
        <v>46388</v>
      </c>
      <c r="B181" s="17">
        <f>CHOOSE(CONTROL!$C$42, 9.8267, 9.8267) * CHOOSE(CONTROL!$C$21, $C$9, 100%, $E$9)</f>
        <v>9.8267000000000007</v>
      </c>
      <c r="C181" s="17">
        <f>CHOOSE(CONTROL!$C$42, 9.8318, 9.8318) * CHOOSE(CONTROL!$C$21, $C$9, 100%, $E$9)</f>
        <v>9.8317999999999994</v>
      </c>
      <c r="D181" s="17">
        <f>CHOOSE(CONTROL!$C$42, 9.9286, 9.9286) * CHOOSE(CONTROL!$C$21, $C$9, 100%, $E$9)</f>
        <v>9.9285999999999994</v>
      </c>
      <c r="E181" s="17">
        <f>CHOOSE(CONTROL!$C$42, 9.9624, 9.9624) * CHOOSE(CONTROL!$C$21, $C$9, 100%, $E$9)</f>
        <v>9.9624000000000006</v>
      </c>
      <c r="F181" s="17">
        <f>CHOOSE(CONTROL!$C$42, 9.841, 9.841)*CHOOSE(CONTROL!$C$21, $C$9, 100%, $E$9)</f>
        <v>9.8409999999999993</v>
      </c>
      <c r="G181" s="17">
        <f>CHOOSE(CONTROL!$C$42, 9.8574, 9.8574)*CHOOSE(CONTROL!$C$21, $C$9, 100%, $E$9)</f>
        <v>9.8574000000000002</v>
      </c>
      <c r="H181" s="17">
        <f>CHOOSE(CONTROL!$C$42, 9.9513, 9.9513) * CHOOSE(CONTROL!$C$21, $C$9, 100%, $E$9)</f>
        <v>9.9512999999999998</v>
      </c>
      <c r="I181" s="17">
        <f>CHOOSE(CONTROL!$C$42, 9.8822, 9.8822)* CHOOSE(CONTROL!$C$21, $C$9, 100%, $E$9)</f>
        <v>9.8821999999999992</v>
      </c>
      <c r="J181" s="17">
        <f>CHOOSE(CONTROL!$C$42, 9.8336, 9.8336)* CHOOSE(CONTROL!$C$21, $C$9, 100%, $E$9)</f>
        <v>9.8336000000000006</v>
      </c>
      <c r="K181" s="52">
        <f>CHOOSE(CONTROL!$C$42, 9.8761, 9.8761) * CHOOSE(CONTROL!$C$21, $C$9, 100%, $E$9)</f>
        <v>9.8760999999999992</v>
      </c>
      <c r="L181" s="17">
        <f>CHOOSE(CONTROL!$C$42, 10.5383, 10.5383) * CHOOSE(CONTROL!$C$21, $C$9, 100%, $E$9)</f>
        <v>10.5383</v>
      </c>
      <c r="M181" s="17">
        <f>CHOOSE(CONTROL!$C$42, 9.7521, 9.7521) * CHOOSE(CONTROL!$C$21, $C$9, 100%, $E$9)</f>
        <v>9.7521000000000004</v>
      </c>
      <c r="N181" s="17">
        <f>CHOOSE(CONTROL!$C$42, 9.7684, 9.7684) * CHOOSE(CONTROL!$C$21, $C$9, 100%, $E$9)</f>
        <v>9.7683999999999997</v>
      </c>
      <c r="O181" s="17">
        <f>CHOOSE(CONTROL!$C$42, 9.8688, 9.8688) * CHOOSE(CONTROL!$C$21, $C$9, 100%, $E$9)</f>
        <v>9.8688000000000002</v>
      </c>
      <c r="P181" s="17">
        <f>CHOOSE(CONTROL!$C$42, 9.8001, 9.8001) * CHOOSE(CONTROL!$C$21, $C$9, 100%, $E$9)</f>
        <v>9.8001000000000005</v>
      </c>
      <c r="Q181" s="17">
        <f>CHOOSE(CONTROL!$C$42, 10.4635, 10.4635) * CHOOSE(CONTROL!$C$21, $C$9, 100%, $E$9)</f>
        <v>10.4635</v>
      </c>
      <c r="R181" s="17">
        <f>CHOOSE(CONTROL!$C$42, 11.0766, 11.0766) * CHOOSE(CONTROL!$C$21, $C$9, 100%, $E$9)</f>
        <v>11.076599999999999</v>
      </c>
      <c r="S181" s="17">
        <f>CHOOSE(CONTROL!$C$42, 9.5195, 9.5195) * CHOOSE(CONTROL!$C$21, $C$9, 100%, $E$9)</f>
        <v>9.5195000000000007</v>
      </c>
      <c r="T18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81" s="56">
        <f>(1000*CHOOSE(CONTROL!$C$42, 695, 695)*CHOOSE(CONTROL!$C$42, 0.5599, 0.5599)*CHOOSE(CONTROL!$C$42, 31, 31))/1000000</f>
        <v>12.063045499999998</v>
      </c>
      <c r="V181" s="56">
        <f>(1000*CHOOSE(CONTROL!$C$42, 500, 500)*CHOOSE(CONTROL!$C$42, 0.275, 0.275)*CHOOSE(CONTROL!$C$42, 31, 31))/1000000</f>
        <v>4.2625000000000002</v>
      </c>
      <c r="W181" s="56">
        <f>(1000*CHOOSE(CONTROL!$C$42, 0.0916, 0.0916)*CHOOSE(CONTROL!$C$42, 121.5, 121.5)*CHOOSE(CONTROL!$C$42, 31, 31))/1000000</f>
        <v>0.34501139999999997</v>
      </c>
      <c r="X181" s="56">
        <f>(31*0.2374*100000/1000000)</f>
        <v>0.73594000000000004</v>
      </c>
      <c r="Y181" s="56"/>
      <c r="Z181" s="17"/>
      <c r="AA181" s="55"/>
      <c r="AB181" s="48">
        <f>(B181*122.58+C181*297.941+D181*89.177+E181*140.302+F181*40+G181*60+H181*0+I181*100+J181*300)/(122.58+297.941+89.177+140.302+0+40+60+100+300)</f>
        <v>9.8612040146086954</v>
      </c>
      <c r="AC181" s="45">
        <f>(M181*'RAP TEMPLATE-GAS AVAILABILITY'!O180+N181*'RAP TEMPLATE-GAS AVAILABILITY'!P180+O181*'RAP TEMPLATE-GAS AVAILABILITY'!Q180+P181*'RAP TEMPLATE-GAS AVAILABILITY'!R180)/('RAP TEMPLATE-GAS AVAILABILITY'!O180+'RAP TEMPLATE-GAS AVAILABILITY'!P180+'RAP TEMPLATE-GAS AVAILABILITY'!Q180+'RAP TEMPLATE-GAS AVAILABILITY'!R180)</f>
        <v>9.8128374100719427</v>
      </c>
    </row>
    <row r="182" spans="1:29" ht="15.75" x14ac:dyDescent="0.25">
      <c r="A182" s="16">
        <v>46419</v>
      </c>
      <c r="B182" s="17">
        <f>CHOOSE(CONTROL!$C$42, 10.022, 10.022) * CHOOSE(CONTROL!$C$21, $C$9, 100%, $E$9)</f>
        <v>10.022</v>
      </c>
      <c r="C182" s="17">
        <f>CHOOSE(CONTROL!$C$42, 10.0271, 10.0271) * CHOOSE(CONTROL!$C$21, $C$9, 100%, $E$9)</f>
        <v>10.027100000000001</v>
      </c>
      <c r="D182" s="17">
        <f>CHOOSE(CONTROL!$C$42, 10.124, 10.124) * CHOOSE(CONTROL!$C$21, $C$9, 100%, $E$9)</f>
        <v>10.124000000000001</v>
      </c>
      <c r="E182" s="17">
        <f>CHOOSE(CONTROL!$C$42, 10.1577, 10.1577) * CHOOSE(CONTROL!$C$21, $C$9, 100%, $E$9)</f>
        <v>10.1577</v>
      </c>
      <c r="F182" s="17">
        <f>CHOOSE(CONTROL!$C$42, 10.0363, 10.0363)*CHOOSE(CONTROL!$C$21, $C$9, 100%, $E$9)</f>
        <v>10.036300000000001</v>
      </c>
      <c r="G182" s="17">
        <f>CHOOSE(CONTROL!$C$42, 10.0527, 10.0527)*CHOOSE(CONTROL!$C$21, $C$9, 100%, $E$9)</f>
        <v>10.0527</v>
      </c>
      <c r="H182" s="17">
        <f>CHOOSE(CONTROL!$C$42, 10.1466, 10.1466) * CHOOSE(CONTROL!$C$21, $C$9, 100%, $E$9)</f>
        <v>10.146599999999999</v>
      </c>
      <c r="I182" s="17">
        <f>CHOOSE(CONTROL!$C$42, 10.0781, 10.0781)* CHOOSE(CONTROL!$C$21, $C$9, 100%, $E$9)</f>
        <v>10.078099999999999</v>
      </c>
      <c r="J182" s="17">
        <f>CHOOSE(CONTROL!$C$42, 10.0289, 10.0289)* CHOOSE(CONTROL!$C$21, $C$9, 100%, $E$9)</f>
        <v>10.0289</v>
      </c>
      <c r="K182" s="52">
        <f>CHOOSE(CONTROL!$C$42, 10.0721, 10.0721) * CHOOSE(CONTROL!$C$21, $C$9, 100%, $E$9)</f>
        <v>10.072100000000001</v>
      </c>
      <c r="L182" s="17">
        <f>CHOOSE(CONTROL!$C$42, 10.7336, 10.7336) * CHOOSE(CONTROL!$C$21, $C$9, 100%, $E$9)</f>
        <v>10.733599999999999</v>
      </c>
      <c r="M182" s="17">
        <f>CHOOSE(CONTROL!$C$42, 9.9457, 9.9457) * CHOOSE(CONTROL!$C$21, $C$9, 100%, $E$9)</f>
        <v>9.9457000000000004</v>
      </c>
      <c r="N182" s="17">
        <f>CHOOSE(CONTROL!$C$42, 9.962, 9.962) * CHOOSE(CONTROL!$C$21, $C$9, 100%, $E$9)</f>
        <v>9.9619999999999997</v>
      </c>
      <c r="O182" s="17">
        <f>CHOOSE(CONTROL!$C$42, 10.0623, 10.0623) * CHOOSE(CONTROL!$C$21, $C$9, 100%, $E$9)</f>
        <v>10.0623</v>
      </c>
      <c r="P182" s="17">
        <f>CHOOSE(CONTROL!$C$42, 9.9942, 9.9942) * CHOOSE(CONTROL!$C$21, $C$9, 100%, $E$9)</f>
        <v>9.9941999999999993</v>
      </c>
      <c r="Q182" s="17">
        <f>CHOOSE(CONTROL!$C$42, 10.657, 10.657) * CHOOSE(CONTROL!$C$21, $C$9, 100%, $E$9)</f>
        <v>10.657</v>
      </c>
      <c r="R182" s="17">
        <f>CHOOSE(CONTROL!$C$42, 11.2707, 11.2707) * CHOOSE(CONTROL!$C$21, $C$9, 100%, $E$9)</f>
        <v>11.2707</v>
      </c>
      <c r="S182" s="17">
        <f>CHOOSE(CONTROL!$C$42, 9.7089, 9.7089) * CHOOSE(CONTROL!$C$21, $C$9, 100%, $E$9)</f>
        <v>9.7088999999999999</v>
      </c>
      <c r="T18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82" s="56">
        <f>(1000*CHOOSE(CONTROL!$C$42, 695, 695)*CHOOSE(CONTROL!$C$42, 0.5599, 0.5599)*CHOOSE(CONTROL!$C$42, 28, 28))/1000000</f>
        <v>10.895653999999999</v>
      </c>
      <c r="V182" s="56">
        <f>(1000*CHOOSE(CONTROL!$C$42, 500, 500)*CHOOSE(CONTROL!$C$42, 0.275, 0.275)*CHOOSE(CONTROL!$C$42, 28, 28))/1000000</f>
        <v>3.85</v>
      </c>
      <c r="W182" s="56">
        <f>(1000*CHOOSE(CONTROL!$C$42, 0.0916, 0.0916)*CHOOSE(CONTROL!$C$42, 121.5, 121.5)*CHOOSE(CONTROL!$C$42, 28, 28))/1000000</f>
        <v>0.31162319999999999</v>
      </c>
      <c r="X182" s="56">
        <f>(28*0.2374*100000/1000000)</f>
        <v>0.66471999999999998</v>
      </c>
      <c r="Y182" s="56"/>
      <c r="Z182" s="17"/>
      <c r="AA182" s="55"/>
      <c r="AB182" s="48">
        <f>(B182*122.58+C182*297.941+D182*89.177+E182*140.302+F182*40+G182*60+H182*0+I182*100+J182*300)/(122.58+297.941+89.177+140.302+0+40+60+100+300)</f>
        <v>10.05656394304348</v>
      </c>
      <c r="AC182" s="45">
        <f>(M182*'RAP TEMPLATE-GAS AVAILABILITY'!O181+N182*'RAP TEMPLATE-GAS AVAILABILITY'!P181+O182*'RAP TEMPLATE-GAS AVAILABILITY'!Q181+P182*'RAP TEMPLATE-GAS AVAILABILITY'!R181)/('RAP TEMPLATE-GAS AVAILABILITY'!O181+'RAP TEMPLATE-GAS AVAILABILITY'!P181+'RAP TEMPLATE-GAS AVAILABILITY'!Q181+'RAP TEMPLATE-GAS AVAILABILITY'!R181)</f>
        <v>10.006464028776978</v>
      </c>
    </row>
    <row r="183" spans="1:29" ht="15.75" x14ac:dyDescent="0.25">
      <c r="A183" s="16">
        <v>46447</v>
      </c>
      <c r="B183" s="17">
        <f>CHOOSE(CONTROL!$C$42, 9.7578, 9.7578) * CHOOSE(CONTROL!$C$21, $C$9, 100%, $E$9)</f>
        <v>9.7577999999999996</v>
      </c>
      <c r="C183" s="17">
        <f>CHOOSE(CONTROL!$C$42, 9.7629, 9.7629) * CHOOSE(CONTROL!$C$21, $C$9, 100%, $E$9)</f>
        <v>9.7629000000000001</v>
      </c>
      <c r="D183" s="17">
        <f>CHOOSE(CONTROL!$C$42, 9.8598, 9.8598) * CHOOSE(CONTROL!$C$21, $C$9, 100%, $E$9)</f>
        <v>9.8597999999999999</v>
      </c>
      <c r="E183" s="17">
        <f>CHOOSE(CONTROL!$C$42, 9.8935, 9.8935) * CHOOSE(CONTROL!$C$21, $C$9, 100%, $E$9)</f>
        <v>9.8934999999999995</v>
      </c>
      <c r="F183" s="17">
        <f>CHOOSE(CONTROL!$C$42, 9.7715, 9.7715)*CHOOSE(CONTROL!$C$21, $C$9, 100%, $E$9)</f>
        <v>9.7714999999999996</v>
      </c>
      <c r="G183" s="17">
        <f>CHOOSE(CONTROL!$C$42, 9.7877, 9.7877)*CHOOSE(CONTROL!$C$21, $C$9, 100%, $E$9)</f>
        <v>9.7876999999999992</v>
      </c>
      <c r="H183" s="17">
        <f>CHOOSE(CONTROL!$C$42, 9.8824, 9.8824) * CHOOSE(CONTROL!$C$21, $C$9, 100%, $E$9)</f>
        <v>9.8824000000000005</v>
      </c>
      <c r="I183" s="17">
        <f>CHOOSE(CONTROL!$C$42, 9.8131, 9.8131)* CHOOSE(CONTROL!$C$21, $C$9, 100%, $E$9)</f>
        <v>9.8131000000000004</v>
      </c>
      <c r="J183" s="17">
        <f>CHOOSE(CONTROL!$C$42, 9.7641, 9.7641)* CHOOSE(CONTROL!$C$21, $C$9, 100%, $E$9)</f>
        <v>9.7640999999999991</v>
      </c>
      <c r="K183" s="52">
        <f>CHOOSE(CONTROL!$C$42, 9.807, 9.807) * CHOOSE(CONTROL!$C$21, $C$9, 100%, $E$9)</f>
        <v>9.8070000000000004</v>
      </c>
      <c r="L183" s="17">
        <f>CHOOSE(CONTROL!$C$42, 10.4694, 10.4694) * CHOOSE(CONTROL!$C$21, $C$9, 100%, $E$9)</f>
        <v>10.4694</v>
      </c>
      <c r="M183" s="17">
        <f>CHOOSE(CONTROL!$C$42, 9.6832, 9.6832) * CHOOSE(CONTROL!$C$21, $C$9, 100%, $E$9)</f>
        <v>9.6831999999999994</v>
      </c>
      <c r="N183" s="17">
        <f>CHOOSE(CONTROL!$C$42, 9.6994, 9.6994) * CHOOSE(CONTROL!$C$21, $C$9, 100%, $E$9)</f>
        <v>9.6994000000000007</v>
      </c>
      <c r="O183" s="17">
        <f>CHOOSE(CONTROL!$C$42, 9.8005, 9.8005) * CHOOSE(CONTROL!$C$21, $C$9, 100%, $E$9)</f>
        <v>9.8004999999999995</v>
      </c>
      <c r="P183" s="17">
        <f>CHOOSE(CONTROL!$C$42, 9.7316, 9.7316) * CHOOSE(CONTROL!$C$21, $C$9, 100%, $E$9)</f>
        <v>9.7316000000000003</v>
      </c>
      <c r="Q183" s="17">
        <f>CHOOSE(CONTROL!$C$42, 10.3952, 10.3952) * CHOOSE(CONTROL!$C$21, $C$9, 100%, $E$9)</f>
        <v>10.395200000000001</v>
      </c>
      <c r="R183" s="17">
        <f>CHOOSE(CONTROL!$C$42, 11.0082, 11.0082) * CHOOSE(CONTROL!$C$21, $C$9, 100%, $E$9)</f>
        <v>11.0082</v>
      </c>
      <c r="S183" s="17">
        <f>CHOOSE(CONTROL!$C$42, 9.4527, 9.4527) * CHOOSE(CONTROL!$C$21, $C$9, 100%, $E$9)</f>
        <v>9.4527000000000001</v>
      </c>
      <c r="T18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83" s="56">
        <f>(1000*CHOOSE(CONTROL!$C$42, 695, 695)*CHOOSE(CONTROL!$C$42, 0.5599, 0.5599)*CHOOSE(CONTROL!$C$42, 31, 31))/1000000</f>
        <v>12.063045499999998</v>
      </c>
      <c r="V183" s="56">
        <f>(1000*CHOOSE(CONTROL!$C$42, 500, 500)*CHOOSE(CONTROL!$C$42, 0.275, 0.275)*CHOOSE(CONTROL!$C$42, 31, 31))/1000000</f>
        <v>4.2625000000000002</v>
      </c>
      <c r="W183" s="56">
        <f>(1000*CHOOSE(CONTROL!$C$42, 0.0916, 0.0916)*CHOOSE(CONTROL!$C$42, 121.5, 121.5)*CHOOSE(CONTROL!$C$42, 31, 31))/1000000</f>
        <v>0.34501139999999997</v>
      </c>
      <c r="X183" s="56">
        <f>(31*0.2374*100000/1000000)</f>
        <v>0.73594000000000004</v>
      </c>
      <c r="Y183" s="56"/>
      <c r="Z183" s="17"/>
      <c r="AA183" s="55"/>
      <c r="AB183" s="48">
        <f>(B183*122.58+C183*297.941+D183*89.177+E183*140.302+F183*40+G183*60+H183*0+I183*100+J183*300)/(122.58+297.941+89.177+140.302+0+40+60+100+300)</f>
        <v>9.7920752473913026</v>
      </c>
      <c r="AC183" s="45">
        <f>(M183*'RAP TEMPLATE-GAS AVAILABILITY'!O182+N183*'RAP TEMPLATE-GAS AVAILABILITY'!P182+O183*'RAP TEMPLATE-GAS AVAILABILITY'!Q182+P183*'RAP TEMPLATE-GAS AVAILABILITY'!R182)/('RAP TEMPLATE-GAS AVAILABILITY'!O182+'RAP TEMPLATE-GAS AVAILABILITY'!P182+'RAP TEMPLATE-GAS AVAILABILITY'!Q182+'RAP TEMPLATE-GAS AVAILABILITY'!R182)</f>
        <v>9.7442611510791366</v>
      </c>
    </row>
    <row r="184" spans="1:29" ht="15.75" x14ac:dyDescent="0.25">
      <c r="A184" s="16">
        <v>46478</v>
      </c>
      <c r="B184" s="17">
        <f>CHOOSE(CONTROL!$C$42, 9.7497, 9.7497) * CHOOSE(CONTROL!$C$21, $C$9, 100%, $E$9)</f>
        <v>9.7497000000000007</v>
      </c>
      <c r="C184" s="17">
        <f>CHOOSE(CONTROL!$C$42, 9.7542, 9.7542) * CHOOSE(CONTROL!$C$21, $C$9, 100%, $E$9)</f>
        <v>9.7542000000000009</v>
      </c>
      <c r="D184" s="17">
        <f>CHOOSE(CONTROL!$C$42, 10.0017, 10.0017) * CHOOSE(CONTROL!$C$21, $C$9, 100%, $E$9)</f>
        <v>10.0017</v>
      </c>
      <c r="E184" s="17">
        <f>CHOOSE(CONTROL!$C$42, 10.0335, 10.0335) * CHOOSE(CONTROL!$C$21, $C$9, 100%, $E$9)</f>
        <v>10.0335</v>
      </c>
      <c r="F184" s="17">
        <f>CHOOSE(CONTROL!$C$42, 9.7613, 9.7613)*CHOOSE(CONTROL!$C$21, $C$9, 100%, $E$9)</f>
        <v>9.7613000000000003</v>
      </c>
      <c r="G184" s="17">
        <f>CHOOSE(CONTROL!$C$42, 9.7772, 9.7772)*CHOOSE(CONTROL!$C$21, $C$9, 100%, $E$9)</f>
        <v>9.7772000000000006</v>
      </c>
      <c r="H184" s="17">
        <f>CHOOSE(CONTROL!$C$42, 10.023, 10.023) * CHOOSE(CONTROL!$C$21, $C$9, 100%, $E$9)</f>
        <v>10.023</v>
      </c>
      <c r="I184" s="17">
        <f>CHOOSE(CONTROL!$C$42, 9.8026, 9.8026)* CHOOSE(CONTROL!$C$21, $C$9, 100%, $E$9)</f>
        <v>9.8026</v>
      </c>
      <c r="J184" s="17">
        <f>CHOOSE(CONTROL!$C$42, 9.7539, 9.7539)* CHOOSE(CONTROL!$C$21, $C$9, 100%, $E$9)</f>
        <v>9.7538999999999998</v>
      </c>
      <c r="K184" s="52">
        <f>CHOOSE(CONTROL!$C$42, 9.7965, 9.7965) * CHOOSE(CONTROL!$C$21, $C$9, 100%, $E$9)</f>
        <v>9.7965</v>
      </c>
      <c r="L184" s="17">
        <f>CHOOSE(CONTROL!$C$42, 10.61, 10.61) * CHOOSE(CONTROL!$C$21, $C$9, 100%, $E$9)</f>
        <v>10.61</v>
      </c>
      <c r="M184" s="17">
        <f>CHOOSE(CONTROL!$C$42, 9.6732, 9.6732) * CHOOSE(CONTROL!$C$21, $C$9, 100%, $E$9)</f>
        <v>9.6731999999999996</v>
      </c>
      <c r="N184" s="17">
        <f>CHOOSE(CONTROL!$C$42, 9.689, 9.689) * CHOOSE(CONTROL!$C$21, $C$9, 100%, $E$9)</f>
        <v>9.6890000000000001</v>
      </c>
      <c r="O184" s="17">
        <f>CHOOSE(CONTROL!$C$42, 9.9398, 9.9398) * CHOOSE(CONTROL!$C$21, $C$9, 100%, $E$9)</f>
        <v>9.9398</v>
      </c>
      <c r="P184" s="17">
        <f>CHOOSE(CONTROL!$C$42, 9.7212, 9.7212) * CHOOSE(CONTROL!$C$21, $C$9, 100%, $E$9)</f>
        <v>9.7211999999999996</v>
      </c>
      <c r="Q184" s="17">
        <f>CHOOSE(CONTROL!$C$42, 10.5345, 10.5345) * CHOOSE(CONTROL!$C$21, $C$9, 100%, $E$9)</f>
        <v>10.5345</v>
      </c>
      <c r="R184" s="17">
        <f>CHOOSE(CONTROL!$C$42, 11.1479, 11.1479) * CHOOSE(CONTROL!$C$21, $C$9, 100%, $E$9)</f>
        <v>11.1479</v>
      </c>
      <c r="S184" s="17">
        <f>CHOOSE(CONTROL!$C$42, 9.444, 9.444) * CHOOSE(CONTROL!$C$21, $C$9, 100%, $E$9)</f>
        <v>9.4440000000000008</v>
      </c>
      <c r="T18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84" s="56">
        <f>(1000*CHOOSE(CONTROL!$C$42, 695, 695)*CHOOSE(CONTROL!$C$42, 0.5599, 0.5599)*CHOOSE(CONTROL!$C$42, 30, 30))/1000000</f>
        <v>11.673914999999997</v>
      </c>
      <c r="V184" s="56">
        <f>(1000*CHOOSE(CONTROL!$C$42, 500, 500)*CHOOSE(CONTROL!$C$42, 0.275, 0.275)*CHOOSE(CONTROL!$C$42, 30, 30))/1000000</f>
        <v>4.125</v>
      </c>
      <c r="W184" s="56">
        <f>(1000*CHOOSE(CONTROL!$C$42, 0.0916, 0.0916)*CHOOSE(CONTROL!$C$42, 121.5, 121.5)*CHOOSE(CONTROL!$C$42, 30, 30))/1000000</f>
        <v>0.33388200000000001</v>
      </c>
      <c r="X184" s="56">
        <f>(30*0.1790888*145000/1000000)+(30*0.2374*100000/1000000)</f>
        <v>1.4912362799999999</v>
      </c>
      <c r="Y184" s="56"/>
      <c r="Z184" s="17"/>
      <c r="AA184" s="55"/>
      <c r="AB184" s="48">
        <f>(B184*141.293+C184*267.993+D184*115.016+E184*189.698+F184*40+G184*85+H184*0+I184*100+J184*300)/(141.293+267.993+115.016+189.698+0+40+85+100+300)</f>
        <v>9.825065450282489</v>
      </c>
      <c r="AC184" s="45">
        <f>(M184*'RAP TEMPLATE-GAS AVAILABILITY'!O183+N184*'RAP TEMPLATE-GAS AVAILABILITY'!P183+O184*'RAP TEMPLATE-GAS AVAILABILITY'!Q183+P184*'RAP TEMPLATE-GAS AVAILABILITY'!R183)/('RAP TEMPLATE-GAS AVAILABILITY'!O183+'RAP TEMPLATE-GAS AVAILABILITY'!P183+'RAP TEMPLATE-GAS AVAILABILITY'!Q183+'RAP TEMPLATE-GAS AVAILABILITY'!R183)</f>
        <v>9.7585453237410071</v>
      </c>
    </row>
    <row r="185" spans="1:29" ht="15.75" x14ac:dyDescent="0.25">
      <c r="A185" s="16">
        <v>46508</v>
      </c>
      <c r="B185" s="17">
        <f>CHOOSE(CONTROL!$C$42, 9.8572, 9.8572) * CHOOSE(CONTROL!$C$21, $C$9, 100%, $E$9)</f>
        <v>9.8572000000000006</v>
      </c>
      <c r="C185" s="17">
        <f>CHOOSE(CONTROL!$C$42, 9.8652, 9.8652) * CHOOSE(CONTROL!$C$21, $C$9, 100%, $E$9)</f>
        <v>9.8651999999999997</v>
      </c>
      <c r="D185" s="17">
        <f>CHOOSE(CONTROL!$C$42, 10.1097, 10.1097) * CHOOSE(CONTROL!$C$21, $C$9, 100%, $E$9)</f>
        <v>10.1097</v>
      </c>
      <c r="E185" s="17">
        <f>CHOOSE(CONTROL!$C$42, 10.1408, 10.1408) * CHOOSE(CONTROL!$C$21, $C$9, 100%, $E$9)</f>
        <v>10.1408</v>
      </c>
      <c r="F185" s="17">
        <f>CHOOSE(CONTROL!$C$42, 9.8678, 9.8678)*CHOOSE(CONTROL!$C$21, $C$9, 100%, $E$9)</f>
        <v>9.8678000000000008</v>
      </c>
      <c r="G185" s="17">
        <f>CHOOSE(CONTROL!$C$42, 9.884, 9.884)*CHOOSE(CONTROL!$C$21, $C$9, 100%, $E$9)</f>
        <v>9.8840000000000003</v>
      </c>
      <c r="H185" s="17">
        <f>CHOOSE(CONTROL!$C$42, 10.1292, 10.1292) * CHOOSE(CONTROL!$C$21, $C$9, 100%, $E$9)</f>
        <v>10.129200000000001</v>
      </c>
      <c r="I185" s="17">
        <f>CHOOSE(CONTROL!$C$42, 9.9091, 9.9091)* CHOOSE(CONTROL!$C$21, $C$9, 100%, $E$9)</f>
        <v>9.9091000000000005</v>
      </c>
      <c r="J185" s="17">
        <f>CHOOSE(CONTROL!$C$42, 9.8604, 9.8604)* CHOOSE(CONTROL!$C$21, $C$9, 100%, $E$9)</f>
        <v>9.8604000000000003</v>
      </c>
      <c r="K185" s="52">
        <f>CHOOSE(CONTROL!$C$42, 9.903, 9.903) * CHOOSE(CONTROL!$C$21, $C$9, 100%, $E$9)</f>
        <v>9.9030000000000005</v>
      </c>
      <c r="L185" s="17">
        <f>CHOOSE(CONTROL!$C$42, 10.7162, 10.7162) * CHOOSE(CONTROL!$C$21, $C$9, 100%, $E$9)</f>
        <v>10.716200000000001</v>
      </c>
      <c r="M185" s="17">
        <f>CHOOSE(CONTROL!$C$42, 9.7787, 9.7787) * CHOOSE(CONTROL!$C$21, $C$9, 100%, $E$9)</f>
        <v>9.7787000000000006</v>
      </c>
      <c r="N185" s="17">
        <f>CHOOSE(CONTROL!$C$42, 9.7948, 9.7948) * CHOOSE(CONTROL!$C$21, $C$9, 100%, $E$9)</f>
        <v>9.7948000000000004</v>
      </c>
      <c r="O185" s="17">
        <f>CHOOSE(CONTROL!$C$42, 10.0451, 10.0451) * CHOOSE(CONTROL!$C$21, $C$9, 100%, $E$9)</f>
        <v>10.0451</v>
      </c>
      <c r="P185" s="17">
        <f>CHOOSE(CONTROL!$C$42, 9.8267, 9.8267) * CHOOSE(CONTROL!$C$21, $C$9, 100%, $E$9)</f>
        <v>9.8267000000000007</v>
      </c>
      <c r="Q185" s="17">
        <f>CHOOSE(CONTROL!$C$42, 10.6398, 10.6398) * CHOOSE(CONTROL!$C$21, $C$9, 100%, $E$9)</f>
        <v>10.639799999999999</v>
      </c>
      <c r="R185" s="17">
        <f>CHOOSE(CONTROL!$C$42, 11.2534, 11.2534) * CHOOSE(CONTROL!$C$21, $C$9, 100%, $E$9)</f>
        <v>11.253399999999999</v>
      </c>
      <c r="S185" s="17">
        <f>CHOOSE(CONTROL!$C$42, 9.547, 9.547) * CHOOSE(CONTROL!$C$21, $C$9, 100%, $E$9)</f>
        <v>9.5470000000000006</v>
      </c>
      <c r="T18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85" s="56">
        <f>(1000*CHOOSE(CONTROL!$C$42, 695, 695)*CHOOSE(CONTROL!$C$42, 0.5599, 0.5599)*CHOOSE(CONTROL!$C$42, 31, 31))/1000000</f>
        <v>12.063045499999998</v>
      </c>
      <c r="V185" s="56">
        <f>(1000*CHOOSE(CONTROL!$C$42, 500, 500)*CHOOSE(CONTROL!$C$42, 0.275, 0.275)*CHOOSE(CONTROL!$C$42, 31, 31))/1000000</f>
        <v>4.2625000000000002</v>
      </c>
      <c r="W185" s="56">
        <f>(1000*CHOOSE(CONTROL!$C$42, 0.0916, 0.0916)*CHOOSE(CONTROL!$C$42, 121.5, 121.5)*CHOOSE(CONTROL!$C$42, 31, 31))/1000000</f>
        <v>0.34501139999999997</v>
      </c>
      <c r="X185" s="56">
        <f>(31*0.1790888*145000/1000000)+(31*0.2374*100000/1000000)</f>
        <v>1.5409441560000001</v>
      </c>
      <c r="Y185" s="56"/>
      <c r="Z185" s="17"/>
      <c r="AA185" s="55"/>
      <c r="AB185" s="48">
        <f>(B185*194.205+C185*267.466+D185*133.845+E185*153.484+F185*40+G185*85+H185*0+I185*100+J185*300)/(194.205+267.466+133.845+153.484+0+40+85+100+300)</f>
        <v>9.9265215485871288</v>
      </c>
      <c r="AC185" s="45">
        <f>(M185*'RAP TEMPLATE-GAS AVAILABILITY'!O184+N185*'RAP TEMPLATE-GAS AVAILABILITY'!P184+O185*'RAP TEMPLATE-GAS AVAILABILITY'!Q184+P185*'RAP TEMPLATE-GAS AVAILABILITY'!R184)/('RAP TEMPLATE-GAS AVAILABILITY'!O184+'RAP TEMPLATE-GAS AVAILABILITY'!P184+'RAP TEMPLATE-GAS AVAILABILITY'!Q184+'RAP TEMPLATE-GAS AVAILABILITY'!R184)</f>
        <v>9.8640582733812963</v>
      </c>
    </row>
    <row r="186" spans="1:29" ht="15.75" x14ac:dyDescent="0.25">
      <c r="A186" s="16">
        <v>46539</v>
      </c>
      <c r="B186" s="17">
        <f>CHOOSE(CONTROL!$C$42, 10.1573, 10.1573) * CHOOSE(CONTROL!$C$21, $C$9, 100%, $E$9)</f>
        <v>10.157299999999999</v>
      </c>
      <c r="C186" s="17">
        <f>CHOOSE(CONTROL!$C$42, 10.1653, 10.1653) * CHOOSE(CONTROL!$C$21, $C$9, 100%, $E$9)</f>
        <v>10.1653</v>
      </c>
      <c r="D186" s="17">
        <f>CHOOSE(CONTROL!$C$42, 10.4098, 10.4098) * CHOOSE(CONTROL!$C$21, $C$9, 100%, $E$9)</f>
        <v>10.409800000000001</v>
      </c>
      <c r="E186" s="17">
        <f>CHOOSE(CONTROL!$C$42, 10.4409, 10.4409) * CHOOSE(CONTROL!$C$21, $C$9, 100%, $E$9)</f>
        <v>10.440899999999999</v>
      </c>
      <c r="F186" s="17">
        <f>CHOOSE(CONTROL!$C$42, 10.1682, 10.1682)*CHOOSE(CONTROL!$C$21, $C$9, 100%, $E$9)</f>
        <v>10.168200000000001</v>
      </c>
      <c r="G186" s="17">
        <f>CHOOSE(CONTROL!$C$42, 10.1845, 10.1845)*CHOOSE(CONTROL!$C$21, $C$9, 100%, $E$9)</f>
        <v>10.1845</v>
      </c>
      <c r="H186" s="17">
        <f>CHOOSE(CONTROL!$C$42, 10.4293, 10.4293) * CHOOSE(CONTROL!$C$21, $C$9, 100%, $E$9)</f>
        <v>10.4293</v>
      </c>
      <c r="I186" s="17">
        <f>CHOOSE(CONTROL!$C$42, 10.2101, 10.2101)* CHOOSE(CONTROL!$C$21, $C$9, 100%, $E$9)</f>
        <v>10.210100000000001</v>
      </c>
      <c r="J186" s="17">
        <f>CHOOSE(CONTROL!$C$42, 10.1608, 10.1608)* CHOOSE(CONTROL!$C$21, $C$9, 100%, $E$9)</f>
        <v>10.1608</v>
      </c>
      <c r="K186" s="52">
        <f>CHOOSE(CONTROL!$C$42, 10.2041, 10.2041) * CHOOSE(CONTROL!$C$21, $C$9, 100%, $E$9)</f>
        <v>10.2041</v>
      </c>
      <c r="L186" s="17">
        <f>CHOOSE(CONTROL!$C$42, 11.0163, 11.0163) * CHOOSE(CONTROL!$C$21, $C$9, 100%, $E$9)</f>
        <v>11.016299999999999</v>
      </c>
      <c r="M186" s="17">
        <f>CHOOSE(CONTROL!$C$42, 10.0764, 10.0764) * CHOOSE(CONTROL!$C$21, $C$9, 100%, $E$9)</f>
        <v>10.0764</v>
      </c>
      <c r="N186" s="17">
        <f>CHOOSE(CONTROL!$C$42, 10.0926, 10.0926) * CHOOSE(CONTROL!$C$21, $C$9, 100%, $E$9)</f>
        <v>10.092599999999999</v>
      </c>
      <c r="O186" s="17">
        <f>CHOOSE(CONTROL!$C$42, 10.3425, 10.3425) * CHOOSE(CONTROL!$C$21, $C$9, 100%, $E$9)</f>
        <v>10.342499999999999</v>
      </c>
      <c r="P186" s="17">
        <f>CHOOSE(CONTROL!$C$42, 10.1251, 10.1251) * CHOOSE(CONTROL!$C$21, $C$9, 100%, $E$9)</f>
        <v>10.1251</v>
      </c>
      <c r="Q186" s="17">
        <f>CHOOSE(CONTROL!$C$42, 10.9372, 10.9372) * CHOOSE(CONTROL!$C$21, $C$9, 100%, $E$9)</f>
        <v>10.937200000000001</v>
      </c>
      <c r="R186" s="17">
        <f>CHOOSE(CONTROL!$C$42, 11.5515, 11.5515) * CHOOSE(CONTROL!$C$21, $C$9, 100%, $E$9)</f>
        <v>11.551500000000001</v>
      </c>
      <c r="S186" s="17">
        <f>CHOOSE(CONTROL!$C$42, 9.838, 9.838) * CHOOSE(CONTROL!$C$21, $C$9, 100%, $E$9)</f>
        <v>9.8379999999999992</v>
      </c>
      <c r="T18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86" s="56">
        <f>(1000*CHOOSE(CONTROL!$C$42, 695, 695)*CHOOSE(CONTROL!$C$42, 0.5599, 0.5599)*CHOOSE(CONTROL!$C$42, 30, 30))/1000000</f>
        <v>11.673914999999997</v>
      </c>
      <c r="V186" s="56">
        <f>(1000*CHOOSE(CONTROL!$C$42, 500, 500)*CHOOSE(CONTROL!$C$42, 0.275, 0.275)*CHOOSE(CONTROL!$C$42, 30, 30))/1000000</f>
        <v>4.125</v>
      </c>
      <c r="W186" s="56">
        <f>(1000*CHOOSE(CONTROL!$C$42, 0.0916, 0.0916)*CHOOSE(CONTROL!$C$42, 121.5, 121.5)*CHOOSE(CONTROL!$C$42, 30, 30))/1000000</f>
        <v>0.33388200000000001</v>
      </c>
      <c r="X186" s="56">
        <f>(30*0.1790888*145000/1000000)+(30*0.2374*100000/1000000)</f>
        <v>1.4912362799999999</v>
      </c>
      <c r="Y186" s="56"/>
      <c r="Z186" s="17"/>
      <c r="AA186" s="55"/>
      <c r="AB186" s="48">
        <f>(B186*194.205+C186*267.466+D186*133.845+E186*153.484+F186*40+G186*85+H186*0+I186*100+J186*300)/(194.205+267.466+133.845+153.484+0+40+85+100+300)</f>
        <v>10.226798942621665</v>
      </c>
      <c r="AC186" s="45">
        <f>(M186*'RAP TEMPLATE-GAS AVAILABILITY'!O185+N186*'RAP TEMPLATE-GAS AVAILABILITY'!P185+O186*'RAP TEMPLATE-GAS AVAILABILITY'!Q185+P186*'RAP TEMPLATE-GAS AVAILABILITY'!R185)/('RAP TEMPLATE-GAS AVAILABILITY'!O185+'RAP TEMPLATE-GAS AVAILABILITY'!P185+'RAP TEMPLATE-GAS AVAILABILITY'!Q185+'RAP TEMPLATE-GAS AVAILABILITY'!R185)</f>
        <v>10.161797841726619</v>
      </c>
    </row>
    <row r="187" spans="1:29" ht="15.75" x14ac:dyDescent="0.25">
      <c r="A187" s="16">
        <v>46569</v>
      </c>
      <c r="B187" s="17">
        <f>CHOOSE(CONTROL!$C$42, 9.9832, 9.9832) * CHOOSE(CONTROL!$C$21, $C$9, 100%, $E$9)</f>
        <v>9.9832000000000001</v>
      </c>
      <c r="C187" s="17">
        <f>CHOOSE(CONTROL!$C$42, 9.9912, 9.9912) * CHOOSE(CONTROL!$C$21, $C$9, 100%, $E$9)</f>
        <v>9.9911999999999992</v>
      </c>
      <c r="D187" s="17">
        <f>CHOOSE(CONTROL!$C$42, 10.2356, 10.2356) * CHOOSE(CONTROL!$C$21, $C$9, 100%, $E$9)</f>
        <v>10.2356</v>
      </c>
      <c r="E187" s="17">
        <f>CHOOSE(CONTROL!$C$42, 10.2668, 10.2668) * CHOOSE(CONTROL!$C$21, $C$9, 100%, $E$9)</f>
        <v>10.2668</v>
      </c>
      <c r="F187" s="17">
        <f>CHOOSE(CONTROL!$C$42, 9.9945, 9.9945)*CHOOSE(CONTROL!$C$21, $C$9, 100%, $E$9)</f>
        <v>9.9945000000000004</v>
      </c>
      <c r="G187" s="17">
        <f>CHOOSE(CONTROL!$C$42, 10.011, 10.011)*CHOOSE(CONTROL!$C$21, $C$9, 100%, $E$9)</f>
        <v>10.010999999999999</v>
      </c>
      <c r="H187" s="17">
        <f>CHOOSE(CONTROL!$C$42, 10.2552, 10.2552) * CHOOSE(CONTROL!$C$21, $C$9, 100%, $E$9)</f>
        <v>10.2552</v>
      </c>
      <c r="I187" s="17">
        <f>CHOOSE(CONTROL!$C$42, 10.0354, 10.0354)* CHOOSE(CONTROL!$C$21, $C$9, 100%, $E$9)</f>
        <v>10.035399999999999</v>
      </c>
      <c r="J187" s="17">
        <f>CHOOSE(CONTROL!$C$42, 9.9871, 9.9871)* CHOOSE(CONTROL!$C$21, $C$9, 100%, $E$9)</f>
        <v>9.9870999999999999</v>
      </c>
      <c r="K187" s="52">
        <f>CHOOSE(CONTROL!$C$42, 10.0294, 10.0294) * CHOOSE(CONTROL!$C$21, $C$9, 100%, $E$9)</f>
        <v>10.029400000000001</v>
      </c>
      <c r="L187" s="17">
        <f>CHOOSE(CONTROL!$C$42, 10.8422, 10.8422) * CHOOSE(CONTROL!$C$21, $C$9, 100%, $E$9)</f>
        <v>10.8422</v>
      </c>
      <c r="M187" s="17">
        <f>CHOOSE(CONTROL!$C$42, 9.9043, 9.9043) * CHOOSE(CONTROL!$C$21, $C$9, 100%, $E$9)</f>
        <v>9.9042999999999992</v>
      </c>
      <c r="N187" s="17">
        <f>CHOOSE(CONTROL!$C$42, 9.9206, 9.9206) * CHOOSE(CONTROL!$C$21, $C$9, 100%, $E$9)</f>
        <v>9.9206000000000003</v>
      </c>
      <c r="O187" s="17">
        <f>CHOOSE(CONTROL!$C$42, 10.1699, 10.1699) * CHOOSE(CONTROL!$C$21, $C$9, 100%, $E$9)</f>
        <v>10.1699</v>
      </c>
      <c r="P187" s="17">
        <f>CHOOSE(CONTROL!$C$42, 9.952, 9.952) * CHOOSE(CONTROL!$C$21, $C$9, 100%, $E$9)</f>
        <v>9.952</v>
      </c>
      <c r="Q187" s="17">
        <f>CHOOSE(CONTROL!$C$42, 10.7646, 10.7646) * CHOOSE(CONTROL!$C$21, $C$9, 100%, $E$9)</f>
        <v>10.7646</v>
      </c>
      <c r="R187" s="17">
        <f>CHOOSE(CONTROL!$C$42, 11.3785, 11.3785) * CHOOSE(CONTROL!$C$21, $C$9, 100%, $E$9)</f>
        <v>11.378500000000001</v>
      </c>
      <c r="S187" s="17">
        <f>CHOOSE(CONTROL!$C$42, 9.6691, 9.6691) * CHOOSE(CONTROL!$C$21, $C$9, 100%, $E$9)</f>
        <v>9.6691000000000003</v>
      </c>
      <c r="T18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87" s="56">
        <f>(1000*CHOOSE(CONTROL!$C$42, 695, 695)*CHOOSE(CONTROL!$C$42, 0.5599, 0.5599)*CHOOSE(CONTROL!$C$42, 31, 31))/1000000</f>
        <v>12.063045499999998</v>
      </c>
      <c r="V187" s="56">
        <f>(1000*CHOOSE(CONTROL!$C$42, 500, 500)*CHOOSE(CONTROL!$C$42, 0.275, 0.275)*CHOOSE(CONTROL!$C$42, 31, 31))/1000000</f>
        <v>4.2625000000000002</v>
      </c>
      <c r="W187" s="56">
        <f>(1000*CHOOSE(CONTROL!$C$42, 0.0916, 0.0916)*CHOOSE(CONTROL!$C$42, 121.5, 121.5)*CHOOSE(CONTROL!$C$42, 31, 31))/1000000</f>
        <v>0.34501139999999997</v>
      </c>
      <c r="X187" s="56">
        <f>(31*0.1790888*145000/1000000)+(31*0.2374*100000/1000000)</f>
        <v>1.5409441560000001</v>
      </c>
      <c r="Y187" s="56"/>
      <c r="Z187" s="17"/>
      <c r="AA187" s="55"/>
      <c r="AB187" s="48">
        <f>(B187*194.205+C187*267.466+D187*133.845+E187*153.484+F187*40+G187*85+H187*0+I187*100+J187*300)/(194.205+267.466+133.845+153.484+0+40+85+100+300)</f>
        <v>10.052788122762951</v>
      </c>
      <c r="AC187" s="45">
        <f>(M187*'RAP TEMPLATE-GAS AVAILABILITY'!O186+N187*'RAP TEMPLATE-GAS AVAILABILITY'!P186+O187*'RAP TEMPLATE-GAS AVAILABILITY'!Q186+P187*'RAP TEMPLATE-GAS AVAILABILITY'!R186)/('RAP TEMPLATE-GAS AVAILABILITY'!O186+'RAP TEMPLATE-GAS AVAILABILITY'!P186+'RAP TEMPLATE-GAS AVAILABILITY'!Q186+'RAP TEMPLATE-GAS AVAILABILITY'!R186)</f>
        <v>9.9894366906474819</v>
      </c>
    </row>
    <row r="188" spans="1:29" ht="15.75" x14ac:dyDescent="0.25">
      <c r="A188" s="16">
        <v>46600</v>
      </c>
      <c r="B188" s="17">
        <f>CHOOSE(CONTROL!$C$42, 9.5102, 9.5102) * CHOOSE(CONTROL!$C$21, $C$9, 100%, $E$9)</f>
        <v>9.5101999999999993</v>
      </c>
      <c r="C188" s="17">
        <f>CHOOSE(CONTROL!$C$42, 9.5182, 9.5182) * CHOOSE(CONTROL!$C$21, $C$9, 100%, $E$9)</f>
        <v>9.5182000000000002</v>
      </c>
      <c r="D188" s="17">
        <f>CHOOSE(CONTROL!$C$42, 9.7627, 9.7627) * CHOOSE(CONTROL!$C$21, $C$9, 100%, $E$9)</f>
        <v>9.7627000000000006</v>
      </c>
      <c r="E188" s="17">
        <f>CHOOSE(CONTROL!$C$42, 9.7939, 9.7939) * CHOOSE(CONTROL!$C$21, $C$9, 100%, $E$9)</f>
        <v>9.7939000000000007</v>
      </c>
      <c r="F188" s="17">
        <f>CHOOSE(CONTROL!$C$42, 9.5218, 9.5218)*CHOOSE(CONTROL!$C$21, $C$9, 100%, $E$9)</f>
        <v>9.5218000000000007</v>
      </c>
      <c r="G188" s="17">
        <f>CHOOSE(CONTROL!$C$42, 9.5383, 9.5383)*CHOOSE(CONTROL!$C$21, $C$9, 100%, $E$9)</f>
        <v>9.5382999999999996</v>
      </c>
      <c r="H188" s="17">
        <f>CHOOSE(CONTROL!$C$42, 9.7822, 9.7822) * CHOOSE(CONTROL!$C$21, $C$9, 100%, $E$9)</f>
        <v>9.7821999999999996</v>
      </c>
      <c r="I188" s="17">
        <f>CHOOSE(CONTROL!$C$42, 9.561, 9.561)* CHOOSE(CONTROL!$C$21, $C$9, 100%, $E$9)</f>
        <v>9.5609999999999999</v>
      </c>
      <c r="J188" s="17">
        <f>CHOOSE(CONTROL!$C$42, 9.5144, 9.5144)* CHOOSE(CONTROL!$C$21, $C$9, 100%, $E$9)</f>
        <v>9.5144000000000002</v>
      </c>
      <c r="K188" s="52">
        <f>CHOOSE(CONTROL!$C$42, 9.555, 9.555) * CHOOSE(CONTROL!$C$21, $C$9, 100%, $E$9)</f>
        <v>9.5549999999999997</v>
      </c>
      <c r="L188" s="17">
        <f>CHOOSE(CONTROL!$C$42, 10.3692, 10.3692) * CHOOSE(CONTROL!$C$21, $C$9, 100%, $E$9)</f>
        <v>10.369199999999999</v>
      </c>
      <c r="M188" s="17">
        <f>CHOOSE(CONTROL!$C$42, 9.4358, 9.4358) * CHOOSE(CONTROL!$C$21, $C$9, 100%, $E$9)</f>
        <v>9.4358000000000004</v>
      </c>
      <c r="N188" s="17">
        <f>CHOOSE(CONTROL!$C$42, 9.4522, 9.4522) * CHOOSE(CONTROL!$C$21, $C$9, 100%, $E$9)</f>
        <v>9.4521999999999995</v>
      </c>
      <c r="O188" s="17">
        <f>CHOOSE(CONTROL!$C$42, 9.7012, 9.7012) * CHOOSE(CONTROL!$C$21, $C$9, 100%, $E$9)</f>
        <v>9.7012</v>
      </c>
      <c r="P188" s="17">
        <f>CHOOSE(CONTROL!$C$42, 9.4818, 9.4818) * CHOOSE(CONTROL!$C$21, $C$9, 100%, $E$9)</f>
        <v>9.4817999999999998</v>
      </c>
      <c r="Q188" s="17">
        <f>CHOOSE(CONTROL!$C$42, 10.2959, 10.2959) * CHOOSE(CONTROL!$C$21, $C$9, 100%, $E$9)</f>
        <v>10.2959</v>
      </c>
      <c r="R188" s="17">
        <f>CHOOSE(CONTROL!$C$42, 10.9087, 10.9087) * CHOOSE(CONTROL!$C$21, $C$9, 100%, $E$9)</f>
        <v>10.9087</v>
      </c>
      <c r="S188" s="17">
        <f>CHOOSE(CONTROL!$C$42, 9.2105, 9.2105) * CHOOSE(CONTROL!$C$21, $C$9, 100%, $E$9)</f>
        <v>9.2104999999999997</v>
      </c>
      <c r="T18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88" s="56">
        <f>(1000*CHOOSE(CONTROL!$C$42, 695, 695)*CHOOSE(CONTROL!$C$42, 0.5599, 0.5599)*CHOOSE(CONTROL!$C$42, 31, 31))/1000000</f>
        <v>12.063045499999998</v>
      </c>
      <c r="V188" s="56">
        <f>(1000*CHOOSE(CONTROL!$C$42, 500, 500)*CHOOSE(CONTROL!$C$42, 0.275, 0.275)*CHOOSE(CONTROL!$C$42, 31, 31))/1000000</f>
        <v>4.2625000000000002</v>
      </c>
      <c r="W188" s="56">
        <f>(1000*CHOOSE(CONTROL!$C$42, 0.0916, 0.0916)*CHOOSE(CONTROL!$C$42, 121.5, 121.5)*CHOOSE(CONTROL!$C$42, 31, 31))/1000000</f>
        <v>0.34501139999999997</v>
      </c>
      <c r="X188" s="56">
        <f>(31*0.1790888*145000/1000000)+(31*0.2374*100000/1000000)</f>
        <v>1.5409441560000001</v>
      </c>
      <c r="Y188" s="56"/>
      <c r="Z188" s="17"/>
      <c r="AA188" s="55"/>
      <c r="AB188" s="48">
        <f>(B188*194.205+C188*267.466+D188*133.845+E188*153.484+F188*40+G188*85+H188*0+I188*100+J188*300)/(194.205+267.466+133.845+153.484+0+40+85+100+300)</f>
        <v>9.5798008644426993</v>
      </c>
      <c r="AC188" s="45">
        <f>(M188*'RAP TEMPLATE-GAS AVAILABILITY'!O187+N188*'RAP TEMPLATE-GAS AVAILABILITY'!P187+O188*'RAP TEMPLATE-GAS AVAILABILITY'!Q187+P188*'RAP TEMPLATE-GAS AVAILABILITY'!R187)/('RAP TEMPLATE-GAS AVAILABILITY'!O187+'RAP TEMPLATE-GAS AVAILABILITY'!P187+'RAP TEMPLATE-GAS AVAILABILITY'!Q187+'RAP TEMPLATE-GAS AVAILABILITY'!R187)</f>
        <v>9.520658992805755</v>
      </c>
    </row>
    <row r="189" spans="1:29" ht="15.75" x14ac:dyDescent="0.25">
      <c r="A189" s="16">
        <v>46631</v>
      </c>
      <c r="B189" s="17">
        <f>CHOOSE(CONTROL!$C$42, 8.9254, 8.9254) * CHOOSE(CONTROL!$C$21, $C$9, 100%, $E$9)</f>
        <v>8.9253999999999998</v>
      </c>
      <c r="C189" s="17">
        <f>CHOOSE(CONTROL!$C$42, 8.9333, 8.9333) * CHOOSE(CONTROL!$C$21, $C$9, 100%, $E$9)</f>
        <v>8.9332999999999991</v>
      </c>
      <c r="D189" s="17">
        <f>CHOOSE(CONTROL!$C$42, 9.1778, 9.1778) * CHOOSE(CONTROL!$C$21, $C$9, 100%, $E$9)</f>
        <v>9.1777999999999995</v>
      </c>
      <c r="E189" s="17">
        <f>CHOOSE(CONTROL!$C$42, 9.209, 9.209) * CHOOSE(CONTROL!$C$21, $C$9, 100%, $E$9)</f>
        <v>9.2089999999999996</v>
      </c>
      <c r="F189" s="17">
        <f>CHOOSE(CONTROL!$C$42, 8.937, 8.937)*CHOOSE(CONTROL!$C$21, $C$9, 100%, $E$9)</f>
        <v>8.9369999999999994</v>
      </c>
      <c r="G189" s="17">
        <f>CHOOSE(CONTROL!$C$42, 8.9535, 8.9535)*CHOOSE(CONTROL!$C$21, $C$9, 100%, $E$9)</f>
        <v>8.9535</v>
      </c>
      <c r="H189" s="17">
        <f>CHOOSE(CONTROL!$C$42, 9.1973, 9.1973) * CHOOSE(CONTROL!$C$21, $C$9, 100%, $E$9)</f>
        <v>9.1973000000000003</v>
      </c>
      <c r="I189" s="17">
        <f>CHOOSE(CONTROL!$C$42, 8.9743, 8.9743)* CHOOSE(CONTROL!$C$21, $C$9, 100%, $E$9)</f>
        <v>8.9742999999999995</v>
      </c>
      <c r="J189" s="17">
        <f>CHOOSE(CONTROL!$C$42, 8.9296, 8.9296)* CHOOSE(CONTROL!$C$21, $C$9, 100%, $E$9)</f>
        <v>8.9296000000000006</v>
      </c>
      <c r="K189" s="52">
        <f>CHOOSE(CONTROL!$C$42, 8.9683, 8.9683) * CHOOSE(CONTROL!$C$21, $C$9, 100%, $E$9)</f>
        <v>8.9682999999999993</v>
      </c>
      <c r="L189" s="17">
        <f>CHOOSE(CONTROL!$C$42, 9.7843, 9.7843) * CHOOSE(CONTROL!$C$21, $C$9, 100%, $E$9)</f>
        <v>9.7843</v>
      </c>
      <c r="M189" s="17">
        <f>CHOOSE(CONTROL!$C$42, 8.8563, 8.8563) * CHOOSE(CONTROL!$C$21, $C$9, 100%, $E$9)</f>
        <v>8.8562999999999992</v>
      </c>
      <c r="N189" s="17">
        <f>CHOOSE(CONTROL!$C$42, 8.8726, 8.8726) * CHOOSE(CONTROL!$C$21, $C$9, 100%, $E$9)</f>
        <v>8.8726000000000003</v>
      </c>
      <c r="O189" s="17">
        <f>CHOOSE(CONTROL!$C$42, 9.1216, 9.1216) * CHOOSE(CONTROL!$C$21, $C$9, 100%, $E$9)</f>
        <v>9.1216000000000008</v>
      </c>
      <c r="P189" s="17">
        <f>CHOOSE(CONTROL!$C$42, 8.9004, 8.9004) * CHOOSE(CONTROL!$C$21, $C$9, 100%, $E$9)</f>
        <v>8.9003999999999994</v>
      </c>
      <c r="Q189" s="17">
        <f>CHOOSE(CONTROL!$C$42, 9.7163, 9.7163) * CHOOSE(CONTROL!$C$21, $C$9, 100%, $E$9)</f>
        <v>9.7163000000000004</v>
      </c>
      <c r="R189" s="17">
        <f>CHOOSE(CONTROL!$C$42, 10.3276, 10.3276) * CHOOSE(CONTROL!$C$21, $C$9, 100%, $E$9)</f>
        <v>10.3276</v>
      </c>
      <c r="S189" s="17">
        <f>CHOOSE(CONTROL!$C$42, 8.6433, 8.6433) * CHOOSE(CONTROL!$C$21, $C$9, 100%, $E$9)</f>
        <v>8.6433</v>
      </c>
      <c r="T18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89" s="56">
        <f>(1000*CHOOSE(CONTROL!$C$42, 695, 695)*CHOOSE(CONTROL!$C$42, 0.5599, 0.5599)*CHOOSE(CONTROL!$C$42, 30, 30))/1000000</f>
        <v>11.673914999999997</v>
      </c>
      <c r="V189" s="56">
        <f>(1000*CHOOSE(CONTROL!$C$42, 500, 500)*CHOOSE(CONTROL!$C$42, 0.275, 0.275)*CHOOSE(CONTROL!$C$42, 30, 30))/1000000</f>
        <v>4.125</v>
      </c>
      <c r="W189" s="56">
        <f>(1000*CHOOSE(CONTROL!$C$42, 0.0916, 0.0916)*CHOOSE(CONTROL!$C$42, 121.5, 121.5)*CHOOSE(CONTROL!$C$42, 30, 30))/1000000</f>
        <v>0.33388200000000001</v>
      </c>
      <c r="X189" s="56">
        <f>(30*0.1790888*145000/1000000)+(30*0.2374*100000/1000000)</f>
        <v>1.4912362799999999</v>
      </c>
      <c r="Y189" s="56"/>
      <c r="Z189" s="17"/>
      <c r="AA189" s="55"/>
      <c r="AB189" s="48">
        <f>(B189*194.205+C189*267.466+D189*133.845+E189*153.484+F189*40+G189*85+H189*0+I189*100+J189*300)/(194.205+267.466+133.845+153.484+0+40+85+100+300)</f>
        <v>8.9948081803767668</v>
      </c>
      <c r="AC189" s="45">
        <f>(M189*'RAP TEMPLATE-GAS AVAILABILITY'!O188+N189*'RAP TEMPLATE-GAS AVAILABILITY'!P188+O189*'RAP TEMPLATE-GAS AVAILABILITY'!Q188+P189*'RAP TEMPLATE-GAS AVAILABILITY'!R188)/('RAP TEMPLATE-GAS AVAILABILITY'!O188+'RAP TEMPLATE-GAS AVAILABILITY'!P188+'RAP TEMPLATE-GAS AVAILABILITY'!Q188+'RAP TEMPLATE-GAS AVAILABILITY'!R188)</f>
        <v>8.940834532374101</v>
      </c>
    </row>
    <row r="190" spans="1:29" ht="15.75" x14ac:dyDescent="0.25">
      <c r="A190" s="16">
        <v>46661</v>
      </c>
      <c r="B190" s="17">
        <f>CHOOSE(CONTROL!$C$42, 8.7607, 8.7607) * CHOOSE(CONTROL!$C$21, $C$9, 100%, $E$9)</f>
        <v>8.7606999999999999</v>
      </c>
      <c r="C190" s="17">
        <f>CHOOSE(CONTROL!$C$42, 8.766, 8.766) * CHOOSE(CONTROL!$C$21, $C$9, 100%, $E$9)</f>
        <v>8.766</v>
      </c>
      <c r="D190" s="17">
        <f>CHOOSE(CONTROL!$C$42, 9.0153, 9.0153) * CHOOSE(CONTROL!$C$21, $C$9, 100%, $E$9)</f>
        <v>9.0152999999999999</v>
      </c>
      <c r="E190" s="17">
        <f>CHOOSE(CONTROL!$C$42, 9.0442, 9.0442) * CHOOSE(CONTROL!$C$21, $C$9, 100%, $E$9)</f>
        <v>9.0442</v>
      </c>
      <c r="F190" s="17">
        <f>CHOOSE(CONTROL!$C$42, 8.7745, 8.7745)*CHOOSE(CONTROL!$C$21, $C$9, 100%, $E$9)</f>
        <v>8.7744999999999997</v>
      </c>
      <c r="G190" s="17">
        <f>CHOOSE(CONTROL!$C$42, 8.7909, 8.7909)*CHOOSE(CONTROL!$C$21, $C$9, 100%, $E$9)</f>
        <v>8.7909000000000006</v>
      </c>
      <c r="H190" s="17">
        <f>CHOOSE(CONTROL!$C$42, 9.0343, 9.0343) * CHOOSE(CONTROL!$C$21, $C$9, 100%, $E$9)</f>
        <v>9.0343</v>
      </c>
      <c r="I190" s="17">
        <f>CHOOSE(CONTROL!$C$42, 8.8108, 8.8108)* CHOOSE(CONTROL!$C$21, $C$9, 100%, $E$9)</f>
        <v>8.8108000000000004</v>
      </c>
      <c r="J190" s="17">
        <f>CHOOSE(CONTROL!$C$42, 8.7671, 8.7671)* CHOOSE(CONTROL!$C$21, $C$9, 100%, $E$9)</f>
        <v>8.7670999999999992</v>
      </c>
      <c r="K190" s="52">
        <f>CHOOSE(CONTROL!$C$42, 8.8048, 8.8048) * CHOOSE(CONTROL!$C$21, $C$9, 100%, $E$9)</f>
        <v>8.8048000000000002</v>
      </c>
      <c r="L190" s="17">
        <f>CHOOSE(CONTROL!$C$42, 9.6213, 9.6213) * CHOOSE(CONTROL!$C$21, $C$9, 100%, $E$9)</f>
        <v>9.6212999999999997</v>
      </c>
      <c r="M190" s="17">
        <f>CHOOSE(CONTROL!$C$42, 8.6952, 8.6952) * CHOOSE(CONTROL!$C$21, $C$9, 100%, $E$9)</f>
        <v>8.6951999999999998</v>
      </c>
      <c r="N190" s="17">
        <f>CHOOSE(CONTROL!$C$42, 8.7115, 8.7115) * CHOOSE(CONTROL!$C$21, $C$9, 100%, $E$9)</f>
        <v>8.7114999999999991</v>
      </c>
      <c r="O190" s="17">
        <f>CHOOSE(CONTROL!$C$42, 8.9601, 8.9601) * CHOOSE(CONTROL!$C$21, $C$9, 100%, $E$9)</f>
        <v>8.9601000000000006</v>
      </c>
      <c r="P190" s="17">
        <f>CHOOSE(CONTROL!$C$42, 8.7384, 8.7384) * CHOOSE(CONTROL!$C$21, $C$9, 100%, $E$9)</f>
        <v>8.7384000000000004</v>
      </c>
      <c r="Q190" s="17">
        <f>CHOOSE(CONTROL!$C$42, 9.5548, 9.5548) * CHOOSE(CONTROL!$C$21, $C$9, 100%, $E$9)</f>
        <v>9.5548000000000002</v>
      </c>
      <c r="R190" s="17">
        <f>CHOOSE(CONTROL!$C$42, 10.1657, 10.1657) * CHOOSE(CONTROL!$C$21, $C$9, 100%, $E$9)</f>
        <v>10.165699999999999</v>
      </c>
      <c r="S190" s="17">
        <f>CHOOSE(CONTROL!$C$42, 8.4853, 8.4853) * CHOOSE(CONTROL!$C$21, $C$9, 100%, $E$9)</f>
        <v>8.4853000000000005</v>
      </c>
      <c r="T19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90" s="56">
        <f>(1000*CHOOSE(CONTROL!$C$42, 695, 695)*CHOOSE(CONTROL!$C$42, 0.5599, 0.5599)*CHOOSE(CONTROL!$C$42, 31, 31))/1000000</f>
        <v>12.063045499999998</v>
      </c>
      <c r="V190" s="56">
        <f>(1000*CHOOSE(CONTROL!$C$42, 500, 500)*CHOOSE(CONTROL!$C$42, 0.275, 0.275)*CHOOSE(CONTROL!$C$42, 31, 31))/1000000</f>
        <v>4.2625000000000002</v>
      </c>
      <c r="W190" s="56">
        <f>(1000*CHOOSE(CONTROL!$C$42, 0.0916, 0.0916)*CHOOSE(CONTROL!$C$42, 121.5, 121.5)*CHOOSE(CONTROL!$C$42, 31, 31))/1000000</f>
        <v>0.34501139999999997</v>
      </c>
      <c r="X190" s="56">
        <f>(31*0.1790888*145000/1000000)+(31*0.2374*100000/1000000)</f>
        <v>1.5409441560000001</v>
      </c>
      <c r="Y190" s="56"/>
      <c r="Z190" s="17"/>
      <c r="AA190" s="55"/>
      <c r="AB190" s="48">
        <f>(B190*131.881+C190*277.167+D190*79.08+E190*225.872+F190*40+G190*85+H190*0+I190*100+J190*300)/(131.881+277.167+79.08+225.872+0+40+85+100+300)</f>
        <v>8.8379287853914459</v>
      </c>
      <c r="AC190" s="45">
        <f>(M190*'RAP TEMPLATE-GAS AVAILABILITY'!O189+N190*'RAP TEMPLATE-GAS AVAILABILITY'!P189+O190*'RAP TEMPLATE-GAS AVAILABILITY'!Q189+P190*'RAP TEMPLATE-GAS AVAILABILITY'!R189)/('RAP TEMPLATE-GAS AVAILABILITY'!O189+'RAP TEMPLATE-GAS AVAILABILITY'!P189+'RAP TEMPLATE-GAS AVAILABILITY'!Q189+'RAP TEMPLATE-GAS AVAILABILITY'!R189)</f>
        <v>8.779492805755396</v>
      </c>
    </row>
    <row r="191" spans="1:29" ht="15.75" x14ac:dyDescent="0.25">
      <c r="A191" s="16">
        <v>46692</v>
      </c>
      <c r="B191" s="17">
        <f>CHOOSE(CONTROL!$C$42, 9.0093, 9.0093) * CHOOSE(CONTROL!$C$21, $C$9, 100%, $E$9)</f>
        <v>9.0092999999999996</v>
      </c>
      <c r="C191" s="17">
        <f>CHOOSE(CONTROL!$C$42, 9.0143, 9.0143) * CHOOSE(CONTROL!$C$21, $C$9, 100%, $E$9)</f>
        <v>9.0143000000000004</v>
      </c>
      <c r="D191" s="17">
        <f>CHOOSE(CONTROL!$C$42, 9.0957, 9.0957) * CHOOSE(CONTROL!$C$21, $C$9, 100%, $E$9)</f>
        <v>9.0957000000000008</v>
      </c>
      <c r="E191" s="17">
        <f>CHOOSE(CONTROL!$C$42, 9.1295, 9.1295) * CHOOSE(CONTROL!$C$21, $C$9, 100%, $E$9)</f>
        <v>9.1295000000000002</v>
      </c>
      <c r="F191" s="17">
        <f>CHOOSE(CONTROL!$C$42, 9.0272, 9.0272)*CHOOSE(CONTROL!$C$21, $C$9, 100%, $E$9)</f>
        <v>9.0272000000000006</v>
      </c>
      <c r="G191" s="17">
        <f>CHOOSE(CONTROL!$C$42, 9.0439, 9.0439)*CHOOSE(CONTROL!$C$21, $C$9, 100%, $E$9)</f>
        <v>9.0439000000000007</v>
      </c>
      <c r="H191" s="17">
        <f>CHOOSE(CONTROL!$C$42, 9.1183, 9.1183) * CHOOSE(CONTROL!$C$21, $C$9, 100%, $E$9)</f>
        <v>9.1182999999999996</v>
      </c>
      <c r="I191" s="17">
        <f>CHOOSE(CONTROL!$C$42, 9.0622, 9.0622)* CHOOSE(CONTROL!$C$21, $C$9, 100%, $E$9)</f>
        <v>9.0622000000000007</v>
      </c>
      <c r="J191" s="17">
        <f>CHOOSE(CONTROL!$C$42, 9.0198, 9.0198)* CHOOSE(CONTROL!$C$21, $C$9, 100%, $E$9)</f>
        <v>9.0198</v>
      </c>
      <c r="K191" s="52">
        <f>CHOOSE(CONTROL!$C$42, 9.0561, 9.0561) * CHOOSE(CONTROL!$C$21, $C$9, 100%, $E$9)</f>
        <v>9.0561000000000007</v>
      </c>
      <c r="L191" s="17">
        <f>CHOOSE(CONTROL!$C$42, 9.7053, 9.7053) * CHOOSE(CONTROL!$C$21, $C$9, 100%, $E$9)</f>
        <v>9.7052999999999994</v>
      </c>
      <c r="M191" s="17">
        <f>CHOOSE(CONTROL!$C$42, 8.9457, 8.9457) * CHOOSE(CONTROL!$C$21, $C$9, 100%, $E$9)</f>
        <v>8.9457000000000004</v>
      </c>
      <c r="N191" s="17">
        <f>CHOOSE(CONTROL!$C$42, 8.9623, 8.9623) * CHOOSE(CONTROL!$C$21, $C$9, 100%, $E$9)</f>
        <v>8.9623000000000008</v>
      </c>
      <c r="O191" s="17">
        <f>CHOOSE(CONTROL!$C$42, 9.0433, 9.0433) * CHOOSE(CONTROL!$C$21, $C$9, 100%, $E$9)</f>
        <v>9.0433000000000003</v>
      </c>
      <c r="P191" s="17">
        <f>CHOOSE(CONTROL!$C$42, 8.9875, 8.9875) * CHOOSE(CONTROL!$C$21, $C$9, 100%, $E$9)</f>
        <v>8.9875000000000007</v>
      </c>
      <c r="Q191" s="17">
        <f>CHOOSE(CONTROL!$C$42, 9.638, 9.638) * CHOOSE(CONTROL!$C$21, $C$9, 100%, $E$9)</f>
        <v>9.6379999999999999</v>
      </c>
      <c r="R191" s="17">
        <f>CHOOSE(CONTROL!$C$42, 10.2491, 10.2491) * CHOOSE(CONTROL!$C$21, $C$9, 100%, $E$9)</f>
        <v>10.2491</v>
      </c>
      <c r="S191" s="17">
        <f>CHOOSE(CONTROL!$C$42, 8.7268, 8.7268) * CHOOSE(CONTROL!$C$21, $C$9, 100%, $E$9)</f>
        <v>8.7268000000000008</v>
      </c>
      <c r="T19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91" s="56">
        <f>(1000*CHOOSE(CONTROL!$C$42, 695, 695)*CHOOSE(CONTROL!$C$42, 0.5599, 0.5599)*CHOOSE(CONTROL!$C$42, 30, 30))/1000000</f>
        <v>11.673914999999997</v>
      </c>
      <c r="V191" s="56">
        <f>(1000*CHOOSE(CONTROL!$C$42, 500, 500)*CHOOSE(CONTROL!$C$42, 0.275, 0.275)*CHOOSE(CONTROL!$C$42, 30, 30))/1000000</f>
        <v>4.125</v>
      </c>
      <c r="W191" s="56">
        <f>(1000*CHOOSE(CONTROL!$C$42, 0.0916, 0.0916)*CHOOSE(CONTROL!$C$42, 121.5, 121.5)*CHOOSE(CONTROL!$C$42, 30, 30))/1000000</f>
        <v>0.33388200000000001</v>
      </c>
      <c r="X191" s="56">
        <f>(30*0.2374*100000/1000000)</f>
        <v>0.71220000000000006</v>
      </c>
      <c r="Y191" s="56"/>
      <c r="Z191" s="17"/>
      <c r="AA191" s="55"/>
      <c r="AB191" s="48">
        <f>(B191*122.58+C191*297.941+D191*89.177+E191*140.302+F191*40+G191*60+H191*0+I191*100+J191*300)/(122.58+297.941+89.177+140.302+0+40+60+100+300)</f>
        <v>9.0417268679999996</v>
      </c>
      <c r="AC191" s="45">
        <f>(M191*'RAP TEMPLATE-GAS AVAILABILITY'!O190+N191*'RAP TEMPLATE-GAS AVAILABILITY'!P190+O191*'RAP TEMPLATE-GAS AVAILABILITY'!Q190+P191*'RAP TEMPLATE-GAS AVAILABILITY'!R190)/('RAP TEMPLATE-GAS AVAILABILITY'!O190+'RAP TEMPLATE-GAS AVAILABILITY'!P190+'RAP TEMPLATE-GAS AVAILABILITY'!Q190+'RAP TEMPLATE-GAS AVAILABILITY'!R190)</f>
        <v>8.9969057553956837</v>
      </c>
    </row>
    <row r="192" spans="1:29" ht="15.75" x14ac:dyDescent="0.25">
      <c r="A192" s="16">
        <v>46722</v>
      </c>
      <c r="B192" s="17">
        <f>CHOOSE(CONTROL!$C$42, 9.6426, 9.6426) * CHOOSE(CONTROL!$C$21, $C$9, 100%, $E$9)</f>
        <v>9.6425999999999998</v>
      </c>
      <c r="C192" s="17">
        <f>CHOOSE(CONTROL!$C$42, 9.6477, 9.6477) * CHOOSE(CONTROL!$C$21, $C$9, 100%, $E$9)</f>
        <v>9.6477000000000004</v>
      </c>
      <c r="D192" s="17">
        <f>CHOOSE(CONTROL!$C$42, 9.729, 9.729) * CHOOSE(CONTROL!$C$21, $C$9, 100%, $E$9)</f>
        <v>9.7289999999999992</v>
      </c>
      <c r="E192" s="17">
        <f>CHOOSE(CONTROL!$C$42, 9.7628, 9.7628) * CHOOSE(CONTROL!$C$21, $C$9, 100%, $E$9)</f>
        <v>9.7628000000000004</v>
      </c>
      <c r="F192" s="17">
        <f>CHOOSE(CONTROL!$C$42, 9.6629, 9.6629)*CHOOSE(CONTROL!$C$21, $C$9, 100%, $E$9)</f>
        <v>9.6629000000000005</v>
      </c>
      <c r="G192" s="17">
        <f>CHOOSE(CONTROL!$C$42, 9.6803, 9.6803)*CHOOSE(CONTROL!$C$21, $C$9, 100%, $E$9)</f>
        <v>9.6803000000000008</v>
      </c>
      <c r="H192" s="17">
        <f>CHOOSE(CONTROL!$C$42, 9.7517, 9.7517) * CHOOSE(CONTROL!$C$21, $C$9, 100%, $E$9)</f>
        <v>9.7516999999999996</v>
      </c>
      <c r="I192" s="17">
        <f>CHOOSE(CONTROL!$C$42, 9.6975, 9.6975)* CHOOSE(CONTROL!$C$21, $C$9, 100%, $E$9)</f>
        <v>9.6974999999999998</v>
      </c>
      <c r="J192" s="17">
        <f>CHOOSE(CONTROL!$C$42, 9.6555, 9.6555)* CHOOSE(CONTROL!$C$21, $C$9, 100%, $E$9)</f>
        <v>9.6555</v>
      </c>
      <c r="K192" s="52">
        <f>CHOOSE(CONTROL!$C$42, 9.6914, 9.6914) * CHOOSE(CONTROL!$C$21, $C$9, 100%, $E$9)</f>
        <v>9.6913999999999998</v>
      </c>
      <c r="L192" s="17">
        <f>CHOOSE(CONTROL!$C$42, 10.3387, 10.3387) * CHOOSE(CONTROL!$C$21, $C$9, 100%, $E$9)</f>
        <v>10.338699999999999</v>
      </c>
      <c r="M192" s="17">
        <f>CHOOSE(CONTROL!$C$42, 9.5757, 9.5757) * CHOOSE(CONTROL!$C$21, $C$9, 100%, $E$9)</f>
        <v>9.5756999999999994</v>
      </c>
      <c r="N192" s="17">
        <f>CHOOSE(CONTROL!$C$42, 9.5929, 9.5929) * CHOOSE(CONTROL!$C$21, $C$9, 100%, $E$9)</f>
        <v>9.5929000000000002</v>
      </c>
      <c r="O192" s="17">
        <f>CHOOSE(CONTROL!$C$42, 9.671, 9.671) * CHOOSE(CONTROL!$C$21, $C$9, 100%, $E$9)</f>
        <v>9.6709999999999994</v>
      </c>
      <c r="P192" s="17">
        <f>CHOOSE(CONTROL!$C$42, 9.617, 9.617) * CHOOSE(CONTROL!$C$21, $C$9, 100%, $E$9)</f>
        <v>9.6170000000000009</v>
      </c>
      <c r="Q192" s="17">
        <f>CHOOSE(CONTROL!$C$42, 10.2657, 10.2657) * CHOOSE(CONTROL!$C$21, $C$9, 100%, $E$9)</f>
        <v>10.265700000000001</v>
      </c>
      <c r="R192" s="17">
        <f>CHOOSE(CONTROL!$C$42, 10.8783, 10.8783) * CHOOSE(CONTROL!$C$21, $C$9, 100%, $E$9)</f>
        <v>10.878299999999999</v>
      </c>
      <c r="S192" s="17">
        <f>CHOOSE(CONTROL!$C$42, 9.3409, 9.3409) * CHOOSE(CONTROL!$C$21, $C$9, 100%, $E$9)</f>
        <v>9.3408999999999995</v>
      </c>
      <c r="T19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92" s="56">
        <f>(1000*CHOOSE(CONTROL!$C$42, 695, 695)*CHOOSE(CONTROL!$C$42, 0.5599, 0.5599)*CHOOSE(CONTROL!$C$42, 31, 31))/1000000</f>
        <v>12.063045499999998</v>
      </c>
      <c r="V192" s="56">
        <f>(1000*CHOOSE(CONTROL!$C$42, 500, 500)*CHOOSE(CONTROL!$C$42, 0.275, 0.275)*CHOOSE(CONTROL!$C$42, 31, 31))/1000000</f>
        <v>4.2625000000000002</v>
      </c>
      <c r="W192" s="56">
        <f>(1000*CHOOSE(CONTROL!$C$42, 0.0916, 0.0916)*CHOOSE(CONTROL!$C$42, 121.5, 121.5)*CHOOSE(CONTROL!$C$42, 31, 31))/1000000</f>
        <v>0.34501139999999997</v>
      </c>
      <c r="X192" s="56">
        <f>(31*0.2374*100000/1000000)</f>
        <v>0.73594000000000004</v>
      </c>
      <c r="Y192" s="56"/>
      <c r="Z192" s="17"/>
      <c r="AA192" s="55"/>
      <c r="AB192" s="48">
        <f>(B192*122.58+C192*297.941+D192*89.177+E192*140.302+F192*40+G192*60+H192*0+I192*100+J192*300)/(122.58+297.941+89.177+140.302+0+40+60+100+300)</f>
        <v>9.6760979933043476</v>
      </c>
      <c r="AC192" s="45">
        <f>(M192*'RAP TEMPLATE-GAS AVAILABILITY'!O191+N192*'RAP TEMPLATE-GAS AVAILABILITY'!P191+O192*'RAP TEMPLATE-GAS AVAILABILITY'!Q191+P192*'RAP TEMPLATE-GAS AVAILABILITY'!R191)/('RAP TEMPLATE-GAS AVAILABILITY'!O191+'RAP TEMPLATE-GAS AVAILABILITY'!P191+'RAP TEMPLATE-GAS AVAILABILITY'!Q191+'RAP TEMPLATE-GAS AVAILABILITY'!R191)</f>
        <v>9.6258258992805743</v>
      </c>
    </row>
    <row r="193" spans="1:29" ht="15.75" x14ac:dyDescent="0.25">
      <c r="A193" s="16">
        <v>46753</v>
      </c>
      <c r="B193" s="17">
        <f>CHOOSE(CONTROL!$C$42, 10.1542, 10.1542) * CHOOSE(CONTROL!$C$21, $C$9, 100%, $E$9)</f>
        <v>10.154199999999999</v>
      </c>
      <c r="C193" s="17">
        <f>CHOOSE(CONTROL!$C$42, 10.1593, 10.1593) * CHOOSE(CONTROL!$C$21, $C$9, 100%, $E$9)</f>
        <v>10.1593</v>
      </c>
      <c r="D193" s="17">
        <f>CHOOSE(CONTROL!$C$42, 10.2561, 10.2561) * CHOOSE(CONTROL!$C$21, $C$9, 100%, $E$9)</f>
        <v>10.2561</v>
      </c>
      <c r="E193" s="17">
        <f>CHOOSE(CONTROL!$C$42, 10.2899, 10.2899) * CHOOSE(CONTROL!$C$21, $C$9, 100%, $E$9)</f>
        <v>10.289899999999999</v>
      </c>
      <c r="F193" s="17">
        <f>CHOOSE(CONTROL!$C$42, 10.1685, 10.1685)*CHOOSE(CONTROL!$C$21, $C$9, 100%, $E$9)</f>
        <v>10.1685</v>
      </c>
      <c r="G193" s="17">
        <f>CHOOSE(CONTROL!$C$42, 10.1849, 10.1849)*CHOOSE(CONTROL!$C$21, $C$9, 100%, $E$9)</f>
        <v>10.184900000000001</v>
      </c>
      <c r="H193" s="17">
        <f>CHOOSE(CONTROL!$C$42, 10.2787, 10.2787) * CHOOSE(CONTROL!$C$21, $C$9, 100%, $E$9)</f>
        <v>10.278700000000001</v>
      </c>
      <c r="I193" s="17">
        <f>CHOOSE(CONTROL!$C$42, 10.2107, 10.2107)* CHOOSE(CONTROL!$C$21, $C$9, 100%, $E$9)</f>
        <v>10.210699999999999</v>
      </c>
      <c r="J193" s="17">
        <f>CHOOSE(CONTROL!$C$42, 10.1611, 10.1611)* CHOOSE(CONTROL!$C$21, $C$9, 100%, $E$9)</f>
        <v>10.161099999999999</v>
      </c>
      <c r="K193" s="52">
        <f>CHOOSE(CONTROL!$C$42, 10.2046, 10.2046) * CHOOSE(CONTROL!$C$21, $C$9, 100%, $E$9)</f>
        <v>10.204599999999999</v>
      </c>
      <c r="L193" s="17">
        <f>CHOOSE(CONTROL!$C$42, 10.8657, 10.8657) * CHOOSE(CONTROL!$C$21, $C$9, 100%, $E$9)</f>
        <v>10.8657</v>
      </c>
      <c r="M193" s="17">
        <f>CHOOSE(CONTROL!$C$42, 10.0767, 10.0767) * CHOOSE(CONTROL!$C$21, $C$9, 100%, $E$9)</f>
        <v>10.076700000000001</v>
      </c>
      <c r="N193" s="17">
        <f>CHOOSE(CONTROL!$C$42, 10.093, 10.093) * CHOOSE(CONTROL!$C$21, $C$9, 100%, $E$9)</f>
        <v>10.093</v>
      </c>
      <c r="O193" s="17">
        <f>CHOOSE(CONTROL!$C$42, 10.1933, 10.1933) * CHOOSE(CONTROL!$C$21, $C$9, 100%, $E$9)</f>
        <v>10.193300000000001</v>
      </c>
      <c r="P193" s="17">
        <f>CHOOSE(CONTROL!$C$42, 10.1256, 10.1256) * CHOOSE(CONTROL!$C$21, $C$9, 100%, $E$9)</f>
        <v>10.1256</v>
      </c>
      <c r="Q193" s="17">
        <f>CHOOSE(CONTROL!$C$42, 10.788, 10.788) * CHOOSE(CONTROL!$C$21, $C$9, 100%, $E$9)</f>
        <v>10.788</v>
      </c>
      <c r="R193" s="17">
        <f>CHOOSE(CONTROL!$C$42, 11.402, 11.402) * CHOOSE(CONTROL!$C$21, $C$9, 100%, $E$9)</f>
        <v>11.401999999999999</v>
      </c>
      <c r="S193" s="17">
        <f>CHOOSE(CONTROL!$C$42, 9.837, 9.837) * CHOOSE(CONTROL!$C$21, $C$9, 100%, $E$9)</f>
        <v>9.8369999999999997</v>
      </c>
      <c r="T19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93" s="56">
        <f>(1000*CHOOSE(CONTROL!$C$42, 695, 695)*CHOOSE(CONTROL!$C$42, 0.5599, 0.5599)*CHOOSE(CONTROL!$C$42, 31, 31))/1000000</f>
        <v>12.063045499999998</v>
      </c>
      <c r="V193" s="56">
        <f>(1000*CHOOSE(CONTROL!$C$42, 500, 500)*CHOOSE(CONTROL!$C$42, 0.275, 0.275)*CHOOSE(CONTROL!$C$42, 31, 31))/1000000</f>
        <v>4.2625000000000002</v>
      </c>
      <c r="W193" s="56">
        <f>(1000*CHOOSE(CONTROL!$C$42, 0.0916, 0.0916)*CHOOSE(CONTROL!$C$42, 121.5, 121.5)*CHOOSE(CONTROL!$C$42, 31, 31))/1000000</f>
        <v>0.34501139999999997</v>
      </c>
      <c r="X193" s="56">
        <f>(31*0.2374*100000/1000000)</f>
        <v>0.73594000000000004</v>
      </c>
      <c r="Y193" s="56"/>
      <c r="Z193" s="17"/>
      <c r="AA193" s="55"/>
      <c r="AB193" s="48">
        <f>(B193*122.58+C193*297.941+D193*89.177+E193*140.302+F193*40+G193*60+H193*0+I193*100+J193*300)/(122.58+297.941+89.177+140.302+0+40+60+100+300)</f>
        <v>10.188790971130436</v>
      </c>
      <c r="AC193" s="45">
        <f>(M193*'RAP TEMPLATE-GAS AVAILABILITY'!O192+N193*'RAP TEMPLATE-GAS AVAILABILITY'!P192+O193*'RAP TEMPLATE-GAS AVAILABILITY'!Q192+P193*'RAP TEMPLATE-GAS AVAILABILITY'!R192)/('RAP TEMPLATE-GAS AVAILABILITY'!O192+'RAP TEMPLATE-GAS AVAILABILITY'!P192+'RAP TEMPLATE-GAS AVAILABILITY'!Q192+'RAP TEMPLATE-GAS AVAILABILITY'!R192)</f>
        <v>10.137521582733815</v>
      </c>
    </row>
    <row r="194" spans="1:29" ht="15.75" x14ac:dyDescent="0.25">
      <c r="A194" s="16">
        <v>46784</v>
      </c>
      <c r="B194" s="17">
        <f>CHOOSE(CONTROL!$C$42, 10.356, 10.356) * CHOOSE(CONTROL!$C$21, $C$9, 100%, $E$9)</f>
        <v>10.356</v>
      </c>
      <c r="C194" s="17">
        <f>CHOOSE(CONTROL!$C$42, 10.3611, 10.3611) * CHOOSE(CONTROL!$C$21, $C$9, 100%, $E$9)</f>
        <v>10.3611</v>
      </c>
      <c r="D194" s="17">
        <f>CHOOSE(CONTROL!$C$42, 10.4579, 10.4579) * CHOOSE(CONTROL!$C$21, $C$9, 100%, $E$9)</f>
        <v>10.4579</v>
      </c>
      <c r="E194" s="17">
        <f>CHOOSE(CONTROL!$C$42, 10.4917, 10.4917) * CHOOSE(CONTROL!$C$21, $C$9, 100%, $E$9)</f>
        <v>10.4917</v>
      </c>
      <c r="F194" s="17">
        <f>CHOOSE(CONTROL!$C$42, 10.3703, 10.3703)*CHOOSE(CONTROL!$C$21, $C$9, 100%, $E$9)</f>
        <v>10.3703</v>
      </c>
      <c r="G194" s="17">
        <f>CHOOSE(CONTROL!$C$42, 10.3867, 10.3867)*CHOOSE(CONTROL!$C$21, $C$9, 100%, $E$9)</f>
        <v>10.386699999999999</v>
      </c>
      <c r="H194" s="17">
        <f>CHOOSE(CONTROL!$C$42, 10.4806, 10.4806) * CHOOSE(CONTROL!$C$21, $C$9, 100%, $E$9)</f>
        <v>10.480600000000001</v>
      </c>
      <c r="I194" s="17">
        <f>CHOOSE(CONTROL!$C$42, 10.4131, 10.4131)* CHOOSE(CONTROL!$C$21, $C$9, 100%, $E$9)</f>
        <v>10.4131</v>
      </c>
      <c r="J194" s="17">
        <f>CHOOSE(CONTROL!$C$42, 10.3629, 10.3629)* CHOOSE(CONTROL!$C$21, $C$9, 100%, $E$9)</f>
        <v>10.3629</v>
      </c>
      <c r="K194" s="52">
        <f>CHOOSE(CONTROL!$C$42, 10.4071, 10.4071) * CHOOSE(CONTROL!$C$21, $C$9, 100%, $E$9)</f>
        <v>10.4071</v>
      </c>
      <c r="L194" s="17">
        <f>CHOOSE(CONTROL!$C$42, 11.0676, 11.0676) * CHOOSE(CONTROL!$C$21, $C$9, 100%, $E$9)</f>
        <v>11.067600000000001</v>
      </c>
      <c r="M194" s="17">
        <f>CHOOSE(CONTROL!$C$42, 10.2767, 10.2767) * CHOOSE(CONTROL!$C$21, $C$9, 100%, $E$9)</f>
        <v>10.2767</v>
      </c>
      <c r="N194" s="17">
        <f>CHOOSE(CONTROL!$C$42, 10.293, 10.293) * CHOOSE(CONTROL!$C$21, $C$9, 100%, $E$9)</f>
        <v>10.292999999999999</v>
      </c>
      <c r="O194" s="17">
        <f>CHOOSE(CONTROL!$C$42, 10.3933, 10.3933) * CHOOSE(CONTROL!$C$21, $C$9, 100%, $E$9)</f>
        <v>10.3933</v>
      </c>
      <c r="P194" s="17">
        <f>CHOOSE(CONTROL!$C$42, 10.3262, 10.3262) * CHOOSE(CONTROL!$C$21, $C$9, 100%, $E$9)</f>
        <v>10.3262</v>
      </c>
      <c r="Q194" s="17">
        <f>CHOOSE(CONTROL!$C$42, 10.988, 10.988) * CHOOSE(CONTROL!$C$21, $C$9, 100%, $E$9)</f>
        <v>10.988</v>
      </c>
      <c r="R194" s="17">
        <f>CHOOSE(CONTROL!$C$42, 11.6025, 11.6025) * CHOOSE(CONTROL!$C$21, $C$9, 100%, $E$9)</f>
        <v>11.602499999999999</v>
      </c>
      <c r="S194" s="17">
        <f>CHOOSE(CONTROL!$C$42, 10.0327, 10.0327) * CHOOSE(CONTROL!$C$21, $C$9, 100%, $E$9)</f>
        <v>10.0327</v>
      </c>
      <c r="T194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194" s="56">
        <f>(1000*CHOOSE(CONTROL!$C$42, 695, 695)*CHOOSE(CONTROL!$C$42, 0.5599, 0.5599)*CHOOSE(CONTROL!$C$42, 29, 29))/1000000</f>
        <v>11.284784499999999</v>
      </c>
      <c r="V194" s="56">
        <f>(1000*CHOOSE(CONTROL!$C$42, 500, 500)*CHOOSE(CONTROL!$C$42, 0.275, 0.275)*CHOOSE(CONTROL!$C$42, 29, 29))/1000000</f>
        <v>3.9874999999999998</v>
      </c>
      <c r="W194" s="56">
        <f>(1000*CHOOSE(CONTROL!$C$42, 0.0916, 0.0916)*CHOOSE(CONTROL!$C$42, 121.5, 121.5)*CHOOSE(CONTROL!$C$42, 29, 29))/1000000</f>
        <v>0.3227526</v>
      </c>
      <c r="X194" s="56">
        <f>(29*0.2374*100000/1000000)</f>
        <v>0.68845999999999996</v>
      </c>
      <c r="Y194" s="56"/>
      <c r="Z194" s="17"/>
      <c r="AA194" s="55"/>
      <c r="AB194" s="48">
        <f>(B194*122.58+C194*297.941+D194*89.177+E194*140.302+F194*40+G194*60+H194*0+I194*100+J194*300)/(122.58+297.941+89.177+140.302+0+40+60+100+300)</f>
        <v>10.39064314504348</v>
      </c>
      <c r="AC194" s="45">
        <f>(M194*'RAP TEMPLATE-GAS AVAILABILITY'!O193+N194*'RAP TEMPLATE-GAS AVAILABILITY'!P193+O194*'RAP TEMPLATE-GAS AVAILABILITY'!Q193+P194*'RAP TEMPLATE-GAS AVAILABILITY'!R193)/('RAP TEMPLATE-GAS AVAILABILITY'!O193+'RAP TEMPLATE-GAS AVAILABILITY'!P193+'RAP TEMPLATE-GAS AVAILABILITY'!Q193+'RAP TEMPLATE-GAS AVAILABILITY'!R193)</f>
        <v>10.337607913669064</v>
      </c>
    </row>
    <row r="195" spans="1:29" ht="15.75" x14ac:dyDescent="0.25">
      <c r="A195" s="16">
        <v>46813</v>
      </c>
      <c r="B195" s="17">
        <f>CHOOSE(CONTROL!$C$42, 10.083, 10.083) * CHOOSE(CONTROL!$C$21, $C$9, 100%, $E$9)</f>
        <v>10.083</v>
      </c>
      <c r="C195" s="17">
        <f>CHOOSE(CONTROL!$C$42, 10.0881, 10.0881) * CHOOSE(CONTROL!$C$21, $C$9, 100%, $E$9)</f>
        <v>10.088100000000001</v>
      </c>
      <c r="D195" s="17">
        <f>CHOOSE(CONTROL!$C$42, 10.1849, 10.1849) * CHOOSE(CONTROL!$C$21, $C$9, 100%, $E$9)</f>
        <v>10.184900000000001</v>
      </c>
      <c r="E195" s="17">
        <f>CHOOSE(CONTROL!$C$42, 10.2187, 10.2187) * CHOOSE(CONTROL!$C$21, $C$9, 100%, $E$9)</f>
        <v>10.2187</v>
      </c>
      <c r="F195" s="17">
        <f>CHOOSE(CONTROL!$C$42, 10.0966, 10.0966)*CHOOSE(CONTROL!$C$21, $C$9, 100%, $E$9)</f>
        <v>10.0966</v>
      </c>
      <c r="G195" s="17">
        <f>CHOOSE(CONTROL!$C$42, 10.1129, 10.1129)*CHOOSE(CONTROL!$C$21, $C$9, 100%, $E$9)</f>
        <v>10.1129</v>
      </c>
      <c r="H195" s="17">
        <f>CHOOSE(CONTROL!$C$42, 10.2076, 10.2076) * CHOOSE(CONTROL!$C$21, $C$9, 100%, $E$9)</f>
        <v>10.207599999999999</v>
      </c>
      <c r="I195" s="17">
        <f>CHOOSE(CONTROL!$C$42, 10.1393, 10.1393)* CHOOSE(CONTROL!$C$21, $C$9, 100%, $E$9)</f>
        <v>10.1393</v>
      </c>
      <c r="J195" s="17">
        <f>CHOOSE(CONTROL!$C$42, 10.0892, 10.0892)* CHOOSE(CONTROL!$C$21, $C$9, 100%, $E$9)</f>
        <v>10.0892</v>
      </c>
      <c r="K195" s="52">
        <f>CHOOSE(CONTROL!$C$42, 10.1332, 10.1332) * CHOOSE(CONTROL!$C$21, $C$9, 100%, $E$9)</f>
        <v>10.1332</v>
      </c>
      <c r="L195" s="17">
        <f>CHOOSE(CONTROL!$C$42, 10.7946, 10.7946) * CHOOSE(CONTROL!$C$21, $C$9, 100%, $E$9)</f>
        <v>10.794600000000001</v>
      </c>
      <c r="M195" s="17">
        <f>CHOOSE(CONTROL!$C$42, 10.0055, 10.0055) * CHOOSE(CONTROL!$C$21, $C$9, 100%, $E$9)</f>
        <v>10.0055</v>
      </c>
      <c r="N195" s="17">
        <f>CHOOSE(CONTROL!$C$42, 10.0216, 10.0216) * CHOOSE(CONTROL!$C$21, $C$9, 100%, $E$9)</f>
        <v>10.021599999999999</v>
      </c>
      <c r="O195" s="17">
        <f>CHOOSE(CONTROL!$C$42, 10.1228, 10.1228) * CHOOSE(CONTROL!$C$21, $C$9, 100%, $E$9)</f>
        <v>10.1228</v>
      </c>
      <c r="P195" s="17">
        <f>CHOOSE(CONTROL!$C$42, 10.0548, 10.0548) * CHOOSE(CONTROL!$C$21, $C$9, 100%, $E$9)</f>
        <v>10.0548</v>
      </c>
      <c r="Q195" s="17">
        <f>CHOOSE(CONTROL!$C$42, 10.7175, 10.7175) * CHOOSE(CONTROL!$C$21, $C$9, 100%, $E$9)</f>
        <v>10.717499999999999</v>
      </c>
      <c r="R195" s="17">
        <f>CHOOSE(CONTROL!$C$42, 11.3313, 11.3313) * CHOOSE(CONTROL!$C$21, $C$9, 100%, $E$9)</f>
        <v>11.331300000000001</v>
      </c>
      <c r="S195" s="17">
        <f>CHOOSE(CONTROL!$C$42, 9.768, 9.768) * CHOOSE(CONTROL!$C$21, $C$9, 100%, $E$9)</f>
        <v>9.7680000000000007</v>
      </c>
      <c r="T19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95" s="56">
        <f>(1000*CHOOSE(CONTROL!$C$42, 695, 695)*CHOOSE(CONTROL!$C$42, 0.5599, 0.5599)*CHOOSE(CONTROL!$C$42, 31, 31))/1000000</f>
        <v>12.063045499999998</v>
      </c>
      <c r="V195" s="56">
        <f>(1000*CHOOSE(CONTROL!$C$42, 500, 500)*CHOOSE(CONTROL!$C$42, 0.275, 0.275)*CHOOSE(CONTROL!$C$42, 31, 31))/1000000</f>
        <v>4.2625000000000002</v>
      </c>
      <c r="W195" s="56">
        <f>(1000*CHOOSE(CONTROL!$C$42, 0.0916, 0.0916)*CHOOSE(CONTROL!$C$42, 121.5, 121.5)*CHOOSE(CONTROL!$C$42, 31, 31))/1000000</f>
        <v>0.34501139999999997</v>
      </c>
      <c r="X195" s="56">
        <f>(31*0.2374*100000/1000000)</f>
        <v>0.73594000000000004</v>
      </c>
      <c r="Y195" s="56"/>
      <c r="Z195" s="17"/>
      <c r="AA195" s="55"/>
      <c r="AB195" s="48">
        <f>(B195*122.58+C195*297.941+D195*89.177+E195*140.302+F195*40+G195*60+H195*0+I195*100+J195*300)/(122.58+297.941+89.177+140.302+0+40+60+100+300)</f>
        <v>10.117324884173913</v>
      </c>
      <c r="AC195" s="45">
        <f>(M195*'RAP TEMPLATE-GAS AVAILABILITY'!O194+N195*'RAP TEMPLATE-GAS AVAILABILITY'!P194+O195*'RAP TEMPLATE-GAS AVAILABILITY'!Q194+P195*'RAP TEMPLATE-GAS AVAILABILITY'!R194)/('RAP TEMPLATE-GAS AVAILABILITY'!O194+'RAP TEMPLATE-GAS AVAILABILITY'!P194+'RAP TEMPLATE-GAS AVAILABILITY'!Q194+'RAP TEMPLATE-GAS AVAILABILITY'!R194)</f>
        <v>10.066684892086331</v>
      </c>
    </row>
    <row r="196" spans="1:29" ht="15.75" x14ac:dyDescent="0.25">
      <c r="A196" s="16">
        <v>46844</v>
      </c>
      <c r="B196" s="17">
        <f>CHOOSE(CONTROL!$C$42, 10.0745, 10.0745) * CHOOSE(CONTROL!$C$21, $C$9, 100%, $E$9)</f>
        <v>10.0745</v>
      </c>
      <c r="C196" s="17">
        <f>CHOOSE(CONTROL!$C$42, 10.0791, 10.0791) * CHOOSE(CONTROL!$C$21, $C$9, 100%, $E$9)</f>
        <v>10.0791</v>
      </c>
      <c r="D196" s="17">
        <f>CHOOSE(CONTROL!$C$42, 10.3266, 10.3266) * CHOOSE(CONTROL!$C$21, $C$9, 100%, $E$9)</f>
        <v>10.326599999999999</v>
      </c>
      <c r="E196" s="17">
        <f>CHOOSE(CONTROL!$C$42, 10.3584, 10.3584) * CHOOSE(CONTROL!$C$21, $C$9, 100%, $E$9)</f>
        <v>10.3584</v>
      </c>
      <c r="F196" s="17">
        <f>CHOOSE(CONTROL!$C$42, 10.0862, 10.0862)*CHOOSE(CONTROL!$C$21, $C$9, 100%, $E$9)</f>
        <v>10.0862</v>
      </c>
      <c r="G196" s="17">
        <f>CHOOSE(CONTROL!$C$42, 10.1021, 10.1021)*CHOOSE(CONTROL!$C$21, $C$9, 100%, $E$9)</f>
        <v>10.1021</v>
      </c>
      <c r="H196" s="17">
        <f>CHOOSE(CONTROL!$C$42, 10.3479, 10.3479) * CHOOSE(CONTROL!$C$21, $C$9, 100%, $E$9)</f>
        <v>10.347899999999999</v>
      </c>
      <c r="I196" s="17">
        <f>CHOOSE(CONTROL!$C$42, 10.1284, 10.1284)* CHOOSE(CONTROL!$C$21, $C$9, 100%, $E$9)</f>
        <v>10.128399999999999</v>
      </c>
      <c r="J196" s="17">
        <f>CHOOSE(CONTROL!$C$42, 10.0788, 10.0788)* CHOOSE(CONTROL!$C$21, $C$9, 100%, $E$9)</f>
        <v>10.078799999999999</v>
      </c>
      <c r="K196" s="52">
        <f>CHOOSE(CONTROL!$C$42, 10.1224, 10.1224) * CHOOSE(CONTROL!$C$21, $C$9, 100%, $E$9)</f>
        <v>10.122400000000001</v>
      </c>
      <c r="L196" s="17">
        <f>CHOOSE(CONTROL!$C$42, 10.9349, 10.9349) * CHOOSE(CONTROL!$C$21, $C$9, 100%, $E$9)</f>
        <v>10.934900000000001</v>
      </c>
      <c r="M196" s="17">
        <f>CHOOSE(CONTROL!$C$42, 9.9951, 9.9951) * CHOOSE(CONTROL!$C$21, $C$9, 100%, $E$9)</f>
        <v>9.9951000000000008</v>
      </c>
      <c r="N196" s="17">
        <f>CHOOSE(CONTROL!$C$42, 10.0109, 10.0109) * CHOOSE(CONTROL!$C$21, $C$9, 100%, $E$9)</f>
        <v>10.010899999999999</v>
      </c>
      <c r="O196" s="17">
        <f>CHOOSE(CONTROL!$C$42, 10.2618, 10.2618) * CHOOSE(CONTROL!$C$21, $C$9, 100%, $E$9)</f>
        <v>10.261799999999999</v>
      </c>
      <c r="P196" s="17">
        <f>CHOOSE(CONTROL!$C$42, 10.0441, 10.0441) * CHOOSE(CONTROL!$C$21, $C$9, 100%, $E$9)</f>
        <v>10.0441</v>
      </c>
      <c r="Q196" s="17">
        <f>CHOOSE(CONTROL!$C$42, 10.8565, 10.8565) * CHOOSE(CONTROL!$C$21, $C$9, 100%, $E$9)</f>
        <v>10.8565</v>
      </c>
      <c r="R196" s="17">
        <f>CHOOSE(CONTROL!$C$42, 11.4706, 11.4706) * CHOOSE(CONTROL!$C$21, $C$9, 100%, $E$9)</f>
        <v>11.470599999999999</v>
      </c>
      <c r="S196" s="17">
        <f>CHOOSE(CONTROL!$C$42, 9.759, 9.759) * CHOOSE(CONTROL!$C$21, $C$9, 100%, $E$9)</f>
        <v>9.7590000000000003</v>
      </c>
      <c r="T19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96" s="56">
        <f>(1000*CHOOSE(CONTROL!$C$42, 695, 695)*CHOOSE(CONTROL!$C$42, 0.5599, 0.5599)*CHOOSE(CONTROL!$C$42, 30, 30))/1000000</f>
        <v>11.673914999999997</v>
      </c>
      <c r="V196" s="56">
        <f>(1000*CHOOSE(CONTROL!$C$42, 500, 500)*CHOOSE(CONTROL!$C$42, 0.275, 0.275)*CHOOSE(CONTROL!$C$42, 30, 30))/1000000</f>
        <v>4.125</v>
      </c>
      <c r="W196" s="56">
        <f>(1000*CHOOSE(CONTROL!$C$42, 0.0916, 0.0916)*CHOOSE(CONTROL!$C$42, 121.5, 121.5)*CHOOSE(CONTROL!$C$42, 30, 30))/1000000</f>
        <v>0.33388200000000001</v>
      </c>
      <c r="X196" s="56">
        <f>(30*0.1790888*145000/1000000)+(30*0.2374*100000/1000000)</f>
        <v>1.4912362799999999</v>
      </c>
      <c r="Y196" s="56"/>
      <c r="Z196" s="17"/>
      <c r="AA196" s="55"/>
      <c r="AB196" s="48">
        <f>(B196*141.293+C196*267.993+D196*115.016+E196*189.698+F196*40+G196*85+H196*0+I196*100+J196*300)/(141.293+267.993+115.016+189.698+0+40+85+100+300)</f>
        <v>10.150026685714286</v>
      </c>
      <c r="AC196" s="45">
        <f>(M196*'RAP TEMPLATE-GAS AVAILABILITY'!O195+N196*'RAP TEMPLATE-GAS AVAILABILITY'!P195+O196*'RAP TEMPLATE-GAS AVAILABILITY'!Q195+P196*'RAP TEMPLATE-GAS AVAILABILITY'!R195)/('RAP TEMPLATE-GAS AVAILABILITY'!O195+'RAP TEMPLATE-GAS AVAILABILITY'!P195+'RAP TEMPLATE-GAS AVAILABILITY'!Q195+'RAP TEMPLATE-GAS AVAILABILITY'!R195)</f>
        <v>10.080617266187051</v>
      </c>
    </row>
    <row r="197" spans="1:29" ht="15.75" x14ac:dyDescent="0.25">
      <c r="A197" s="16">
        <v>46874</v>
      </c>
      <c r="B197" s="17">
        <f>CHOOSE(CONTROL!$C$42, 10.1856, 10.1856) * CHOOSE(CONTROL!$C$21, $C$9, 100%, $E$9)</f>
        <v>10.185600000000001</v>
      </c>
      <c r="C197" s="17">
        <f>CHOOSE(CONTROL!$C$42, 10.1936, 10.1936) * CHOOSE(CONTROL!$C$21, $C$9, 100%, $E$9)</f>
        <v>10.1936</v>
      </c>
      <c r="D197" s="17">
        <f>CHOOSE(CONTROL!$C$42, 10.4381, 10.4381) * CHOOSE(CONTROL!$C$21, $C$9, 100%, $E$9)</f>
        <v>10.4381</v>
      </c>
      <c r="E197" s="17">
        <f>CHOOSE(CONTROL!$C$42, 10.4693, 10.4693) * CHOOSE(CONTROL!$C$21, $C$9, 100%, $E$9)</f>
        <v>10.4693</v>
      </c>
      <c r="F197" s="17">
        <f>CHOOSE(CONTROL!$C$42, 10.1962, 10.1962)*CHOOSE(CONTROL!$C$21, $C$9, 100%, $E$9)</f>
        <v>10.196199999999999</v>
      </c>
      <c r="G197" s="17">
        <f>CHOOSE(CONTROL!$C$42, 10.2124, 10.2124)*CHOOSE(CONTROL!$C$21, $C$9, 100%, $E$9)</f>
        <v>10.212400000000001</v>
      </c>
      <c r="H197" s="17">
        <f>CHOOSE(CONTROL!$C$42, 10.4576, 10.4576) * CHOOSE(CONTROL!$C$21, $C$9, 100%, $E$9)</f>
        <v>10.457599999999999</v>
      </c>
      <c r="I197" s="17">
        <f>CHOOSE(CONTROL!$C$42, 10.2385, 10.2385)* CHOOSE(CONTROL!$C$21, $C$9, 100%, $E$9)</f>
        <v>10.2385</v>
      </c>
      <c r="J197" s="17">
        <f>CHOOSE(CONTROL!$C$42, 10.1888, 10.1888)* CHOOSE(CONTROL!$C$21, $C$9, 100%, $E$9)</f>
        <v>10.188800000000001</v>
      </c>
      <c r="K197" s="52">
        <f>CHOOSE(CONTROL!$C$42, 10.2325, 10.2325) * CHOOSE(CONTROL!$C$21, $C$9, 100%, $E$9)</f>
        <v>10.2325</v>
      </c>
      <c r="L197" s="17">
        <f>CHOOSE(CONTROL!$C$42, 11.0446, 11.0446) * CHOOSE(CONTROL!$C$21, $C$9, 100%, $E$9)</f>
        <v>11.044600000000001</v>
      </c>
      <c r="M197" s="17">
        <f>CHOOSE(CONTROL!$C$42, 10.1041, 10.1041) * CHOOSE(CONTROL!$C$21, $C$9, 100%, $E$9)</f>
        <v>10.104100000000001</v>
      </c>
      <c r="N197" s="17">
        <f>CHOOSE(CONTROL!$C$42, 10.1202, 10.1202) * CHOOSE(CONTROL!$C$21, $C$9, 100%, $E$9)</f>
        <v>10.120200000000001</v>
      </c>
      <c r="O197" s="17">
        <f>CHOOSE(CONTROL!$C$42, 10.3705, 10.3705) * CHOOSE(CONTROL!$C$21, $C$9, 100%, $E$9)</f>
        <v>10.3705</v>
      </c>
      <c r="P197" s="17">
        <f>CHOOSE(CONTROL!$C$42, 10.1532, 10.1532) * CHOOSE(CONTROL!$C$21, $C$9, 100%, $E$9)</f>
        <v>10.1532</v>
      </c>
      <c r="Q197" s="17">
        <f>CHOOSE(CONTROL!$C$42, 10.9652, 10.9652) * CHOOSE(CONTROL!$C$21, $C$9, 100%, $E$9)</f>
        <v>10.965199999999999</v>
      </c>
      <c r="R197" s="17">
        <f>CHOOSE(CONTROL!$C$42, 11.5797, 11.5797) * CHOOSE(CONTROL!$C$21, $C$9, 100%, $E$9)</f>
        <v>11.579700000000001</v>
      </c>
      <c r="S197" s="17">
        <f>CHOOSE(CONTROL!$C$42, 9.8654, 9.8654) * CHOOSE(CONTROL!$C$21, $C$9, 100%, $E$9)</f>
        <v>9.8653999999999993</v>
      </c>
      <c r="T19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97" s="56">
        <f>(1000*CHOOSE(CONTROL!$C$42, 695, 695)*CHOOSE(CONTROL!$C$42, 0.5599, 0.5599)*CHOOSE(CONTROL!$C$42, 31, 31))/1000000</f>
        <v>12.063045499999998</v>
      </c>
      <c r="V197" s="56">
        <f>(1000*CHOOSE(CONTROL!$C$42, 500, 500)*CHOOSE(CONTROL!$C$42, 0.275, 0.275)*CHOOSE(CONTROL!$C$42, 31, 31))/1000000</f>
        <v>4.2625000000000002</v>
      </c>
      <c r="W197" s="56">
        <f>(1000*CHOOSE(CONTROL!$C$42, 0.0916, 0.0916)*CHOOSE(CONTROL!$C$42, 121.5, 121.5)*CHOOSE(CONTROL!$C$42, 31, 31))/1000000</f>
        <v>0.34501139999999997</v>
      </c>
      <c r="X197" s="56">
        <f>(31*0.1790888*145000/1000000)+(31*0.2374*100000/1000000)</f>
        <v>1.5409441560000001</v>
      </c>
      <c r="Y197" s="56"/>
      <c r="Z197" s="17"/>
      <c r="AA197" s="55"/>
      <c r="AB197" s="48">
        <f>(B197*194.205+C197*267.466+D197*133.845+E197*153.484+F197*40+G197*85+H197*0+I197*100+J197*300)/(194.205+267.466+133.845+153.484+0+40+85+100+300)</f>
        <v>10.255012088932498</v>
      </c>
      <c r="AC197" s="45">
        <f>(M197*'RAP TEMPLATE-GAS AVAILABILITY'!O196+N197*'RAP TEMPLATE-GAS AVAILABILITY'!P196+O197*'RAP TEMPLATE-GAS AVAILABILITY'!Q196+P197*'RAP TEMPLATE-GAS AVAILABILITY'!R196)/('RAP TEMPLATE-GAS AVAILABILITY'!O196+'RAP TEMPLATE-GAS AVAILABILITY'!P196+'RAP TEMPLATE-GAS AVAILABILITY'!Q196+'RAP TEMPLATE-GAS AVAILABILITY'!R196)</f>
        <v>10.18961654676259</v>
      </c>
    </row>
    <row r="198" spans="1:29" ht="15.75" x14ac:dyDescent="0.25">
      <c r="A198" s="16">
        <v>46905</v>
      </c>
      <c r="B198" s="17">
        <f>CHOOSE(CONTROL!$C$42, 10.4957, 10.4957) * CHOOSE(CONTROL!$C$21, $C$9, 100%, $E$9)</f>
        <v>10.495699999999999</v>
      </c>
      <c r="C198" s="17">
        <f>CHOOSE(CONTROL!$C$42, 10.5037, 10.5037) * CHOOSE(CONTROL!$C$21, $C$9, 100%, $E$9)</f>
        <v>10.5037</v>
      </c>
      <c r="D198" s="17">
        <f>CHOOSE(CONTROL!$C$42, 10.7482, 10.7482) * CHOOSE(CONTROL!$C$21, $C$9, 100%, $E$9)</f>
        <v>10.748200000000001</v>
      </c>
      <c r="E198" s="17">
        <f>CHOOSE(CONTROL!$C$42, 10.7794, 10.7794) * CHOOSE(CONTROL!$C$21, $C$9, 100%, $E$9)</f>
        <v>10.779400000000001</v>
      </c>
      <c r="F198" s="17">
        <f>CHOOSE(CONTROL!$C$42, 10.5066, 10.5066)*CHOOSE(CONTROL!$C$21, $C$9, 100%, $E$9)</f>
        <v>10.506600000000001</v>
      </c>
      <c r="G198" s="17">
        <f>CHOOSE(CONTROL!$C$42, 10.5229, 10.5229)*CHOOSE(CONTROL!$C$21, $C$9, 100%, $E$9)</f>
        <v>10.5229</v>
      </c>
      <c r="H198" s="17">
        <f>CHOOSE(CONTROL!$C$42, 10.7677, 10.7677) * CHOOSE(CONTROL!$C$21, $C$9, 100%, $E$9)</f>
        <v>10.7677</v>
      </c>
      <c r="I198" s="17">
        <f>CHOOSE(CONTROL!$C$42, 10.5496, 10.5496)* CHOOSE(CONTROL!$C$21, $C$9, 100%, $E$9)</f>
        <v>10.5496</v>
      </c>
      <c r="J198" s="17">
        <f>CHOOSE(CONTROL!$C$42, 10.4992, 10.4992)* CHOOSE(CONTROL!$C$21, $C$9, 100%, $E$9)</f>
        <v>10.4992</v>
      </c>
      <c r="K198" s="52">
        <f>CHOOSE(CONTROL!$C$42, 10.5435, 10.5435) * CHOOSE(CONTROL!$C$21, $C$9, 100%, $E$9)</f>
        <v>10.5435</v>
      </c>
      <c r="L198" s="17">
        <f>CHOOSE(CONTROL!$C$42, 11.3547, 11.3547) * CHOOSE(CONTROL!$C$21, $C$9, 100%, $E$9)</f>
        <v>11.354699999999999</v>
      </c>
      <c r="M198" s="17">
        <f>CHOOSE(CONTROL!$C$42, 10.4118, 10.4118) * CHOOSE(CONTROL!$C$21, $C$9, 100%, $E$9)</f>
        <v>10.411799999999999</v>
      </c>
      <c r="N198" s="17">
        <f>CHOOSE(CONTROL!$C$42, 10.428, 10.428) * CHOOSE(CONTROL!$C$21, $C$9, 100%, $E$9)</f>
        <v>10.428000000000001</v>
      </c>
      <c r="O198" s="17">
        <f>CHOOSE(CONTROL!$C$42, 10.6779, 10.6779) * CHOOSE(CONTROL!$C$21, $C$9, 100%, $E$9)</f>
        <v>10.677899999999999</v>
      </c>
      <c r="P198" s="17">
        <f>CHOOSE(CONTROL!$C$42, 10.4615, 10.4615) * CHOOSE(CONTROL!$C$21, $C$9, 100%, $E$9)</f>
        <v>10.461499999999999</v>
      </c>
      <c r="Q198" s="17">
        <f>CHOOSE(CONTROL!$C$42, 11.2726, 11.2726) * CHOOSE(CONTROL!$C$21, $C$9, 100%, $E$9)</f>
        <v>11.272600000000001</v>
      </c>
      <c r="R198" s="17">
        <f>CHOOSE(CONTROL!$C$42, 11.8877, 11.8877) * CHOOSE(CONTROL!$C$21, $C$9, 100%, $E$9)</f>
        <v>11.887700000000001</v>
      </c>
      <c r="S198" s="17">
        <f>CHOOSE(CONTROL!$C$42, 10.1661, 10.1661) * CHOOSE(CONTROL!$C$21, $C$9, 100%, $E$9)</f>
        <v>10.1661</v>
      </c>
      <c r="T19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98" s="56">
        <f>(1000*CHOOSE(CONTROL!$C$42, 695, 695)*CHOOSE(CONTROL!$C$42, 0.5599, 0.5599)*CHOOSE(CONTROL!$C$42, 30, 30))/1000000</f>
        <v>11.673914999999997</v>
      </c>
      <c r="V198" s="56">
        <f>(1000*CHOOSE(CONTROL!$C$42, 500, 500)*CHOOSE(CONTROL!$C$42, 0.275, 0.275)*CHOOSE(CONTROL!$C$42, 30, 30))/1000000</f>
        <v>4.125</v>
      </c>
      <c r="W198" s="56">
        <f>(1000*CHOOSE(CONTROL!$C$42, 0.0916, 0.0916)*CHOOSE(CONTROL!$C$42, 121.5, 121.5)*CHOOSE(CONTROL!$C$42, 30, 30))/1000000</f>
        <v>0.33388200000000001</v>
      </c>
      <c r="X198" s="56">
        <f>(30*0.1790888*145000/1000000)+(30*0.2374*100000/1000000)</f>
        <v>1.4912362799999999</v>
      </c>
      <c r="Y198" s="56"/>
      <c r="Z198" s="17"/>
      <c r="AA198" s="55"/>
      <c r="AB198" s="48">
        <f>(B198*194.205+C198*267.466+D198*133.845+E198*153.484+F198*40+G198*85+H198*0+I198*100+J198*300)/(194.205+267.466+133.845+153.484+0+40+85+100+300)</f>
        <v>10.565297332260597</v>
      </c>
      <c r="AC198" s="45">
        <f>(M198*'RAP TEMPLATE-GAS AVAILABILITY'!O197+N198*'RAP TEMPLATE-GAS AVAILABILITY'!P197+O198*'RAP TEMPLATE-GAS AVAILABILITY'!Q197+P198*'RAP TEMPLATE-GAS AVAILABILITY'!R197)/('RAP TEMPLATE-GAS AVAILABILITY'!O197+'RAP TEMPLATE-GAS AVAILABILITY'!P197+'RAP TEMPLATE-GAS AVAILABILITY'!Q197+'RAP TEMPLATE-GAS AVAILABILITY'!R197)</f>
        <v>10.497341726618703</v>
      </c>
    </row>
    <row r="199" spans="1:29" ht="15.75" x14ac:dyDescent="0.25">
      <c r="A199" s="16">
        <v>46935</v>
      </c>
      <c r="B199" s="17">
        <f>CHOOSE(CONTROL!$C$42, 10.3158, 10.3158) * CHOOSE(CONTROL!$C$21, $C$9, 100%, $E$9)</f>
        <v>10.315799999999999</v>
      </c>
      <c r="C199" s="17">
        <f>CHOOSE(CONTROL!$C$42, 10.3238, 10.3238) * CHOOSE(CONTROL!$C$21, $C$9, 100%, $E$9)</f>
        <v>10.3238</v>
      </c>
      <c r="D199" s="17">
        <f>CHOOSE(CONTROL!$C$42, 10.5683, 10.5683) * CHOOSE(CONTROL!$C$21, $C$9, 100%, $E$9)</f>
        <v>10.568300000000001</v>
      </c>
      <c r="E199" s="17">
        <f>CHOOSE(CONTROL!$C$42, 10.5994, 10.5994) * CHOOSE(CONTROL!$C$21, $C$9, 100%, $E$9)</f>
        <v>10.599399999999999</v>
      </c>
      <c r="F199" s="17">
        <f>CHOOSE(CONTROL!$C$42, 10.3271, 10.3271)*CHOOSE(CONTROL!$C$21, $C$9, 100%, $E$9)</f>
        <v>10.3271</v>
      </c>
      <c r="G199" s="17">
        <f>CHOOSE(CONTROL!$C$42, 10.3436, 10.3436)*CHOOSE(CONTROL!$C$21, $C$9, 100%, $E$9)</f>
        <v>10.3436</v>
      </c>
      <c r="H199" s="17">
        <f>CHOOSE(CONTROL!$C$42, 10.5878, 10.5878) * CHOOSE(CONTROL!$C$21, $C$9, 100%, $E$9)</f>
        <v>10.5878</v>
      </c>
      <c r="I199" s="17">
        <f>CHOOSE(CONTROL!$C$42, 10.3691, 10.3691)* CHOOSE(CONTROL!$C$21, $C$9, 100%, $E$9)</f>
        <v>10.3691</v>
      </c>
      <c r="J199" s="17">
        <f>CHOOSE(CONTROL!$C$42, 10.3197, 10.3197)* CHOOSE(CONTROL!$C$21, $C$9, 100%, $E$9)</f>
        <v>10.319699999999999</v>
      </c>
      <c r="K199" s="52">
        <f>CHOOSE(CONTROL!$C$42, 10.363, 10.363) * CHOOSE(CONTROL!$C$21, $C$9, 100%, $E$9)</f>
        <v>10.363</v>
      </c>
      <c r="L199" s="17">
        <f>CHOOSE(CONTROL!$C$42, 11.1748, 11.1748) * CHOOSE(CONTROL!$C$21, $C$9, 100%, $E$9)</f>
        <v>11.174799999999999</v>
      </c>
      <c r="M199" s="17">
        <f>CHOOSE(CONTROL!$C$42, 10.2339, 10.2339) * CHOOSE(CONTROL!$C$21, $C$9, 100%, $E$9)</f>
        <v>10.2339</v>
      </c>
      <c r="N199" s="17">
        <f>CHOOSE(CONTROL!$C$42, 10.2502, 10.2502) * CHOOSE(CONTROL!$C$21, $C$9, 100%, $E$9)</f>
        <v>10.2502</v>
      </c>
      <c r="O199" s="17">
        <f>CHOOSE(CONTROL!$C$42, 10.4995, 10.4995) * CHOOSE(CONTROL!$C$21, $C$9, 100%, $E$9)</f>
        <v>10.499499999999999</v>
      </c>
      <c r="P199" s="17">
        <f>CHOOSE(CONTROL!$C$42, 10.2826, 10.2826) * CHOOSE(CONTROL!$C$21, $C$9, 100%, $E$9)</f>
        <v>10.2826</v>
      </c>
      <c r="Q199" s="17">
        <f>CHOOSE(CONTROL!$C$42, 11.0942, 11.0942) * CHOOSE(CONTROL!$C$21, $C$9, 100%, $E$9)</f>
        <v>11.094200000000001</v>
      </c>
      <c r="R199" s="17">
        <f>CHOOSE(CONTROL!$C$42, 11.709, 11.709) * CHOOSE(CONTROL!$C$21, $C$9, 100%, $E$9)</f>
        <v>11.709</v>
      </c>
      <c r="S199" s="17">
        <f>CHOOSE(CONTROL!$C$42, 9.9917, 9.9917) * CHOOSE(CONTROL!$C$21, $C$9, 100%, $E$9)</f>
        <v>9.9916999999999998</v>
      </c>
      <c r="T19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99" s="56">
        <f>(1000*CHOOSE(CONTROL!$C$42, 695, 695)*CHOOSE(CONTROL!$C$42, 0.5599, 0.5599)*CHOOSE(CONTROL!$C$42, 31, 31))/1000000</f>
        <v>12.063045499999998</v>
      </c>
      <c r="V199" s="56">
        <f>(1000*CHOOSE(CONTROL!$C$42, 500, 500)*CHOOSE(CONTROL!$C$42, 0.275, 0.275)*CHOOSE(CONTROL!$C$42, 31, 31))/1000000</f>
        <v>4.2625000000000002</v>
      </c>
      <c r="W199" s="56">
        <f>(1000*CHOOSE(CONTROL!$C$42, 0.0916, 0.0916)*CHOOSE(CONTROL!$C$42, 121.5, 121.5)*CHOOSE(CONTROL!$C$42, 31, 31))/1000000</f>
        <v>0.34501139999999997</v>
      </c>
      <c r="X199" s="56">
        <f>(31*0.1790888*145000/1000000)+(31*0.2374*100000/1000000)</f>
        <v>1.5409441560000001</v>
      </c>
      <c r="Y199" s="56"/>
      <c r="Z199" s="17"/>
      <c r="AA199" s="55"/>
      <c r="AB199" s="48">
        <f>(B199*194.205+C199*267.466+D199*133.845+E199*153.484+F199*40+G199*85+H199*0+I199*100+J199*300)/(194.205+267.466+133.845+153.484+0+40+85+100+300)</f>
        <v>10.385484970879121</v>
      </c>
      <c r="AC199" s="45">
        <f>(M199*'RAP TEMPLATE-GAS AVAILABILITY'!O198+N199*'RAP TEMPLATE-GAS AVAILABILITY'!P198+O199*'RAP TEMPLATE-GAS AVAILABILITY'!Q198+P199*'RAP TEMPLATE-GAS AVAILABILITY'!R198)/('RAP TEMPLATE-GAS AVAILABILITY'!O198+'RAP TEMPLATE-GAS AVAILABILITY'!P198+'RAP TEMPLATE-GAS AVAILABILITY'!Q198+'RAP TEMPLATE-GAS AVAILABILITY'!R198)</f>
        <v>10.319180575539569</v>
      </c>
    </row>
    <row r="200" spans="1:29" ht="15.75" x14ac:dyDescent="0.25">
      <c r="A200" s="16">
        <v>46966</v>
      </c>
      <c r="B200" s="17">
        <f>CHOOSE(CONTROL!$C$42, 9.8271, 9.8271) * CHOOSE(CONTROL!$C$21, $C$9, 100%, $E$9)</f>
        <v>9.8270999999999997</v>
      </c>
      <c r="C200" s="17">
        <f>CHOOSE(CONTROL!$C$42, 9.8351, 9.8351) * CHOOSE(CONTROL!$C$21, $C$9, 100%, $E$9)</f>
        <v>9.8351000000000006</v>
      </c>
      <c r="D200" s="17">
        <f>CHOOSE(CONTROL!$C$42, 10.0795, 10.0795) * CHOOSE(CONTROL!$C$21, $C$9, 100%, $E$9)</f>
        <v>10.079499999999999</v>
      </c>
      <c r="E200" s="17">
        <f>CHOOSE(CONTROL!$C$42, 10.1107, 10.1107) * CHOOSE(CONTROL!$C$21, $C$9, 100%, $E$9)</f>
        <v>10.1107</v>
      </c>
      <c r="F200" s="17">
        <f>CHOOSE(CONTROL!$C$42, 9.8386, 9.8386)*CHOOSE(CONTROL!$C$21, $C$9, 100%, $E$9)</f>
        <v>9.8385999999999996</v>
      </c>
      <c r="G200" s="17">
        <f>CHOOSE(CONTROL!$C$42, 9.8551, 9.8551)*CHOOSE(CONTROL!$C$21, $C$9, 100%, $E$9)</f>
        <v>9.8551000000000002</v>
      </c>
      <c r="H200" s="17">
        <f>CHOOSE(CONTROL!$C$42, 10.099, 10.099) * CHOOSE(CONTROL!$C$21, $C$9, 100%, $E$9)</f>
        <v>10.099</v>
      </c>
      <c r="I200" s="17">
        <f>CHOOSE(CONTROL!$C$42, 9.8788, 9.8788)* CHOOSE(CONTROL!$C$21, $C$9, 100%, $E$9)</f>
        <v>9.8788</v>
      </c>
      <c r="J200" s="17">
        <f>CHOOSE(CONTROL!$C$42, 9.8312, 9.8312)* CHOOSE(CONTROL!$C$21, $C$9, 100%, $E$9)</f>
        <v>9.8312000000000008</v>
      </c>
      <c r="K200" s="52">
        <f>CHOOSE(CONTROL!$C$42, 9.8728, 9.8728) * CHOOSE(CONTROL!$C$21, $C$9, 100%, $E$9)</f>
        <v>9.8727999999999998</v>
      </c>
      <c r="L200" s="17">
        <f>CHOOSE(CONTROL!$C$42, 10.686, 10.686) * CHOOSE(CONTROL!$C$21, $C$9, 100%, $E$9)</f>
        <v>10.686</v>
      </c>
      <c r="M200" s="17">
        <f>CHOOSE(CONTROL!$C$42, 9.7498, 9.7498) * CHOOSE(CONTROL!$C$21, $C$9, 100%, $E$9)</f>
        <v>9.7498000000000005</v>
      </c>
      <c r="N200" s="17">
        <f>CHOOSE(CONTROL!$C$42, 9.7662, 9.7662) * CHOOSE(CONTROL!$C$21, $C$9, 100%, $E$9)</f>
        <v>9.7661999999999995</v>
      </c>
      <c r="O200" s="17">
        <f>CHOOSE(CONTROL!$C$42, 10.0152, 10.0152) * CHOOSE(CONTROL!$C$21, $C$9, 100%, $E$9)</f>
        <v>10.0152</v>
      </c>
      <c r="P200" s="17">
        <f>CHOOSE(CONTROL!$C$42, 9.7968, 9.7968) * CHOOSE(CONTROL!$C$21, $C$9, 100%, $E$9)</f>
        <v>9.7967999999999993</v>
      </c>
      <c r="Q200" s="17">
        <f>CHOOSE(CONTROL!$C$42, 10.6099, 10.6099) * CHOOSE(CONTROL!$C$21, $C$9, 100%, $E$9)</f>
        <v>10.6099</v>
      </c>
      <c r="R200" s="17">
        <f>CHOOSE(CONTROL!$C$42, 11.2234, 11.2234) * CHOOSE(CONTROL!$C$21, $C$9, 100%, $E$9)</f>
        <v>11.2234</v>
      </c>
      <c r="S200" s="17">
        <f>CHOOSE(CONTROL!$C$42, 9.5177, 9.5177) * CHOOSE(CONTROL!$C$21, $C$9, 100%, $E$9)</f>
        <v>9.5176999999999996</v>
      </c>
      <c r="T20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00" s="56">
        <f>(1000*CHOOSE(CONTROL!$C$42, 695, 695)*CHOOSE(CONTROL!$C$42, 0.5599, 0.5599)*CHOOSE(CONTROL!$C$42, 31, 31))/1000000</f>
        <v>12.063045499999998</v>
      </c>
      <c r="V200" s="56">
        <f>(1000*CHOOSE(CONTROL!$C$42, 500, 500)*CHOOSE(CONTROL!$C$42, 0.275, 0.275)*CHOOSE(CONTROL!$C$42, 31, 31))/1000000</f>
        <v>4.2625000000000002</v>
      </c>
      <c r="W200" s="56">
        <f>(1000*CHOOSE(CONTROL!$C$42, 0.0916, 0.0916)*CHOOSE(CONTROL!$C$42, 121.5, 121.5)*CHOOSE(CONTROL!$C$42, 31, 31))/1000000</f>
        <v>0.34501139999999997</v>
      </c>
      <c r="X200" s="56">
        <f>(31*0.1790888*145000/1000000)+(31*0.2374*100000/1000000)</f>
        <v>1.5409441560000001</v>
      </c>
      <c r="Y200" s="56"/>
      <c r="Z200" s="17"/>
      <c r="AA200" s="55"/>
      <c r="AB200" s="48">
        <f>(B200*194.205+C200*267.466+D200*133.845+E200*153.484+F200*40+G200*85+H200*0+I200*100+J200*300)/(194.205+267.466+133.845+153.484+0+40+85+100+300)</f>
        <v>9.8967155952904253</v>
      </c>
      <c r="AC200" s="45">
        <f>(M200*'RAP TEMPLATE-GAS AVAILABILITY'!O199+N200*'RAP TEMPLATE-GAS AVAILABILITY'!P199+O200*'RAP TEMPLATE-GAS AVAILABILITY'!Q199+P200*'RAP TEMPLATE-GAS AVAILABILITY'!R199)/('RAP TEMPLATE-GAS AVAILABILITY'!O199+'RAP TEMPLATE-GAS AVAILABILITY'!P199+'RAP TEMPLATE-GAS AVAILABILITY'!Q199+'RAP TEMPLATE-GAS AVAILABILITY'!R199)</f>
        <v>9.8348028776978413</v>
      </c>
    </row>
    <row r="201" spans="1:29" ht="15.75" x14ac:dyDescent="0.25">
      <c r="A201" s="16">
        <v>46997</v>
      </c>
      <c r="B201" s="17">
        <f>CHOOSE(CONTROL!$C$42, 9.2227, 9.2227) * CHOOSE(CONTROL!$C$21, $C$9, 100%, $E$9)</f>
        <v>9.2226999999999997</v>
      </c>
      <c r="C201" s="17">
        <f>CHOOSE(CONTROL!$C$42, 9.2307, 9.2307) * CHOOSE(CONTROL!$C$21, $C$9, 100%, $E$9)</f>
        <v>9.2307000000000006</v>
      </c>
      <c r="D201" s="17">
        <f>CHOOSE(CONTROL!$C$42, 9.4751, 9.4751) * CHOOSE(CONTROL!$C$21, $C$9, 100%, $E$9)</f>
        <v>9.4750999999999994</v>
      </c>
      <c r="E201" s="17">
        <f>CHOOSE(CONTROL!$C$42, 9.5063, 9.5063) * CHOOSE(CONTROL!$C$21, $C$9, 100%, $E$9)</f>
        <v>9.5062999999999995</v>
      </c>
      <c r="F201" s="17">
        <f>CHOOSE(CONTROL!$C$42, 9.2343, 9.2343)*CHOOSE(CONTROL!$C$21, $C$9, 100%, $E$9)</f>
        <v>9.2342999999999993</v>
      </c>
      <c r="G201" s="17">
        <f>CHOOSE(CONTROL!$C$42, 9.2508, 9.2508)*CHOOSE(CONTROL!$C$21, $C$9, 100%, $E$9)</f>
        <v>9.2507999999999999</v>
      </c>
      <c r="H201" s="17">
        <f>CHOOSE(CONTROL!$C$42, 9.4946, 9.4946) * CHOOSE(CONTROL!$C$21, $C$9, 100%, $E$9)</f>
        <v>9.4946000000000002</v>
      </c>
      <c r="I201" s="17">
        <f>CHOOSE(CONTROL!$C$42, 9.2726, 9.2726)* CHOOSE(CONTROL!$C$21, $C$9, 100%, $E$9)</f>
        <v>9.2726000000000006</v>
      </c>
      <c r="J201" s="17">
        <f>CHOOSE(CONTROL!$C$42, 9.2269, 9.2269)* CHOOSE(CONTROL!$C$21, $C$9, 100%, $E$9)</f>
        <v>9.2269000000000005</v>
      </c>
      <c r="K201" s="52">
        <f>CHOOSE(CONTROL!$C$42, 9.2665, 9.2665) * CHOOSE(CONTROL!$C$21, $C$9, 100%, $E$9)</f>
        <v>9.2665000000000006</v>
      </c>
      <c r="L201" s="17">
        <f>CHOOSE(CONTROL!$C$42, 10.0816, 10.0816) * CHOOSE(CONTROL!$C$21, $C$9, 100%, $E$9)</f>
        <v>10.0816</v>
      </c>
      <c r="M201" s="17">
        <f>CHOOSE(CONTROL!$C$42, 9.1509, 9.1509) * CHOOSE(CONTROL!$C$21, $C$9, 100%, $E$9)</f>
        <v>9.1509</v>
      </c>
      <c r="N201" s="17">
        <f>CHOOSE(CONTROL!$C$42, 9.1673, 9.1673) * CHOOSE(CONTROL!$C$21, $C$9, 100%, $E$9)</f>
        <v>9.1672999999999991</v>
      </c>
      <c r="O201" s="17">
        <f>CHOOSE(CONTROL!$C$42, 9.4163, 9.4163) * CHOOSE(CONTROL!$C$21, $C$9, 100%, $E$9)</f>
        <v>9.4162999999999997</v>
      </c>
      <c r="P201" s="17">
        <f>CHOOSE(CONTROL!$C$42, 9.196, 9.196) * CHOOSE(CONTROL!$C$21, $C$9, 100%, $E$9)</f>
        <v>9.1959999999999997</v>
      </c>
      <c r="Q201" s="17">
        <f>CHOOSE(CONTROL!$C$42, 10.011, 10.011) * CHOOSE(CONTROL!$C$21, $C$9, 100%, $E$9)</f>
        <v>10.010999999999999</v>
      </c>
      <c r="R201" s="17">
        <f>CHOOSE(CONTROL!$C$42, 10.623, 10.623) * CHOOSE(CONTROL!$C$21, $C$9, 100%, $E$9)</f>
        <v>10.622999999999999</v>
      </c>
      <c r="S201" s="17">
        <f>CHOOSE(CONTROL!$C$42, 8.9317, 8.9317) * CHOOSE(CONTROL!$C$21, $C$9, 100%, $E$9)</f>
        <v>8.9316999999999993</v>
      </c>
      <c r="T20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01" s="56">
        <f>(1000*CHOOSE(CONTROL!$C$42, 695, 695)*CHOOSE(CONTROL!$C$42, 0.5599, 0.5599)*CHOOSE(CONTROL!$C$42, 30, 30))/1000000</f>
        <v>11.673914999999997</v>
      </c>
      <c r="V201" s="56">
        <f>(1000*CHOOSE(CONTROL!$C$42, 500, 500)*CHOOSE(CONTROL!$C$42, 0.275, 0.275)*CHOOSE(CONTROL!$C$42, 30, 30))/1000000</f>
        <v>4.125</v>
      </c>
      <c r="W201" s="56">
        <f>(1000*CHOOSE(CONTROL!$C$42, 0.0916, 0.0916)*CHOOSE(CONTROL!$C$42, 121.5, 121.5)*CHOOSE(CONTROL!$C$42, 30, 30))/1000000</f>
        <v>0.33388200000000001</v>
      </c>
      <c r="X201" s="56">
        <f>(30*0.1790888*145000/1000000)+(30*0.2374*100000/1000000)</f>
        <v>1.4912362799999999</v>
      </c>
      <c r="Y201" s="56"/>
      <c r="Z201" s="17"/>
      <c r="AA201" s="55"/>
      <c r="AB201" s="48">
        <f>(B201*194.205+C201*267.466+D201*133.845+E201*153.484+F201*40+G201*85+H201*0+I201*100+J201*300)/(194.205+267.466+133.845+153.484+0+40+85+100+300)</f>
        <v>9.2922076675039254</v>
      </c>
      <c r="AC201" s="45">
        <f>(M201*'RAP TEMPLATE-GAS AVAILABILITY'!O200+N201*'RAP TEMPLATE-GAS AVAILABILITY'!P200+O201*'RAP TEMPLATE-GAS AVAILABILITY'!Q200+P201*'RAP TEMPLATE-GAS AVAILABILITY'!R200)/('RAP TEMPLATE-GAS AVAILABILITY'!O200+'RAP TEMPLATE-GAS AVAILABILITY'!P200+'RAP TEMPLATE-GAS AVAILABILITY'!Q200+'RAP TEMPLATE-GAS AVAILABILITY'!R200)</f>
        <v>9.2356294964028773</v>
      </c>
    </row>
    <row r="202" spans="1:29" ht="15.75" x14ac:dyDescent="0.25">
      <c r="A202" s="16">
        <v>47027</v>
      </c>
      <c r="B202" s="17">
        <f>CHOOSE(CONTROL!$C$42, 9.0526, 9.0526) * CHOOSE(CONTROL!$C$21, $C$9, 100%, $E$9)</f>
        <v>9.0526</v>
      </c>
      <c r="C202" s="17">
        <f>CHOOSE(CONTROL!$C$42, 9.0579, 9.0579) * CHOOSE(CONTROL!$C$21, $C$9, 100%, $E$9)</f>
        <v>9.0579000000000001</v>
      </c>
      <c r="D202" s="17">
        <f>CHOOSE(CONTROL!$C$42, 9.3072, 9.3072) * CHOOSE(CONTROL!$C$21, $C$9, 100%, $E$9)</f>
        <v>9.3071999999999999</v>
      </c>
      <c r="E202" s="17">
        <f>CHOOSE(CONTROL!$C$42, 9.3361, 9.3361) * CHOOSE(CONTROL!$C$21, $C$9, 100%, $E$9)</f>
        <v>9.3361000000000001</v>
      </c>
      <c r="F202" s="17">
        <f>CHOOSE(CONTROL!$C$42, 9.0664, 9.0664)*CHOOSE(CONTROL!$C$21, $C$9, 100%, $E$9)</f>
        <v>9.0663999999999998</v>
      </c>
      <c r="G202" s="17">
        <f>CHOOSE(CONTROL!$C$42, 9.0828, 9.0828)*CHOOSE(CONTROL!$C$21, $C$9, 100%, $E$9)</f>
        <v>9.0828000000000007</v>
      </c>
      <c r="H202" s="17">
        <f>CHOOSE(CONTROL!$C$42, 9.3262, 9.3262) * CHOOSE(CONTROL!$C$21, $C$9, 100%, $E$9)</f>
        <v>9.3262</v>
      </c>
      <c r="I202" s="17">
        <f>CHOOSE(CONTROL!$C$42, 9.1036, 9.1036)* CHOOSE(CONTROL!$C$21, $C$9, 100%, $E$9)</f>
        <v>9.1036000000000001</v>
      </c>
      <c r="J202" s="17">
        <f>CHOOSE(CONTROL!$C$42, 9.059, 9.059)* CHOOSE(CONTROL!$C$21, $C$9, 100%, $E$9)</f>
        <v>9.0589999999999993</v>
      </c>
      <c r="K202" s="52">
        <f>CHOOSE(CONTROL!$C$42, 9.0976, 9.0976) * CHOOSE(CONTROL!$C$21, $C$9, 100%, $E$9)</f>
        <v>9.0975999999999999</v>
      </c>
      <c r="L202" s="17">
        <f>CHOOSE(CONTROL!$C$42, 9.9132, 9.9132) * CHOOSE(CONTROL!$C$21, $C$9, 100%, $E$9)</f>
        <v>9.9131999999999998</v>
      </c>
      <c r="M202" s="17">
        <f>CHOOSE(CONTROL!$C$42, 8.9845, 8.9845) * CHOOSE(CONTROL!$C$21, $C$9, 100%, $E$9)</f>
        <v>8.9845000000000006</v>
      </c>
      <c r="N202" s="17">
        <f>CHOOSE(CONTROL!$C$42, 9.0008, 9.0008) * CHOOSE(CONTROL!$C$21, $C$9, 100%, $E$9)</f>
        <v>9.0007999999999999</v>
      </c>
      <c r="O202" s="17">
        <f>CHOOSE(CONTROL!$C$42, 9.2494, 9.2494) * CHOOSE(CONTROL!$C$21, $C$9, 100%, $E$9)</f>
        <v>9.2493999999999996</v>
      </c>
      <c r="P202" s="17">
        <f>CHOOSE(CONTROL!$C$42, 9.0286, 9.0286) * CHOOSE(CONTROL!$C$21, $C$9, 100%, $E$9)</f>
        <v>9.0286000000000008</v>
      </c>
      <c r="Q202" s="17">
        <f>CHOOSE(CONTROL!$C$42, 9.8441, 9.8441) * CHOOSE(CONTROL!$C$21, $C$9, 100%, $E$9)</f>
        <v>9.8440999999999992</v>
      </c>
      <c r="R202" s="17">
        <f>CHOOSE(CONTROL!$C$42, 10.4557, 10.4557) * CHOOSE(CONTROL!$C$21, $C$9, 100%, $E$9)</f>
        <v>10.4557</v>
      </c>
      <c r="S202" s="17">
        <f>CHOOSE(CONTROL!$C$42, 8.7684, 8.7684) * CHOOSE(CONTROL!$C$21, $C$9, 100%, $E$9)</f>
        <v>8.7683999999999997</v>
      </c>
      <c r="T20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02" s="56">
        <f>(1000*CHOOSE(CONTROL!$C$42, 695, 695)*CHOOSE(CONTROL!$C$42, 0.5599, 0.5599)*CHOOSE(CONTROL!$C$42, 31, 31))/1000000</f>
        <v>12.063045499999998</v>
      </c>
      <c r="V202" s="56">
        <f>(1000*CHOOSE(CONTROL!$C$42, 500, 500)*CHOOSE(CONTROL!$C$42, 0.275, 0.275)*CHOOSE(CONTROL!$C$42, 31, 31))/1000000</f>
        <v>4.2625000000000002</v>
      </c>
      <c r="W202" s="56">
        <f>(1000*CHOOSE(CONTROL!$C$42, 0.0916, 0.0916)*CHOOSE(CONTROL!$C$42, 121.5, 121.5)*CHOOSE(CONTROL!$C$42, 31, 31))/1000000</f>
        <v>0.34501139999999997</v>
      </c>
      <c r="X202" s="56">
        <f>(31*0.1790888*145000/1000000)+(31*0.2374*100000/1000000)</f>
        <v>1.5409441560000001</v>
      </c>
      <c r="Y202" s="56"/>
      <c r="Z202" s="17"/>
      <c r="AA202" s="55"/>
      <c r="AB202" s="48">
        <f>(B202*131.881+C202*277.167+D202*79.08+E202*225.872+F202*40+G202*85+H202*0+I202*100+J202*300)/(131.881+277.167+79.08+225.872+0+40+85+100+300)</f>
        <v>9.1299014246166248</v>
      </c>
      <c r="AC202" s="45">
        <f>(M202*'RAP TEMPLATE-GAS AVAILABILITY'!O201+N202*'RAP TEMPLATE-GAS AVAILABILITY'!P201+O202*'RAP TEMPLATE-GAS AVAILABILITY'!Q201+P202*'RAP TEMPLATE-GAS AVAILABILITY'!R201)/('RAP TEMPLATE-GAS AVAILABILITY'!O201+'RAP TEMPLATE-GAS AVAILABILITY'!P201+'RAP TEMPLATE-GAS AVAILABILITY'!Q201+'RAP TEMPLATE-GAS AVAILABILITY'!R201)</f>
        <v>9.0689223021582723</v>
      </c>
    </row>
    <row r="203" spans="1:29" ht="15.75" x14ac:dyDescent="0.25">
      <c r="A203" s="16">
        <v>47058</v>
      </c>
      <c r="B203" s="17">
        <f>CHOOSE(CONTROL!$C$42, 9.3095, 9.3095) * CHOOSE(CONTROL!$C$21, $C$9, 100%, $E$9)</f>
        <v>9.3094999999999999</v>
      </c>
      <c r="C203" s="17">
        <f>CHOOSE(CONTROL!$C$42, 9.3145, 9.3145) * CHOOSE(CONTROL!$C$21, $C$9, 100%, $E$9)</f>
        <v>9.3145000000000007</v>
      </c>
      <c r="D203" s="17">
        <f>CHOOSE(CONTROL!$C$42, 9.3959, 9.3959) * CHOOSE(CONTROL!$C$21, $C$9, 100%, $E$9)</f>
        <v>9.3958999999999993</v>
      </c>
      <c r="E203" s="17">
        <f>CHOOSE(CONTROL!$C$42, 9.4297, 9.4297) * CHOOSE(CONTROL!$C$21, $C$9, 100%, $E$9)</f>
        <v>9.4297000000000004</v>
      </c>
      <c r="F203" s="17">
        <f>CHOOSE(CONTROL!$C$42, 9.3274, 9.3274)*CHOOSE(CONTROL!$C$21, $C$9, 100%, $E$9)</f>
        <v>9.3274000000000008</v>
      </c>
      <c r="G203" s="17">
        <f>CHOOSE(CONTROL!$C$42, 9.3441, 9.3441)*CHOOSE(CONTROL!$C$21, $C$9, 100%, $E$9)</f>
        <v>9.3440999999999992</v>
      </c>
      <c r="H203" s="17">
        <f>CHOOSE(CONTROL!$C$42, 9.4185, 9.4185) * CHOOSE(CONTROL!$C$21, $C$9, 100%, $E$9)</f>
        <v>9.4184999999999999</v>
      </c>
      <c r="I203" s="17">
        <f>CHOOSE(CONTROL!$C$42, 9.3633, 9.3633)* CHOOSE(CONTROL!$C$21, $C$9, 100%, $E$9)</f>
        <v>9.3633000000000006</v>
      </c>
      <c r="J203" s="17">
        <f>CHOOSE(CONTROL!$C$42, 9.32, 9.32)* CHOOSE(CONTROL!$C$21, $C$9, 100%, $E$9)</f>
        <v>9.32</v>
      </c>
      <c r="K203" s="52">
        <f>CHOOSE(CONTROL!$C$42, 9.3573, 9.3573) * CHOOSE(CONTROL!$C$21, $C$9, 100%, $E$9)</f>
        <v>9.3573000000000004</v>
      </c>
      <c r="L203" s="17">
        <f>CHOOSE(CONTROL!$C$42, 10.0055, 10.0055) * CHOOSE(CONTROL!$C$21, $C$9, 100%, $E$9)</f>
        <v>10.0055</v>
      </c>
      <c r="M203" s="17">
        <f>CHOOSE(CONTROL!$C$42, 9.2432, 9.2432) * CHOOSE(CONTROL!$C$21, $C$9, 100%, $E$9)</f>
        <v>9.2431999999999999</v>
      </c>
      <c r="N203" s="17">
        <f>CHOOSE(CONTROL!$C$42, 9.2598, 9.2598) * CHOOSE(CONTROL!$C$21, $C$9, 100%, $E$9)</f>
        <v>9.2598000000000003</v>
      </c>
      <c r="O203" s="17">
        <f>CHOOSE(CONTROL!$C$42, 9.3408, 9.3408) * CHOOSE(CONTROL!$C$21, $C$9, 100%, $E$9)</f>
        <v>9.3407999999999998</v>
      </c>
      <c r="P203" s="17">
        <f>CHOOSE(CONTROL!$C$42, 9.2859, 9.2859) * CHOOSE(CONTROL!$C$21, $C$9, 100%, $E$9)</f>
        <v>9.2858999999999998</v>
      </c>
      <c r="Q203" s="17">
        <f>CHOOSE(CONTROL!$C$42, 9.9355, 9.9355) * CHOOSE(CONTROL!$C$21, $C$9, 100%, $E$9)</f>
        <v>9.9354999999999993</v>
      </c>
      <c r="R203" s="17">
        <f>CHOOSE(CONTROL!$C$42, 10.5474, 10.5474) * CHOOSE(CONTROL!$C$21, $C$9, 100%, $E$9)</f>
        <v>10.5474</v>
      </c>
      <c r="S203" s="17">
        <f>CHOOSE(CONTROL!$C$42, 9.0179, 9.0179) * CHOOSE(CONTROL!$C$21, $C$9, 100%, $E$9)</f>
        <v>9.0178999999999991</v>
      </c>
      <c r="T20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03" s="56">
        <f>(1000*CHOOSE(CONTROL!$C$42, 695, 695)*CHOOSE(CONTROL!$C$42, 0.5599, 0.5599)*CHOOSE(CONTROL!$C$42, 30, 30))/1000000</f>
        <v>11.673914999999997</v>
      </c>
      <c r="V203" s="56">
        <f>(1000*CHOOSE(CONTROL!$C$42, 500, 500)*CHOOSE(CONTROL!$C$42, 0.275, 0.275)*CHOOSE(CONTROL!$C$42, 30, 30))/1000000</f>
        <v>4.125</v>
      </c>
      <c r="W203" s="56">
        <f>(1000*CHOOSE(CONTROL!$C$42, 0.0916, 0.0916)*CHOOSE(CONTROL!$C$42, 121.5, 121.5)*CHOOSE(CONTROL!$C$42, 30, 30))/1000000</f>
        <v>0.33388200000000001</v>
      </c>
      <c r="X203" s="56">
        <f>(30*0.2374*100000/1000000)</f>
        <v>0.71220000000000006</v>
      </c>
      <c r="Y203" s="56"/>
      <c r="Z203" s="17"/>
      <c r="AA203" s="55"/>
      <c r="AB203" s="48">
        <f>(B203*122.58+C203*297.941+D203*89.177+E203*140.302+F203*40+G203*60+H203*0+I203*100+J203*300)/(122.58+297.941+89.177+140.302+0+40+60+100+300)</f>
        <v>9.342005128869566</v>
      </c>
      <c r="AC203" s="45">
        <f>(M203*'RAP TEMPLATE-GAS AVAILABILITY'!O202+N203*'RAP TEMPLATE-GAS AVAILABILITY'!P202+O203*'RAP TEMPLATE-GAS AVAILABILITY'!Q202+P203*'RAP TEMPLATE-GAS AVAILABILITY'!R202)/('RAP TEMPLATE-GAS AVAILABILITY'!O202+'RAP TEMPLATE-GAS AVAILABILITY'!P202+'RAP TEMPLATE-GAS AVAILABILITY'!Q202+'RAP TEMPLATE-GAS AVAILABILITY'!R202)</f>
        <v>9.2945352517985604</v>
      </c>
    </row>
    <row r="204" spans="1:29" ht="15.75" x14ac:dyDescent="0.25">
      <c r="A204" s="16">
        <v>47088</v>
      </c>
      <c r="B204" s="17">
        <f>CHOOSE(CONTROL!$C$42, 9.9639, 9.9639) * CHOOSE(CONTROL!$C$21, $C$9, 100%, $E$9)</f>
        <v>9.9639000000000006</v>
      </c>
      <c r="C204" s="17">
        <f>CHOOSE(CONTROL!$C$42, 9.969, 9.969) * CHOOSE(CONTROL!$C$21, $C$9, 100%, $E$9)</f>
        <v>9.9689999999999994</v>
      </c>
      <c r="D204" s="17">
        <f>CHOOSE(CONTROL!$C$42, 10.0504, 10.0504) * CHOOSE(CONTROL!$C$21, $C$9, 100%, $E$9)</f>
        <v>10.0504</v>
      </c>
      <c r="E204" s="17">
        <f>CHOOSE(CONTROL!$C$42, 10.0841, 10.0841) * CHOOSE(CONTROL!$C$21, $C$9, 100%, $E$9)</f>
        <v>10.084099999999999</v>
      </c>
      <c r="F204" s="17">
        <f>CHOOSE(CONTROL!$C$42, 9.9842, 9.9842)*CHOOSE(CONTROL!$C$21, $C$9, 100%, $E$9)</f>
        <v>9.9841999999999995</v>
      </c>
      <c r="G204" s="17">
        <f>CHOOSE(CONTROL!$C$42, 10.0016, 10.0016)*CHOOSE(CONTROL!$C$21, $C$9, 100%, $E$9)</f>
        <v>10.0016</v>
      </c>
      <c r="H204" s="17">
        <f>CHOOSE(CONTROL!$C$42, 10.073, 10.073) * CHOOSE(CONTROL!$C$21, $C$9, 100%, $E$9)</f>
        <v>10.073</v>
      </c>
      <c r="I204" s="17">
        <f>CHOOSE(CONTROL!$C$42, 10.0198, 10.0198)* CHOOSE(CONTROL!$C$21, $C$9, 100%, $E$9)</f>
        <v>10.0198</v>
      </c>
      <c r="J204" s="17">
        <f>CHOOSE(CONTROL!$C$42, 9.9768, 9.9768)* CHOOSE(CONTROL!$C$21, $C$9, 100%, $E$9)</f>
        <v>9.9768000000000008</v>
      </c>
      <c r="K204" s="52">
        <f>CHOOSE(CONTROL!$C$42, 10.0137, 10.0137) * CHOOSE(CONTROL!$C$21, $C$9, 100%, $E$9)</f>
        <v>10.0137</v>
      </c>
      <c r="L204" s="17">
        <f>CHOOSE(CONTROL!$C$42, 10.66, 10.66) * CHOOSE(CONTROL!$C$21, $C$9, 100%, $E$9)</f>
        <v>10.66</v>
      </c>
      <c r="M204" s="17">
        <f>CHOOSE(CONTROL!$C$42, 9.8941, 9.8941) * CHOOSE(CONTROL!$C$21, $C$9, 100%, $E$9)</f>
        <v>9.8940999999999999</v>
      </c>
      <c r="N204" s="17">
        <f>CHOOSE(CONTROL!$C$42, 9.9113, 9.9113) * CHOOSE(CONTROL!$C$21, $C$9, 100%, $E$9)</f>
        <v>9.9113000000000007</v>
      </c>
      <c r="O204" s="17">
        <f>CHOOSE(CONTROL!$C$42, 9.9894, 9.9894) * CHOOSE(CONTROL!$C$21, $C$9, 100%, $E$9)</f>
        <v>9.9893999999999998</v>
      </c>
      <c r="P204" s="17">
        <f>CHOOSE(CONTROL!$C$42, 9.9365, 9.9365) * CHOOSE(CONTROL!$C$21, $C$9, 100%, $E$9)</f>
        <v>9.9365000000000006</v>
      </c>
      <c r="Q204" s="17">
        <f>CHOOSE(CONTROL!$C$42, 10.5841, 10.5841) * CHOOSE(CONTROL!$C$21, $C$9, 100%, $E$9)</f>
        <v>10.584099999999999</v>
      </c>
      <c r="R204" s="17">
        <f>CHOOSE(CONTROL!$C$42, 11.1976, 11.1976) * CHOOSE(CONTROL!$C$21, $C$9, 100%, $E$9)</f>
        <v>11.1976</v>
      </c>
      <c r="S204" s="17">
        <f>CHOOSE(CONTROL!$C$42, 9.6525, 9.6525) * CHOOSE(CONTROL!$C$21, $C$9, 100%, $E$9)</f>
        <v>9.6524999999999999</v>
      </c>
      <c r="T20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04" s="56">
        <f>(1000*CHOOSE(CONTROL!$C$42, 695, 695)*CHOOSE(CONTROL!$C$42, 0.5599, 0.5599)*CHOOSE(CONTROL!$C$42, 31, 31))/1000000</f>
        <v>12.063045499999998</v>
      </c>
      <c r="V204" s="56">
        <f>(1000*CHOOSE(CONTROL!$C$42, 500, 500)*CHOOSE(CONTROL!$C$42, 0.275, 0.275)*CHOOSE(CONTROL!$C$42, 31, 31))/1000000</f>
        <v>4.2625000000000002</v>
      </c>
      <c r="W204" s="56">
        <f>(1000*CHOOSE(CONTROL!$C$42, 0.0916, 0.0916)*CHOOSE(CONTROL!$C$42, 121.5, 121.5)*CHOOSE(CONTROL!$C$42, 31, 31))/1000000</f>
        <v>0.34501139999999997</v>
      </c>
      <c r="X204" s="56">
        <f>(31*0.2374*100000/1000000)</f>
        <v>0.73594000000000004</v>
      </c>
      <c r="Y204" s="56"/>
      <c r="Z204" s="17"/>
      <c r="AA204" s="55"/>
      <c r="AB204" s="48">
        <f>(B204*122.58+C204*297.941+D204*89.177+E204*140.302+F204*40+G204*60+H204*0+I204*100+J204*300)/(122.58+297.941+89.177+140.302+0+40+60+100+300)</f>
        <v>9.9974927043478274</v>
      </c>
      <c r="AC204" s="45">
        <f>(M204*'RAP TEMPLATE-GAS AVAILABILITY'!O203+N204*'RAP TEMPLATE-GAS AVAILABILITY'!P203+O204*'RAP TEMPLATE-GAS AVAILABILITY'!Q203+P204*'RAP TEMPLATE-GAS AVAILABILITY'!R203)/('RAP TEMPLATE-GAS AVAILABILITY'!O203+'RAP TEMPLATE-GAS AVAILABILITY'!P203+'RAP TEMPLATE-GAS AVAILABILITY'!Q203+'RAP TEMPLATE-GAS AVAILABILITY'!R203)</f>
        <v>9.94438417266187</v>
      </c>
    </row>
    <row r="205" spans="1:29" ht="15.75" x14ac:dyDescent="0.25">
      <c r="A205" s="16">
        <v>47119</v>
      </c>
      <c r="B205" s="17">
        <f>CHOOSE(CONTROL!$C$42, 10.4919, 10.4919) * CHOOSE(CONTROL!$C$21, $C$9, 100%, $E$9)</f>
        <v>10.491899999999999</v>
      </c>
      <c r="C205" s="17">
        <f>CHOOSE(CONTROL!$C$42, 10.497, 10.497) * CHOOSE(CONTROL!$C$21, $C$9, 100%, $E$9)</f>
        <v>10.497</v>
      </c>
      <c r="D205" s="17">
        <f>CHOOSE(CONTROL!$C$42, 10.5938, 10.5938) * CHOOSE(CONTROL!$C$21, $C$9, 100%, $E$9)</f>
        <v>10.5938</v>
      </c>
      <c r="E205" s="17">
        <f>CHOOSE(CONTROL!$C$42, 10.6276, 10.6276) * CHOOSE(CONTROL!$C$21, $C$9, 100%, $E$9)</f>
        <v>10.627599999999999</v>
      </c>
      <c r="F205" s="17">
        <f>CHOOSE(CONTROL!$C$42, 10.5062, 10.5062)*CHOOSE(CONTROL!$C$21, $C$9, 100%, $E$9)</f>
        <v>10.5062</v>
      </c>
      <c r="G205" s="17">
        <f>CHOOSE(CONTROL!$C$42, 10.5226, 10.5226)*CHOOSE(CONTROL!$C$21, $C$9, 100%, $E$9)</f>
        <v>10.522600000000001</v>
      </c>
      <c r="H205" s="17">
        <f>CHOOSE(CONTROL!$C$42, 10.6165, 10.6165) * CHOOSE(CONTROL!$C$21, $C$9, 100%, $E$9)</f>
        <v>10.6165</v>
      </c>
      <c r="I205" s="17">
        <f>CHOOSE(CONTROL!$C$42, 10.5494, 10.5494)* CHOOSE(CONTROL!$C$21, $C$9, 100%, $E$9)</f>
        <v>10.5494</v>
      </c>
      <c r="J205" s="17">
        <f>CHOOSE(CONTROL!$C$42, 10.4988, 10.4988)* CHOOSE(CONTROL!$C$21, $C$9, 100%, $E$9)</f>
        <v>10.498799999999999</v>
      </c>
      <c r="K205" s="52">
        <f>CHOOSE(CONTROL!$C$42, 10.5434, 10.5434) * CHOOSE(CONTROL!$C$21, $C$9, 100%, $E$9)</f>
        <v>10.5434</v>
      </c>
      <c r="L205" s="17">
        <f>CHOOSE(CONTROL!$C$42, 11.2035, 11.2035) * CHOOSE(CONTROL!$C$21, $C$9, 100%, $E$9)</f>
        <v>11.2035</v>
      </c>
      <c r="M205" s="17">
        <f>CHOOSE(CONTROL!$C$42, 10.4113, 10.4113) * CHOOSE(CONTROL!$C$21, $C$9, 100%, $E$9)</f>
        <v>10.411300000000001</v>
      </c>
      <c r="N205" s="17">
        <f>CHOOSE(CONTROL!$C$42, 10.4276, 10.4276) * CHOOSE(CONTROL!$C$21, $C$9, 100%, $E$9)</f>
        <v>10.4276</v>
      </c>
      <c r="O205" s="17">
        <f>CHOOSE(CONTROL!$C$42, 10.528, 10.528) * CHOOSE(CONTROL!$C$21, $C$9, 100%, $E$9)</f>
        <v>10.528</v>
      </c>
      <c r="P205" s="17">
        <f>CHOOSE(CONTROL!$C$42, 10.4613, 10.4613) * CHOOSE(CONTROL!$C$21, $C$9, 100%, $E$9)</f>
        <v>10.4613</v>
      </c>
      <c r="Q205" s="17">
        <f>CHOOSE(CONTROL!$C$42, 11.1227, 11.1227) * CHOOSE(CONTROL!$C$21, $C$9, 100%, $E$9)</f>
        <v>11.1227</v>
      </c>
      <c r="R205" s="17">
        <f>CHOOSE(CONTROL!$C$42, 11.7375, 11.7375) * CHOOSE(CONTROL!$C$21, $C$9, 100%, $E$9)</f>
        <v>11.737500000000001</v>
      </c>
      <c r="S205" s="17">
        <f>CHOOSE(CONTROL!$C$42, 10.1645, 10.1645) * CHOOSE(CONTROL!$C$21, $C$9, 100%, $E$9)</f>
        <v>10.1645</v>
      </c>
      <c r="T20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05" s="56">
        <f>(1000*CHOOSE(CONTROL!$C$42, 695, 695)*CHOOSE(CONTROL!$C$42, 0.5599, 0.5599)*CHOOSE(CONTROL!$C$42, 31, 31))/1000000</f>
        <v>12.063045499999998</v>
      </c>
      <c r="V205" s="56">
        <f>(1000*CHOOSE(CONTROL!$C$42, 500, 500)*CHOOSE(CONTROL!$C$42, 0.275, 0.275)*CHOOSE(CONTROL!$C$42, 31, 31))/1000000</f>
        <v>4.2625000000000002</v>
      </c>
      <c r="W205" s="56">
        <f>(1000*CHOOSE(CONTROL!$C$42, 0.0916, 0.0916)*CHOOSE(CONTROL!$C$42, 121.5, 121.5)*CHOOSE(CONTROL!$C$42, 31, 31))/1000000</f>
        <v>0.34501139999999997</v>
      </c>
      <c r="X205" s="56">
        <f>(31*0.2374*100000/1000000)</f>
        <v>0.73594000000000004</v>
      </c>
      <c r="Y205" s="56"/>
      <c r="Z205" s="17"/>
      <c r="AA205" s="55"/>
      <c r="AB205" s="48">
        <f>(B205*122.58+C205*297.941+D205*89.177+E205*140.302+F205*40+G205*60+H205*0+I205*100+J205*300)/(122.58+297.941+89.177+140.302+0+40+60+100+300)</f>
        <v>10.526577927652173</v>
      </c>
      <c r="AC205" s="45">
        <f>(M205*'RAP TEMPLATE-GAS AVAILABILITY'!O204+N205*'RAP TEMPLATE-GAS AVAILABILITY'!P204+O205*'RAP TEMPLATE-GAS AVAILABILITY'!Q204+P205*'RAP TEMPLATE-GAS AVAILABILITY'!R204)/('RAP TEMPLATE-GAS AVAILABILITY'!O204+'RAP TEMPLATE-GAS AVAILABILITY'!P204+'RAP TEMPLATE-GAS AVAILABILITY'!Q204+'RAP TEMPLATE-GAS AVAILABILITY'!R204)</f>
        <v>10.472325179856115</v>
      </c>
    </row>
    <row r="206" spans="1:29" ht="15.75" x14ac:dyDescent="0.25">
      <c r="A206" s="16">
        <v>47150</v>
      </c>
      <c r="B206" s="17">
        <f>CHOOSE(CONTROL!$C$42, 10.7005, 10.7005) * CHOOSE(CONTROL!$C$21, $C$9, 100%, $E$9)</f>
        <v>10.7005</v>
      </c>
      <c r="C206" s="17">
        <f>CHOOSE(CONTROL!$C$42, 10.7055, 10.7055) * CHOOSE(CONTROL!$C$21, $C$9, 100%, $E$9)</f>
        <v>10.705500000000001</v>
      </c>
      <c r="D206" s="17">
        <f>CHOOSE(CONTROL!$C$42, 10.8024, 10.8024) * CHOOSE(CONTROL!$C$21, $C$9, 100%, $E$9)</f>
        <v>10.8024</v>
      </c>
      <c r="E206" s="17">
        <f>CHOOSE(CONTROL!$C$42, 10.8361, 10.8361) * CHOOSE(CONTROL!$C$21, $C$9, 100%, $E$9)</f>
        <v>10.8361</v>
      </c>
      <c r="F206" s="17">
        <f>CHOOSE(CONTROL!$C$42, 10.7147, 10.7147)*CHOOSE(CONTROL!$C$21, $C$9, 100%, $E$9)</f>
        <v>10.714700000000001</v>
      </c>
      <c r="G206" s="17">
        <f>CHOOSE(CONTROL!$C$42, 10.7311, 10.7311)*CHOOSE(CONTROL!$C$21, $C$9, 100%, $E$9)</f>
        <v>10.7311</v>
      </c>
      <c r="H206" s="17">
        <f>CHOOSE(CONTROL!$C$42, 10.825, 10.825) * CHOOSE(CONTROL!$C$21, $C$9, 100%, $E$9)</f>
        <v>10.824999999999999</v>
      </c>
      <c r="I206" s="17">
        <f>CHOOSE(CONTROL!$C$42, 10.7586, 10.7586)* CHOOSE(CONTROL!$C$21, $C$9, 100%, $E$9)</f>
        <v>10.758599999999999</v>
      </c>
      <c r="J206" s="17">
        <f>CHOOSE(CONTROL!$C$42, 10.7073, 10.7073)* CHOOSE(CONTROL!$C$21, $C$9, 100%, $E$9)</f>
        <v>10.7073</v>
      </c>
      <c r="K206" s="52">
        <f>CHOOSE(CONTROL!$C$42, 10.7526, 10.7526) * CHOOSE(CONTROL!$C$21, $C$9, 100%, $E$9)</f>
        <v>10.752599999999999</v>
      </c>
      <c r="L206" s="17">
        <f>CHOOSE(CONTROL!$C$42, 11.412, 11.412) * CHOOSE(CONTROL!$C$21, $C$9, 100%, $E$9)</f>
        <v>11.412000000000001</v>
      </c>
      <c r="M206" s="17">
        <f>CHOOSE(CONTROL!$C$42, 10.618, 10.618) * CHOOSE(CONTROL!$C$21, $C$9, 100%, $E$9)</f>
        <v>10.618</v>
      </c>
      <c r="N206" s="17">
        <f>CHOOSE(CONTROL!$C$42, 10.6343, 10.6343) * CHOOSE(CONTROL!$C$21, $C$9, 100%, $E$9)</f>
        <v>10.6343</v>
      </c>
      <c r="O206" s="17">
        <f>CHOOSE(CONTROL!$C$42, 10.7347, 10.7347) * CHOOSE(CONTROL!$C$21, $C$9, 100%, $E$9)</f>
        <v>10.7347</v>
      </c>
      <c r="P206" s="17">
        <f>CHOOSE(CONTROL!$C$42, 10.6686, 10.6686) * CHOOSE(CONTROL!$C$21, $C$9, 100%, $E$9)</f>
        <v>10.6686</v>
      </c>
      <c r="Q206" s="17">
        <f>CHOOSE(CONTROL!$C$42, 11.3294, 11.3294) * CHOOSE(CONTROL!$C$21, $C$9, 100%, $E$9)</f>
        <v>11.3294</v>
      </c>
      <c r="R206" s="17">
        <f>CHOOSE(CONTROL!$C$42, 11.9447, 11.9447) * CHOOSE(CONTROL!$C$21, $C$9, 100%, $E$9)</f>
        <v>11.944699999999999</v>
      </c>
      <c r="S206" s="17">
        <f>CHOOSE(CONTROL!$C$42, 10.3667, 10.3667) * CHOOSE(CONTROL!$C$21, $C$9, 100%, $E$9)</f>
        <v>10.3667</v>
      </c>
      <c r="T20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06" s="56">
        <f>(1000*CHOOSE(CONTROL!$C$42, 695, 695)*CHOOSE(CONTROL!$C$42, 0.5599, 0.5599)*CHOOSE(CONTROL!$C$42, 28, 28))/1000000</f>
        <v>10.895653999999999</v>
      </c>
      <c r="V206" s="56">
        <f>(1000*CHOOSE(CONTROL!$C$42, 500, 500)*CHOOSE(CONTROL!$C$42, 0.275, 0.275)*CHOOSE(CONTROL!$C$42, 28, 28))/1000000</f>
        <v>3.85</v>
      </c>
      <c r="W206" s="56">
        <f>(1000*CHOOSE(CONTROL!$C$42, 0.0916, 0.0916)*CHOOSE(CONTROL!$C$42, 121.5, 121.5)*CHOOSE(CONTROL!$C$42, 28, 28))/1000000</f>
        <v>0.31162319999999999</v>
      </c>
      <c r="X206" s="56">
        <f>(28*0.2374*100000/1000000)</f>
        <v>0.66471999999999998</v>
      </c>
      <c r="Y206" s="56"/>
      <c r="Z206" s="17"/>
      <c r="AA206" s="55"/>
      <c r="AB206" s="48">
        <f>(B206*122.58+C206*297.941+D206*89.177+E206*140.302+F206*40+G206*60+H206*0+I206*100+J206*300)/(122.58+297.941+89.177+140.302+0+40+60+100+300)</f>
        <v>10.735157210869565</v>
      </c>
      <c r="AC206" s="45">
        <f>(M206*'RAP TEMPLATE-GAS AVAILABILITY'!O205+N206*'RAP TEMPLATE-GAS AVAILABILITY'!P205+O206*'RAP TEMPLATE-GAS AVAILABILITY'!Q205+P206*'RAP TEMPLATE-GAS AVAILABILITY'!R205)/('RAP TEMPLATE-GAS AVAILABILITY'!O205+'RAP TEMPLATE-GAS AVAILABILITY'!P205+'RAP TEMPLATE-GAS AVAILABILITY'!Q205+'RAP TEMPLATE-GAS AVAILABILITY'!R205)</f>
        <v>10.679111510791365</v>
      </c>
    </row>
    <row r="207" spans="1:29" ht="15.75" x14ac:dyDescent="0.25">
      <c r="A207" s="16">
        <v>47178</v>
      </c>
      <c r="B207" s="17">
        <f>CHOOSE(CONTROL!$C$42, 10.4184, 10.4184) * CHOOSE(CONTROL!$C$21, $C$9, 100%, $E$9)</f>
        <v>10.4184</v>
      </c>
      <c r="C207" s="17">
        <f>CHOOSE(CONTROL!$C$42, 10.4234, 10.4234) * CHOOSE(CONTROL!$C$21, $C$9, 100%, $E$9)</f>
        <v>10.423400000000001</v>
      </c>
      <c r="D207" s="17">
        <f>CHOOSE(CONTROL!$C$42, 10.5203, 10.5203) * CHOOSE(CONTROL!$C$21, $C$9, 100%, $E$9)</f>
        <v>10.520300000000001</v>
      </c>
      <c r="E207" s="17">
        <f>CHOOSE(CONTROL!$C$42, 10.554, 10.554) * CHOOSE(CONTROL!$C$21, $C$9, 100%, $E$9)</f>
        <v>10.554</v>
      </c>
      <c r="F207" s="17">
        <f>CHOOSE(CONTROL!$C$42, 10.432, 10.432)*CHOOSE(CONTROL!$C$21, $C$9, 100%, $E$9)</f>
        <v>10.432</v>
      </c>
      <c r="G207" s="17">
        <f>CHOOSE(CONTROL!$C$42, 10.4482, 10.4482)*CHOOSE(CONTROL!$C$21, $C$9, 100%, $E$9)</f>
        <v>10.4482</v>
      </c>
      <c r="H207" s="17">
        <f>CHOOSE(CONTROL!$C$42, 10.5429, 10.5429) * CHOOSE(CONTROL!$C$21, $C$9, 100%, $E$9)</f>
        <v>10.542899999999999</v>
      </c>
      <c r="I207" s="17">
        <f>CHOOSE(CONTROL!$C$42, 10.4756, 10.4756)* CHOOSE(CONTROL!$C$21, $C$9, 100%, $E$9)</f>
        <v>10.4756</v>
      </c>
      <c r="J207" s="17">
        <f>CHOOSE(CONTROL!$C$42, 10.4246, 10.4246)* CHOOSE(CONTROL!$C$21, $C$9, 100%, $E$9)</f>
        <v>10.4246</v>
      </c>
      <c r="K207" s="52">
        <f>CHOOSE(CONTROL!$C$42, 10.4696, 10.4696) * CHOOSE(CONTROL!$C$21, $C$9, 100%, $E$9)</f>
        <v>10.4696</v>
      </c>
      <c r="L207" s="17">
        <f>CHOOSE(CONTROL!$C$42, 11.1299, 11.1299) * CHOOSE(CONTROL!$C$21, $C$9, 100%, $E$9)</f>
        <v>11.129899999999999</v>
      </c>
      <c r="M207" s="17">
        <f>CHOOSE(CONTROL!$C$42, 10.3378, 10.3378) * CHOOSE(CONTROL!$C$21, $C$9, 100%, $E$9)</f>
        <v>10.3378</v>
      </c>
      <c r="N207" s="17">
        <f>CHOOSE(CONTROL!$C$42, 10.3539, 10.3539) * CHOOSE(CONTROL!$C$21, $C$9, 100%, $E$9)</f>
        <v>10.353899999999999</v>
      </c>
      <c r="O207" s="17">
        <f>CHOOSE(CONTROL!$C$42, 10.4551, 10.4551) * CHOOSE(CONTROL!$C$21, $C$9, 100%, $E$9)</f>
        <v>10.4551</v>
      </c>
      <c r="P207" s="17">
        <f>CHOOSE(CONTROL!$C$42, 10.3882, 10.3882) * CHOOSE(CONTROL!$C$21, $C$9, 100%, $E$9)</f>
        <v>10.388199999999999</v>
      </c>
      <c r="Q207" s="17">
        <f>CHOOSE(CONTROL!$C$42, 11.0498, 11.0498) * CHOOSE(CONTROL!$C$21, $C$9, 100%, $E$9)</f>
        <v>11.049799999999999</v>
      </c>
      <c r="R207" s="17">
        <f>CHOOSE(CONTROL!$C$42, 11.6644, 11.6644) * CHOOSE(CONTROL!$C$21, $C$9, 100%, $E$9)</f>
        <v>11.664400000000001</v>
      </c>
      <c r="S207" s="17">
        <f>CHOOSE(CONTROL!$C$42, 10.0932, 10.0932) * CHOOSE(CONTROL!$C$21, $C$9, 100%, $E$9)</f>
        <v>10.0932</v>
      </c>
      <c r="T20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07" s="56">
        <f>(1000*CHOOSE(CONTROL!$C$42, 695, 695)*CHOOSE(CONTROL!$C$42, 0.5599, 0.5599)*CHOOSE(CONTROL!$C$42, 31, 31))/1000000</f>
        <v>12.063045499999998</v>
      </c>
      <c r="V207" s="56">
        <f>(1000*CHOOSE(CONTROL!$C$42, 500, 500)*CHOOSE(CONTROL!$C$42, 0.275, 0.275)*CHOOSE(CONTROL!$C$42, 31, 31))/1000000</f>
        <v>4.2625000000000002</v>
      </c>
      <c r="W207" s="56">
        <f>(1000*CHOOSE(CONTROL!$C$42, 0.0916, 0.0916)*CHOOSE(CONTROL!$C$42, 121.5, 121.5)*CHOOSE(CONTROL!$C$42, 31, 31))/1000000</f>
        <v>0.34501139999999997</v>
      </c>
      <c r="X207" s="56">
        <f>(31*0.2374*100000/1000000)</f>
        <v>0.73594000000000004</v>
      </c>
      <c r="Y207" s="56"/>
      <c r="Z207" s="17"/>
      <c r="AA207" s="55"/>
      <c r="AB207" s="48">
        <f>(B207*122.58+C207*297.941+D207*89.177+E207*140.302+F207*40+G207*60+H207*0+I207*100+J207*300)/(122.58+297.941+89.177+140.302+0+40+60+100+300)</f>
        <v>10.45275981956522</v>
      </c>
      <c r="AC207" s="45">
        <f>(M207*'RAP TEMPLATE-GAS AVAILABILITY'!O206+N207*'RAP TEMPLATE-GAS AVAILABILITY'!P206+O207*'RAP TEMPLATE-GAS AVAILABILITY'!Q206+P207*'RAP TEMPLATE-GAS AVAILABILITY'!R206)/('RAP TEMPLATE-GAS AVAILABILITY'!O206+'RAP TEMPLATE-GAS AVAILABILITY'!P206+'RAP TEMPLATE-GAS AVAILABILITY'!Q206+'RAP TEMPLATE-GAS AVAILABILITY'!R206)</f>
        <v>10.399143165467626</v>
      </c>
    </row>
    <row r="208" spans="1:29" ht="15.75" x14ac:dyDescent="0.25">
      <c r="A208" s="16">
        <v>47209</v>
      </c>
      <c r="B208" s="17">
        <f>CHOOSE(CONTROL!$C$42, 10.4096, 10.4096) * CHOOSE(CONTROL!$C$21, $C$9, 100%, $E$9)</f>
        <v>10.409599999999999</v>
      </c>
      <c r="C208" s="17">
        <f>CHOOSE(CONTROL!$C$42, 10.4141, 10.4141) * CHOOSE(CONTROL!$C$21, $C$9, 100%, $E$9)</f>
        <v>10.414099999999999</v>
      </c>
      <c r="D208" s="17">
        <f>CHOOSE(CONTROL!$C$42, 10.6616, 10.6616) * CHOOSE(CONTROL!$C$21, $C$9, 100%, $E$9)</f>
        <v>10.6616</v>
      </c>
      <c r="E208" s="17">
        <f>CHOOSE(CONTROL!$C$42, 10.6934, 10.6934) * CHOOSE(CONTROL!$C$21, $C$9, 100%, $E$9)</f>
        <v>10.6934</v>
      </c>
      <c r="F208" s="17">
        <f>CHOOSE(CONTROL!$C$42, 10.4212, 10.4212)*CHOOSE(CONTROL!$C$21, $C$9, 100%, $E$9)</f>
        <v>10.421200000000001</v>
      </c>
      <c r="G208" s="17">
        <f>CHOOSE(CONTROL!$C$42, 10.4371, 10.4371)*CHOOSE(CONTROL!$C$21, $C$9, 100%, $E$9)</f>
        <v>10.437099999999999</v>
      </c>
      <c r="H208" s="17">
        <f>CHOOSE(CONTROL!$C$42, 10.6829, 10.6829) * CHOOSE(CONTROL!$C$21, $C$9, 100%, $E$9)</f>
        <v>10.6829</v>
      </c>
      <c r="I208" s="17">
        <f>CHOOSE(CONTROL!$C$42, 10.4645, 10.4645)* CHOOSE(CONTROL!$C$21, $C$9, 100%, $E$9)</f>
        <v>10.464499999999999</v>
      </c>
      <c r="J208" s="17">
        <f>CHOOSE(CONTROL!$C$42, 10.4138, 10.4138)* CHOOSE(CONTROL!$C$21, $C$9, 100%, $E$9)</f>
        <v>10.4138</v>
      </c>
      <c r="K208" s="52">
        <f>CHOOSE(CONTROL!$C$42, 10.4585, 10.4585) * CHOOSE(CONTROL!$C$21, $C$9, 100%, $E$9)</f>
        <v>10.458500000000001</v>
      </c>
      <c r="L208" s="17">
        <f>CHOOSE(CONTROL!$C$42, 11.2699, 11.2699) * CHOOSE(CONTROL!$C$21, $C$9, 100%, $E$9)</f>
        <v>11.2699</v>
      </c>
      <c r="M208" s="17">
        <f>CHOOSE(CONTROL!$C$42, 10.3272, 10.3272) * CHOOSE(CONTROL!$C$21, $C$9, 100%, $E$9)</f>
        <v>10.327199999999999</v>
      </c>
      <c r="N208" s="17">
        <f>CHOOSE(CONTROL!$C$42, 10.3429, 10.3429) * CHOOSE(CONTROL!$C$21, $C$9, 100%, $E$9)</f>
        <v>10.3429</v>
      </c>
      <c r="O208" s="17">
        <f>CHOOSE(CONTROL!$C$42, 10.5938, 10.5938) * CHOOSE(CONTROL!$C$21, $C$9, 100%, $E$9)</f>
        <v>10.5938</v>
      </c>
      <c r="P208" s="17">
        <f>CHOOSE(CONTROL!$C$42, 10.3772, 10.3772) * CHOOSE(CONTROL!$C$21, $C$9, 100%, $E$9)</f>
        <v>10.3772</v>
      </c>
      <c r="Q208" s="17">
        <f>CHOOSE(CONTROL!$C$42, 11.1885, 11.1885) * CHOOSE(CONTROL!$C$21, $C$9, 100%, $E$9)</f>
        <v>11.188499999999999</v>
      </c>
      <c r="R208" s="17">
        <f>CHOOSE(CONTROL!$C$42, 11.8035, 11.8035) * CHOOSE(CONTROL!$C$21, $C$9, 100%, $E$9)</f>
        <v>11.8035</v>
      </c>
      <c r="S208" s="17">
        <f>CHOOSE(CONTROL!$C$42, 10.0839, 10.0839) * CHOOSE(CONTROL!$C$21, $C$9, 100%, $E$9)</f>
        <v>10.0839</v>
      </c>
      <c r="T20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08" s="56">
        <f>(1000*CHOOSE(CONTROL!$C$42, 695, 695)*CHOOSE(CONTROL!$C$42, 0.5599, 0.5599)*CHOOSE(CONTROL!$C$42, 30, 30))/1000000</f>
        <v>11.673914999999997</v>
      </c>
      <c r="V208" s="56">
        <f>(1000*CHOOSE(CONTROL!$C$42, 500, 500)*CHOOSE(CONTROL!$C$42, 0.275, 0.275)*CHOOSE(CONTROL!$C$42, 30, 30))/1000000</f>
        <v>4.125</v>
      </c>
      <c r="W208" s="56">
        <f>(1000*CHOOSE(CONTROL!$C$42, 0.0916, 0.0916)*CHOOSE(CONTROL!$C$42, 121.5, 121.5)*CHOOSE(CONTROL!$C$42, 30, 30))/1000000</f>
        <v>0.33388200000000001</v>
      </c>
      <c r="X208" s="56">
        <f>(30*0.1790888*145000/1000000)+(30*0.2374*100000/1000000)</f>
        <v>1.4912362799999999</v>
      </c>
      <c r="Y208" s="56"/>
      <c r="Z208" s="17"/>
      <c r="AA208" s="55"/>
      <c r="AB208" s="48">
        <f>(B208*141.293+C208*267.993+D208*115.016+E208*189.698+F208*40+G208*85+H208*0+I208*100+J208*300)/(141.293+267.993+115.016+189.698+0+40+85+100+300)</f>
        <v>10.485126870782889</v>
      </c>
      <c r="AC208" s="45">
        <f>(M208*'RAP TEMPLATE-GAS AVAILABILITY'!O207+N208*'RAP TEMPLATE-GAS AVAILABILITY'!P207+O208*'RAP TEMPLATE-GAS AVAILABILITY'!Q207+P208*'RAP TEMPLATE-GAS AVAILABILITY'!R207)/('RAP TEMPLATE-GAS AVAILABILITY'!O207+'RAP TEMPLATE-GAS AVAILABILITY'!P207+'RAP TEMPLATE-GAS AVAILABILITY'!Q207+'RAP TEMPLATE-GAS AVAILABILITY'!R207)</f>
        <v>10.412810071942447</v>
      </c>
    </row>
    <row r="209" spans="1:29" ht="15.75" x14ac:dyDescent="0.25">
      <c r="A209" s="16">
        <v>47239</v>
      </c>
      <c r="B209" s="17">
        <f>CHOOSE(CONTROL!$C$42, 10.5243, 10.5243) * CHOOSE(CONTROL!$C$21, $C$9, 100%, $E$9)</f>
        <v>10.5243</v>
      </c>
      <c r="C209" s="17">
        <f>CHOOSE(CONTROL!$C$42, 10.5323, 10.5323) * CHOOSE(CONTROL!$C$21, $C$9, 100%, $E$9)</f>
        <v>10.532299999999999</v>
      </c>
      <c r="D209" s="17">
        <f>CHOOSE(CONTROL!$C$42, 10.7768, 10.7768) * CHOOSE(CONTROL!$C$21, $C$9, 100%, $E$9)</f>
        <v>10.7768</v>
      </c>
      <c r="E209" s="17">
        <f>CHOOSE(CONTROL!$C$42, 10.8079, 10.8079) * CHOOSE(CONTROL!$C$21, $C$9, 100%, $E$9)</f>
        <v>10.8079</v>
      </c>
      <c r="F209" s="17">
        <f>CHOOSE(CONTROL!$C$42, 10.5349, 10.5349)*CHOOSE(CONTROL!$C$21, $C$9, 100%, $E$9)</f>
        <v>10.5349</v>
      </c>
      <c r="G209" s="17">
        <f>CHOOSE(CONTROL!$C$42, 10.5511, 10.5511)*CHOOSE(CONTROL!$C$21, $C$9, 100%, $E$9)</f>
        <v>10.5511</v>
      </c>
      <c r="H209" s="17">
        <f>CHOOSE(CONTROL!$C$42, 10.7963, 10.7963) * CHOOSE(CONTROL!$C$21, $C$9, 100%, $E$9)</f>
        <v>10.7963</v>
      </c>
      <c r="I209" s="17">
        <f>CHOOSE(CONTROL!$C$42, 10.5782, 10.5782)* CHOOSE(CONTROL!$C$21, $C$9, 100%, $E$9)</f>
        <v>10.578200000000001</v>
      </c>
      <c r="J209" s="17">
        <f>CHOOSE(CONTROL!$C$42, 10.5275, 10.5275)* CHOOSE(CONTROL!$C$21, $C$9, 100%, $E$9)</f>
        <v>10.5275</v>
      </c>
      <c r="K209" s="52">
        <f>CHOOSE(CONTROL!$C$42, 10.5722, 10.5722) * CHOOSE(CONTROL!$C$21, $C$9, 100%, $E$9)</f>
        <v>10.5722</v>
      </c>
      <c r="L209" s="17">
        <f>CHOOSE(CONTROL!$C$42, 11.3833, 11.3833) * CHOOSE(CONTROL!$C$21, $C$9, 100%, $E$9)</f>
        <v>11.3833</v>
      </c>
      <c r="M209" s="17">
        <f>CHOOSE(CONTROL!$C$42, 10.4398, 10.4398) * CHOOSE(CONTROL!$C$21, $C$9, 100%, $E$9)</f>
        <v>10.4398</v>
      </c>
      <c r="N209" s="17">
        <f>CHOOSE(CONTROL!$C$42, 10.4559, 10.4559) * CHOOSE(CONTROL!$C$21, $C$9, 100%, $E$9)</f>
        <v>10.4559</v>
      </c>
      <c r="O209" s="17">
        <f>CHOOSE(CONTROL!$C$42, 10.7062, 10.7062) * CHOOSE(CONTROL!$C$21, $C$9, 100%, $E$9)</f>
        <v>10.706200000000001</v>
      </c>
      <c r="P209" s="17">
        <f>CHOOSE(CONTROL!$C$42, 10.4899, 10.4899) * CHOOSE(CONTROL!$C$21, $C$9, 100%, $E$9)</f>
        <v>10.4899</v>
      </c>
      <c r="Q209" s="17">
        <f>CHOOSE(CONTROL!$C$42, 11.3009, 11.3009) * CHOOSE(CONTROL!$C$21, $C$9, 100%, $E$9)</f>
        <v>11.3009</v>
      </c>
      <c r="R209" s="17">
        <f>CHOOSE(CONTROL!$C$42, 11.9161, 11.9161) * CHOOSE(CONTROL!$C$21, $C$9, 100%, $E$9)</f>
        <v>11.9161</v>
      </c>
      <c r="S209" s="17">
        <f>CHOOSE(CONTROL!$C$42, 10.1938, 10.1938) * CHOOSE(CONTROL!$C$21, $C$9, 100%, $E$9)</f>
        <v>10.1938</v>
      </c>
      <c r="T20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09" s="56">
        <f>(1000*CHOOSE(CONTROL!$C$42, 695, 695)*CHOOSE(CONTROL!$C$42, 0.5599, 0.5599)*CHOOSE(CONTROL!$C$42, 31, 31))/1000000</f>
        <v>12.063045499999998</v>
      </c>
      <c r="V209" s="56">
        <f>(1000*CHOOSE(CONTROL!$C$42, 500, 500)*CHOOSE(CONTROL!$C$42, 0.275, 0.275)*CHOOSE(CONTROL!$C$42, 31, 31))/1000000</f>
        <v>4.2625000000000002</v>
      </c>
      <c r="W209" s="56">
        <f>(1000*CHOOSE(CONTROL!$C$42, 0.0916, 0.0916)*CHOOSE(CONTROL!$C$42, 121.5, 121.5)*CHOOSE(CONTROL!$C$42, 31, 31))/1000000</f>
        <v>0.34501139999999997</v>
      </c>
      <c r="X209" s="56">
        <f>(31*0.1790888*145000/1000000)+(31*0.2374*100000/1000000)</f>
        <v>1.5409441560000001</v>
      </c>
      <c r="Y209" s="56"/>
      <c r="Z209" s="17"/>
      <c r="AA209" s="55"/>
      <c r="AB209" s="48">
        <f>(B209*194.205+C209*267.466+D209*133.845+E209*153.484+F209*40+G209*85+H209*0+I209*100+J209*300)/(194.205+267.466+133.845+153.484+0+40+85+100+300)</f>
        <v>10.593778534458401</v>
      </c>
      <c r="AC209" s="45">
        <f>(M209*'RAP TEMPLATE-GAS AVAILABILITY'!O208+N209*'RAP TEMPLATE-GAS AVAILABILITY'!P208+O209*'RAP TEMPLATE-GAS AVAILABILITY'!Q208+P209*'RAP TEMPLATE-GAS AVAILABILITY'!R208)/('RAP TEMPLATE-GAS AVAILABILITY'!O208+'RAP TEMPLATE-GAS AVAILABILITY'!P208+'RAP TEMPLATE-GAS AVAILABILITY'!Q208+'RAP TEMPLATE-GAS AVAILABILITY'!R208)</f>
        <v>10.525460431654675</v>
      </c>
    </row>
    <row r="210" spans="1:29" ht="15.75" x14ac:dyDescent="0.25">
      <c r="A210" s="16">
        <v>47270</v>
      </c>
      <c r="B210" s="17">
        <f>CHOOSE(CONTROL!$C$42, 10.8448, 10.8448) * CHOOSE(CONTROL!$C$21, $C$9, 100%, $E$9)</f>
        <v>10.844799999999999</v>
      </c>
      <c r="C210" s="17">
        <f>CHOOSE(CONTROL!$C$42, 10.8527, 10.8527) * CHOOSE(CONTROL!$C$21, $C$9, 100%, $E$9)</f>
        <v>10.8527</v>
      </c>
      <c r="D210" s="17">
        <f>CHOOSE(CONTROL!$C$42, 11.0972, 11.0972) * CHOOSE(CONTROL!$C$21, $C$9, 100%, $E$9)</f>
        <v>11.097200000000001</v>
      </c>
      <c r="E210" s="17">
        <f>CHOOSE(CONTROL!$C$42, 11.1284, 11.1284) * CHOOSE(CONTROL!$C$21, $C$9, 100%, $E$9)</f>
        <v>11.128399999999999</v>
      </c>
      <c r="F210" s="17">
        <f>CHOOSE(CONTROL!$C$42, 10.8556, 10.8556)*CHOOSE(CONTROL!$C$21, $C$9, 100%, $E$9)</f>
        <v>10.855600000000001</v>
      </c>
      <c r="G210" s="17">
        <f>CHOOSE(CONTROL!$C$42, 10.8719, 10.8719)*CHOOSE(CONTROL!$C$21, $C$9, 100%, $E$9)</f>
        <v>10.8719</v>
      </c>
      <c r="H210" s="17">
        <f>CHOOSE(CONTROL!$C$42, 11.1167, 11.1167) * CHOOSE(CONTROL!$C$21, $C$9, 100%, $E$9)</f>
        <v>11.1167</v>
      </c>
      <c r="I210" s="17">
        <f>CHOOSE(CONTROL!$C$42, 10.8997, 10.8997)* CHOOSE(CONTROL!$C$21, $C$9, 100%, $E$9)</f>
        <v>10.899699999999999</v>
      </c>
      <c r="J210" s="17">
        <f>CHOOSE(CONTROL!$C$42, 10.8482, 10.8482)* CHOOSE(CONTROL!$C$21, $C$9, 100%, $E$9)</f>
        <v>10.8482</v>
      </c>
      <c r="K210" s="52">
        <f>CHOOSE(CONTROL!$C$42, 10.8936, 10.8936) * CHOOSE(CONTROL!$C$21, $C$9, 100%, $E$9)</f>
        <v>10.893599999999999</v>
      </c>
      <c r="L210" s="17">
        <f>CHOOSE(CONTROL!$C$42, 11.7037, 11.7037) * CHOOSE(CONTROL!$C$21, $C$9, 100%, $E$9)</f>
        <v>11.7037</v>
      </c>
      <c r="M210" s="17">
        <f>CHOOSE(CONTROL!$C$42, 10.7577, 10.7577) * CHOOSE(CONTROL!$C$21, $C$9, 100%, $E$9)</f>
        <v>10.7577</v>
      </c>
      <c r="N210" s="17">
        <f>CHOOSE(CONTROL!$C$42, 10.7738, 10.7738) * CHOOSE(CONTROL!$C$21, $C$9, 100%, $E$9)</f>
        <v>10.7738</v>
      </c>
      <c r="O210" s="17">
        <f>CHOOSE(CONTROL!$C$42, 11.0237, 11.0237) * CHOOSE(CONTROL!$C$21, $C$9, 100%, $E$9)</f>
        <v>11.0237</v>
      </c>
      <c r="P210" s="17">
        <f>CHOOSE(CONTROL!$C$42, 10.8084, 10.8084) * CHOOSE(CONTROL!$C$21, $C$9, 100%, $E$9)</f>
        <v>10.808400000000001</v>
      </c>
      <c r="Q210" s="17">
        <f>CHOOSE(CONTROL!$C$42, 11.6184, 11.6184) * CHOOSE(CONTROL!$C$21, $C$9, 100%, $E$9)</f>
        <v>11.618399999999999</v>
      </c>
      <c r="R210" s="17">
        <f>CHOOSE(CONTROL!$C$42, 12.2345, 12.2345) * CHOOSE(CONTROL!$C$21, $C$9, 100%, $E$9)</f>
        <v>12.234500000000001</v>
      </c>
      <c r="S210" s="17">
        <f>CHOOSE(CONTROL!$C$42, 10.5046, 10.5046) * CHOOSE(CONTROL!$C$21, $C$9, 100%, $E$9)</f>
        <v>10.5046</v>
      </c>
      <c r="T21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10" s="56">
        <f>(1000*CHOOSE(CONTROL!$C$42, 695, 695)*CHOOSE(CONTROL!$C$42, 0.5599, 0.5599)*CHOOSE(CONTROL!$C$42, 30, 30))/1000000</f>
        <v>11.673914999999997</v>
      </c>
      <c r="V210" s="56">
        <f>(1000*CHOOSE(CONTROL!$C$42, 500, 500)*CHOOSE(CONTROL!$C$42, 0.275, 0.275)*CHOOSE(CONTROL!$C$42, 30, 30))/1000000</f>
        <v>4.125</v>
      </c>
      <c r="W210" s="56">
        <f>(1000*CHOOSE(CONTROL!$C$42, 0.0916, 0.0916)*CHOOSE(CONTROL!$C$42, 121.5, 121.5)*CHOOSE(CONTROL!$C$42, 30, 30))/1000000</f>
        <v>0.33388200000000001</v>
      </c>
      <c r="X210" s="56">
        <f>(30*0.1790888*145000/1000000)+(30*0.2374*100000/1000000)</f>
        <v>1.4912362799999999</v>
      </c>
      <c r="Y210" s="56"/>
      <c r="Z210" s="17"/>
      <c r="AA210" s="55"/>
      <c r="AB210" s="48">
        <f>(B210*194.205+C210*267.466+D210*133.845+E210*153.484+F210*40+G210*85+H210*0+I210*100+J210*300)/(194.205+267.466+133.845+153.484+0+40+85+100+300)</f>
        <v>10.914398918210361</v>
      </c>
      <c r="AC210" s="45">
        <f>(M210*'RAP TEMPLATE-GAS AVAILABILITY'!O209+N210*'RAP TEMPLATE-GAS AVAILABILITY'!P209+O210*'RAP TEMPLATE-GAS AVAILABILITY'!Q209+P210*'RAP TEMPLATE-GAS AVAILABILITY'!R209)/('RAP TEMPLATE-GAS AVAILABILITY'!O209+'RAP TEMPLATE-GAS AVAILABILITY'!P209+'RAP TEMPLATE-GAS AVAILABILITY'!Q209+'RAP TEMPLATE-GAS AVAILABILITY'!R209)</f>
        <v>10.843334532374101</v>
      </c>
    </row>
    <row r="211" spans="1:29" ht="15.75" x14ac:dyDescent="0.25">
      <c r="A211" s="16">
        <v>47300</v>
      </c>
      <c r="B211" s="17">
        <f>CHOOSE(CONTROL!$C$42, 10.6588, 10.6588) * CHOOSE(CONTROL!$C$21, $C$9, 100%, $E$9)</f>
        <v>10.658799999999999</v>
      </c>
      <c r="C211" s="17">
        <f>CHOOSE(CONTROL!$C$42, 10.6668, 10.6668) * CHOOSE(CONTROL!$C$21, $C$9, 100%, $E$9)</f>
        <v>10.6668</v>
      </c>
      <c r="D211" s="17">
        <f>CHOOSE(CONTROL!$C$42, 10.9113, 10.9113) * CHOOSE(CONTROL!$C$21, $C$9, 100%, $E$9)</f>
        <v>10.911300000000001</v>
      </c>
      <c r="E211" s="17">
        <f>CHOOSE(CONTROL!$C$42, 10.9425, 10.9425) * CHOOSE(CONTROL!$C$21, $C$9, 100%, $E$9)</f>
        <v>10.942500000000001</v>
      </c>
      <c r="F211" s="17">
        <f>CHOOSE(CONTROL!$C$42, 10.6701, 10.6701)*CHOOSE(CONTROL!$C$21, $C$9, 100%, $E$9)</f>
        <v>10.6701</v>
      </c>
      <c r="G211" s="17">
        <f>CHOOSE(CONTROL!$C$42, 10.6866, 10.6866)*CHOOSE(CONTROL!$C$21, $C$9, 100%, $E$9)</f>
        <v>10.6866</v>
      </c>
      <c r="H211" s="17">
        <f>CHOOSE(CONTROL!$C$42, 10.9308, 10.9308) * CHOOSE(CONTROL!$C$21, $C$9, 100%, $E$9)</f>
        <v>10.9308</v>
      </c>
      <c r="I211" s="17">
        <f>CHOOSE(CONTROL!$C$42, 10.7132, 10.7132)* CHOOSE(CONTROL!$C$21, $C$9, 100%, $E$9)</f>
        <v>10.713200000000001</v>
      </c>
      <c r="J211" s="17">
        <f>CHOOSE(CONTROL!$C$42, 10.6627, 10.6627)* CHOOSE(CONTROL!$C$21, $C$9, 100%, $E$9)</f>
        <v>10.662699999999999</v>
      </c>
      <c r="K211" s="52">
        <f>CHOOSE(CONTROL!$C$42, 10.7071, 10.7071) * CHOOSE(CONTROL!$C$21, $C$9, 100%, $E$9)</f>
        <v>10.707100000000001</v>
      </c>
      <c r="L211" s="17">
        <f>CHOOSE(CONTROL!$C$42, 11.5178, 11.5178) * CHOOSE(CONTROL!$C$21, $C$9, 100%, $E$9)</f>
        <v>11.517799999999999</v>
      </c>
      <c r="M211" s="17">
        <f>CHOOSE(CONTROL!$C$42, 10.5739, 10.5739) * CHOOSE(CONTROL!$C$21, $C$9, 100%, $E$9)</f>
        <v>10.5739</v>
      </c>
      <c r="N211" s="17">
        <f>CHOOSE(CONTROL!$C$42, 10.5901, 10.5901) * CHOOSE(CONTROL!$C$21, $C$9, 100%, $E$9)</f>
        <v>10.5901</v>
      </c>
      <c r="O211" s="17">
        <f>CHOOSE(CONTROL!$C$42, 10.8395, 10.8395) * CHOOSE(CONTROL!$C$21, $C$9, 100%, $E$9)</f>
        <v>10.839499999999999</v>
      </c>
      <c r="P211" s="17">
        <f>CHOOSE(CONTROL!$C$42, 10.6236, 10.6236) * CHOOSE(CONTROL!$C$21, $C$9, 100%, $E$9)</f>
        <v>10.6236</v>
      </c>
      <c r="Q211" s="17">
        <f>CHOOSE(CONTROL!$C$42, 11.4342, 11.4342) * CHOOSE(CONTROL!$C$21, $C$9, 100%, $E$9)</f>
        <v>11.434200000000001</v>
      </c>
      <c r="R211" s="17">
        <f>CHOOSE(CONTROL!$C$42, 12.0498, 12.0498) * CHOOSE(CONTROL!$C$21, $C$9, 100%, $E$9)</f>
        <v>12.049799999999999</v>
      </c>
      <c r="S211" s="17">
        <f>CHOOSE(CONTROL!$C$42, 10.3243, 10.3243) * CHOOSE(CONTROL!$C$21, $C$9, 100%, $E$9)</f>
        <v>10.324299999999999</v>
      </c>
      <c r="T21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11" s="56">
        <f>(1000*CHOOSE(CONTROL!$C$42, 695, 695)*CHOOSE(CONTROL!$C$42, 0.5599, 0.5599)*CHOOSE(CONTROL!$C$42, 31, 31))/1000000</f>
        <v>12.063045499999998</v>
      </c>
      <c r="V211" s="56">
        <f>(1000*CHOOSE(CONTROL!$C$42, 500, 500)*CHOOSE(CONTROL!$C$42, 0.275, 0.275)*CHOOSE(CONTROL!$C$42, 31, 31))/1000000</f>
        <v>4.2625000000000002</v>
      </c>
      <c r="W211" s="56">
        <f>(1000*CHOOSE(CONTROL!$C$42, 0.0916, 0.0916)*CHOOSE(CONTROL!$C$42, 121.5, 121.5)*CHOOSE(CONTROL!$C$42, 31, 31))/1000000</f>
        <v>0.34501139999999997</v>
      </c>
      <c r="X211" s="56">
        <f>(31*0.1790888*145000/1000000)+(31*0.2374*100000/1000000)</f>
        <v>1.5409441560000001</v>
      </c>
      <c r="Y211" s="56"/>
      <c r="Z211" s="17"/>
      <c r="AA211" s="55"/>
      <c r="AB211" s="48">
        <f>(B211*194.205+C211*267.466+D211*133.845+E211*153.484+F211*40+G211*85+H211*0+I211*100+J211*300)/(194.205+267.466+133.845+153.484+0+40+85+100+300)</f>
        <v>10.728583360518053</v>
      </c>
      <c r="AC211" s="45">
        <f>(M211*'RAP TEMPLATE-GAS AVAILABILITY'!O210+N211*'RAP TEMPLATE-GAS AVAILABILITY'!P210+O211*'RAP TEMPLATE-GAS AVAILABILITY'!Q210+P211*'RAP TEMPLATE-GAS AVAILABILITY'!R210)/('RAP TEMPLATE-GAS AVAILABILITY'!O210+'RAP TEMPLATE-GAS AVAILABILITY'!P210+'RAP TEMPLATE-GAS AVAILABILITY'!Q210+'RAP TEMPLATE-GAS AVAILABILITY'!R210)</f>
        <v>10.659301438848919</v>
      </c>
    </row>
    <row r="212" spans="1:29" ht="15.75" x14ac:dyDescent="0.25">
      <c r="A212" s="16">
        <v>47331</v>
      </c>
      <c r="B212" s="17">
        <f>CHOOSE(CONTROL!$C$42, 10.1538, 10.1538) * CHOOSE(CONTROL!$C$21, $C$9, 100%, $E$9)</f>
        <v>10.1538</v>
      </c>
      <c r="C212" s="17">
        <f>CHOOSE(CONTROL!$C$42, 10.1618, 10.1618) * CHOOSE(CONTROL!$C$21, $C$9, 100%, $E$9)</f>
        <v>10.161799999999999</v>
      </c>
      <c r="D212" s="17">
        <f>CHOOSE(CONTROL!$C$42, 10.4063, 10.4063) * CHOOSE(CONTROL!$C$21, $C$9, 100%, $E$9)</f>
        <v>10.4063</v>
      </c>
      <c r="E212" s="17">
        <f>CHOOSE(CONTROL!$C$42, 10.4374, 10.4374) * CHOOSE(CONTROL!$C$21, $C$9, 100%, $E$9)</f>
        <v>10.4374</v>
      </c>
      <c r="F212" s="17">
        <f>CHOOSE(CONTROL!$C$42, 10.1654, 10.1654)*CHOOSE(CONTROL!$C$21, $C$9, 100%, $E$9)</f>
        <v>10.1654</v>
      </c>
      <c r="G212" s="17">
        <f>CHOOSE(CONTROL!$C$42, 10.1819, 10.1819)*CHOOSE(CONTROL!$C$21, $C$9, 100%, $E$9)</f>
        <v>10.181900000000001</v>
      </c>
      <c r="H212" s="17">
        <f>CHOOSE(CONTROL!$C$42, 10.4258, 10.4258) * CHOOSE(CONTROL!$C$21, $C$9, 100%, $E$9)</f>
        <v>10.425800000000001</v>
      </c>
      <c r="I212" s="17">
        <f>CHOOSE(CONTROL!$C$42, 10.2066, 10.2066)* CHOOSE(CONTROL!$C$21, $C$9, 100%, $E$9)</f>
        <v>10.2066</v>
      </c>
      <c r="J212" s="17">
        <f>CHOOSE(CONTROL!$C$42, 10.158, 10.158)* CHOOSE(CONTROL!$C$21, $C$9, 100%, $E$9)</f>
        <v>10.157999999999999</v>
      </c>
      <c r="K212" s="52">
        <f>CHOOSE(CONTROL!$C$42, 10.2005, 10.2005) * CHOOSE(CONTROL!$C$21, $C$9, 100%, $E$9)</f>
        <v>10.2005</v>
      </c>
      <c r="L212" s="17">
        <f>CHOOSE(CONTROL!$C$42, 11.0128, 11.0128) * CHOOSE(CONTROL!$C$21, $C$9, 100%, $E$9)</f>
        <v>11.0128</v>
      </c>
      <c r="M212" s="17">
        <f>CHOOSE(CONTROL!$C$42, 10.0736, 10.0736) * CHOOSE(CONTROL!$C$21, $C$9, 100%, $E$9)</f>
        <v>10.073600000000001</v>
      </c>
      <c r="N212" s="17">
        <f>CHOOSE(CONTROL!$C$42, 10.09, 10.09) * CHOOSE(CONTROL!$C$21, $C$9, 100%, $E$9)</f>
        <v>10.09</v>
      </c>
      <c r="O212" s="17">
        <f>CHOOSE(CONTROL!$C$42, 10.339, 10.339) * CHOOSE(CONTROL!$C$21, $C$9, 100%, $E$9)</f>
        <v>10.339</v>
      </c>
      <c r="P212" s="17">
        <f>CHOOSE(CONTROL!$C$42, 10.1216, 10.1216) * CHOOSE(CONTROL!$C$21, $C$9, 100%, $E$9)</f>
        <v>10.121600000000001</v>
      </c>
      <c r="Q212" s="17">
        <f>CHOOSE(CONTROL!$C$42, 10.9337, 10.9337) * CHOOSE(CONTROL!$C$21, $C$9, 100%, $E$9)</f>
        <v>10.9337</v>
      </c>
      <c r="R212" s="17">
        <f>CHOOSE(CONTROL!$C$42, 11.548, 11.548) * CHOOSE(CONTROL!$C$21, $C$9, 100%, $E$9)</f>
        <v>11.548</v>
      </c>
      <c r="S212" s="17">
        <f>CHOOSE(CONTROL!$C$42, 9.8346, 9.8346) * CHOOSE(CONTROL!$C$21, $C$9, 100%, $E$9)</f>
        <v>9.8346</v>
      </c>
      <c r="T21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12" s="56">
        <f>(1000*CHOOSE(CONTROL!$C$42, 695, 695)*CHOOSE(CONTROL!$C$42, 0.5599, 0.5599)*CHOOSE(CONTROL!$C$42, 31, 31))/1000000</f>
        <v>12.063045499999998</v>
      </c>
      <c r="V212" s="56">
        <f>(1000*CHOOSE(CONTROL!$C$42, 500, 500)*CHOOSE(CONTROL!$C$42, 0.275, 0.275)*CHOOSE(CONTROL!$C$42, 31, 31))/1000000</f>
        <v>4.2625000000000002</v>
      </c>
      <c r="W212" s="56">
        <f>(1000*CHOOSE(CONTROL!$C$42, 0.0916, 0.0916)*CHOOSE(CONTROL!$C$42, 121.5, 121.5)*CHOOSE(CONTROL!$C$42, 31, 31))/1000000</f>
        <v>0.34501139999999997</v>
      </c>
      <c r="X212" s="56">
        <f>(31*0.1790888*145000/1000000)+(31*0.2374*100000/1000000)</f>
        <v>1.5409441560000001</v>
      </c>
      <c r="Y212" s="56"/>
      <c r="Z212" s="17"/>
      <c r="AA212" s="55"/>
      <c r="AB212" s="48">
        <f>(B212*194.205+C212*267.466+D212*133.845+E212*153.484+F212*40+G212*85+H212*0+I212*100+J212*300)/(194.205+267.466+133.845+153.484+0+40+85+100+300)</f>
        <v>10.223545802904239</v>
      </c>
      <c r="AC212" s="45">
        <f>(M212*'RAP TEMPLATE-GAS AVAILABILITY'!O211+N212*'RAP TEMPLATE-GAS AVAILABILITY'!P211+O212*'RAP TEMPLATE-GAS AVAILABILITY'!Q211+P212*'RAP TEMPLATE-GAS AVAILABILITY'!R211)/('RAP TEMPLATE-GAS AVAILABILITY'!O211+'RAP TEMPLATE-GAS AVAILABILITY'!P211+'RAP TEMPLATE-GAS AVAILABILITY'!Q211+'RAP TEMPLATE-GAS AVAILABILITY'!R211)</f>
        <v>10.158746762589928</v>
      </c>
    </row>
    <row r="213" spans="1:29" ht="15.75" x14ac:dyDescent="0.25">
      <c r="A213" s="16">
        <v>47362</v>
      </c>
      <c r="B213" s="17">
        <f>CHOOSE(CONTROL!$C$42, 9.5293, 9.5293) * CHOOSE(CONTROL!$C$21, $C$9, 100%, $E$9)</f>
        <v>9.5292999999999992</v>
      </c>
      <c r="C213" s="17">
        <f>CHOOSE(CONTROL!$C$42, 9.5373, 9.5373) * CHOOSE(CONTROL!$C$21, $C$9, 100%, $E$9)</f>
        <v>9.5373000000000001</v>
      </c>
      <c r="D213" s="17">
        <f>CHOOSE(CONTROL!$C$42, 9.7818, 9.7818) * CHOOSE(CONTROL!$C$21, $C$9, 100%, $E$9)</f>
        <v>9.7818000000000005</v>
      </c>
      <c r="E213" s="17">
        <f>CHOOSE(CONTROL!$C$42, 9.8129, 9.8129) * CHOOSE(CONTROL!$C$21, $C$9, 100%, $E$9)</f>
        <v>9.8129000000000008</v>
      </c>
      <c r="F213" s="17">
        <f>CHOOSE(CONTROL!$C$42, 9.5409, 9.5409)*CHOOSE(CONTROL!$C$21, $C$9, 100%, $E$9)</f>
        <v>9.5409000000000006</v>
      </c>
      <c r="G213" s="17">
        <f>CHOOSE(CONTROL!$C$42, 9.5575, 9.5575)*CHOOSE(CONTROL!$C$21, $C$9, 100%, $E$9)</f>
        <v>9.5574999999999992</v>
      </c>
      <c r="H213" s="17">
        <f>CHOOSE(CONTROL!$C$42, 9.8013, 9.8013) * CHOOSE(CONTROL!$C$21, $C$9, 100%, $E$9)</f>
        <v>9.8012999999999995</v>
      </c>
      <c r="I213" s="17">
        <f>CHOOSE(CONTROL!$C$42, 9.5802, 9.5802)* CHOOSE(CONTROL!$C$21, $C$9, 100%, $E$9)</f>
        <v>9.5801999999999996</v>
      </c>
      <c r="J213" s="17">
        <f>CHOOSE(CONTROL!$C$42, 9.5335, 9.5335)* CHOOSE(CONTROL!$C$21, $C$9, 100%, $E$9)</f>
        <v>9.5335000000000001</v>
      </c>
      <c r="K213" s="52">
        <f>CHOOSE(CONTROL!$C$42, 9.5741, 9.5741) * CHOOSE(CONTROL!$C$21, $C$9, 100%, $E$9)</f>
        <v>9.5740999999999996</v>
      </c>
      <c r="L213" s="17">
        <f>CHOOSE(CONTROL!$C$42, 10.3883, 10.3883) * CHOOSE(CONTROL!$C$21, $C$9, 100%, $E$9)</f>
        <v>10.388299999999999</v>
      </c>
      <c r="M213" s="17">
        <f>CHOOSE(CONTROL!$C$42, 9.4548, 9.4548) * CHOOSE(CONTROL!$C$21, $C$9, 100%, $E$9)</f>
        <v>9.4548000000000005</v>
      </c>
      <c r="N213" s="17">
        <f>CHOOSE(CONTROL!$C$42, 9.4712, 9.4712) * CHOOSE(CONTROL!$C$21, $C$9, 100%, $E$9)</f>
        <v>9.4711999999999996</v>
      </c>
      <c r="O213" s="17">
        <f>CHOOSE(CONTROL!$C$42, 9.7201, 9.7201) * CHOOSE(CONTROL!$C$21, $C$9, 100%, $E$9)</f>
        <v>9.7201000000000004</v>
      </c>
      <c r="P213" s="17">
        <f>CHOOSE(CONTROL!$C$42, 9.5008, 9.5008) * CHOOSE(CONTROL!$C$21, $C$9, 100%, $E$9)</f>
        <v>9.5007999999999999</v>
      </c>
      <c r="Q213" s="17">
        <f>CHOOSE(CONTROL!$C$42, 10.3148, 10.3148) * CHOOSE(CONTROL!$C$21, $C$9, 100%, $E$9)</f>
        <v>10.3148</v>
      </c>
      <c r="R213" s="17">
        <f>CHOOSE(CONTROL!$C$42, 10.9276, 10.9276) * CHOOSE(CONTROL!$C$21, $C$9, 100%, $E$9)</f>
        <v>10.9276</v>
      </c>
      <c r="S213" s="17">
        <f>CHOOSE(CONTROL!$C$42, 9.229, 9.229) * CHOOSE(CONTROL!$C$21, $C$9, 100%, $E$9)</f>
        <v>9.2289999999999992</v>
      </c>
      <c r="T21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13" s="56">
        <f>(1000*CHOOSE(CONTROL!$C$42, 695, 695)*CHOOSE(CONTROL!$C$42, 0.5599, 0.5599)*CHOOSE(CONTROL!$C$42, 30, 30))/1000000</f>
        <v>11.673914999999997</v>
      </c>
      <c r="V213" s="56">
        <f>(1000*CHOOSE(CONTROL!$C$42, 500, 500)*CHOOSE(CONTROL!$C$42, 0.275, 0.275)*CHOOSE(CONTROL!$C$42, 30, 30))/1000000</f>
        <v>4.125</v>
      </c>
      <c r="W213" s="56">
        <f>(1000*CHOOSE(CONTROL!$C$42, 0.0916, 0.0916)*CHOOSE(CONTROL!$C$42, 121.5, 121.5)*CHOOSE(CONTROL!$C$42, 30, 30))/1000000</f>
        <v>0.33388200000000001</v>
      </c>
      <c r="X213" s="56">
        <f>(30*0.1790888*145000/1000000)+(30*0.2374*100000/1000000)</f>
        <v>1.4912362799999999</v>
      </c>
      <c r="Y213" s="56"/>
      <c r="Z213" s="17"/>
      <c r="AA213" s="55"/>
      <c r="AB213" s="48">
        <f>(B213*194.205+C213*267.466+D213*133.845+E213*153.484+F213*40+G213*85+H213*0+I213*100+J213*300)/(194.205+267.466+133.845+153.484+0+40+85+100+300)</f>
        <v>9.5989033382260605</v>
      </c>
      <c r="AC213" s="45">
        <f>(M213*'RAP TEMPLATE-GAS AVAILABILITY'!O212+N213*'RAP TEMPLATE-GAS AVAILABILITY'!P212+O213*'RAP TEMPLATE-GAS AVAILABILITY'!Q212+P213*'RAP TEMPLATE-GAS AVAILABILITY'!R212)/('RAP TEMPLATE-GAS AVAILABILITY'!O212+'RAP TEMPLATE-GAS AVAILABILITY'!P212+'RAP TEMPLATE-GAS AVAILABILITY'!Q212+'RAP TEMPLATE-GAS AVAILABILITY'!R212)</f>
        <v>9.5396309352517985</v>
      </c>
    </row>
    <row r="214" spans="1:29" ht="15.75" x14ac:dyDescent="0.25">
      <c r="A214" s="16">
        <v>47392</v>
      </c>
      <c r="B214" s="17">
        <f>CHOOSE(CONTROL!$C$42, 9.3536, 9.3536) * CHOOSE(CONTROL!$C$21, $C$9, 100%, $E$9)</f>
        <v>9.3536000000000001</v>
      </c>
      <c r="C214" s="17">
        <f>CHOOSE(CONTROL!$C$42, 9.3589, 9.3589) * CHOOSE(CONTROL!$C$21, $C$9, 100%, $E$9)</f>
        <v>9.3589000000000002</v>
      </c>
      <c r="D214" s="17">
        <f>CHOOSE(CONTROL!$C$42, 9.6082, 9.6082) * CHOOSE(CONTROL!$C$21, $C$9, 100%, $E$9)</f>
        <v>9.6082000000000001</v>
      </c>
      <c r="E214" s="17">
        <f>CHOOSE(CONTROL!$C$42, 9.6371, 9.6371) * CHOOSE(CONTROL!$C$21, $C$9, 100%, $E$9)</f>
        <v>9.6371000000000002</v>
      </c>
      <c r="F214" s="17">
        <f>CHOOSE(CONTROL!$C$42, 9.3674, 9.3674)*CHOOSE(CONTROL!$C$21, $C$9, 100%, $E$9)</f>
        <v>9.3673999999999999</v>
      </c>
      <c r="G214" s="17">
        <f>CHOOSE(CONTROL!$C$42, 9.3838, 9.3838)*CHOOSE(CONTROL!$C$21, $C$9, 100%, $E$9)</f>
        <v>9.3838000000000008</v>
      </c>
      <c r="H214" s="17">
        <f>CHOOSE(CONTROL!$C$42, 9.6273, 9.6273) * CHOOSE(CONTROL!$C$21, $C$9, 100%, $E$9)</f>
        <v>9.6273</v>
      </c>
      <c r="I214" s="17">
        <f>CHOOSE(CONTROL!$C$42, 9.4056, 9.4056)* CHOOSE(CONTROL!$C$21, $C$9, 100%, $E$9)</f>
        <v>9.4055999999999997</v>
      </c>
      <c r="J214" s="17">
        <f>CHOOSE(CONTROL!$C$42, 9.36, 9.36)* CHOOSE(CONTROL!$C$21, $C$9, 100%, $E$9)</f>
        <v>9.36</v>
      </c>
      <c r="K214" s="52">
        <f>CHOOSE(CONTROL!$C$42, 9.3996, 9.3996) * CHOOSE(CONTROL!$C$21, $C$9, 100%, $E$9)</f>
        <v>9.3995999999999995</v>
      </c>
      <c r="L214" s="17">
        <f>CHOOSE(CONTROL!$C$42, 10.2143, 10.2143) * CHOOSE(CONTROL!$C$21, $C$9, 100%, $E$9)</f>
        <v>10.2143</v>
      </c>
      <c r="M214" s="17">
        <f>CHOOSE(CONTROL!$C$42, 9.2828, 9.2828) * CHOOSE(CONTROL!$C$21, $C$9, 100%, $E$9)</f>
        <v>9.2827999999999999</v>
      </c>
      <c r="N214" s="17">
        <f>CHOOSE(CONTROL!$C$42, 9.2991, 9.2991) * CHOOSE(CONTROL!$C$21, $C$9, 100%, $E$9)</f>
        <v>9.2990999999999993</v>
      </c>
      <c r="O214" s="17">
        <f>CHOOSE(CONTROL!$C$42, 9.5477, 9.5477) * CHOOSE(CONTROL!$C$21, $C$9, 100%, $E$9)</f>
        <v>9.5477000000000007</v>
      </c>
      <c r="P214" s="17">
        <f>CHOOSE(CONTROL!$C$42, 9.3278, 9.3278) * CHOOSE(CONTROL!$C$21, $C$9, 100%, $E$9)</f>
        <v>9.3277999999999999</v>
      </c>
      <c r="Q214" s="17">
        <f>CHOOSE(CONTROL!$C$42, 10.1424, 10.1424) * CHOOSE(CONTROL!$C$21, $C$9, 100%, $E$9)</f>
        <v>10.1424</v>
      </c>
      <c r="R214" s="17">
        <f>CHOOSE(CONTROL!$C$42, 10.7547, 10.7547) * CHOOSE(CONTROL!$C$21, $C$9, 100%, $E$9)</f>
        <v>10.7547</v>
      </c>
      <c r="S214" s="17">
        <f>CHOOSE(CONTROL!$C$42, 9.0603, 9.0603) * CHOOSE(CONTROL!$C$21, $C$9, 100%, $E$9)</f>
        <v>9.0602999999999998</v>
      </c>
      <c r="T21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14" s="56">
        <f>(1000*CHOOSE(CONTROL!$C$42, 695, 695)*CHOOSE(CONTROL!$C$42, 0.5599, 0.5599)*CHOOSE(CONTROL!$C$42, 31, 31))/1000000</f>
        <v>12.063045499999998</v>
      </c>
      <c r="V214" s="56">
        <f>(1000*CHOOSE(CONTROL!$C$42, 500, 500)*CHOOSE(CONTROL!$C$42, 0.275, 0.275)*CHOOSE(CONTROL!$C$42, 31, 31))/1000000</f>
        <v>4.2625000000000002</v>
      </c>
      <c r="W214" s="56">
        <f>(1000*CHOOSE(CONTROL!$C$42, 0.0916, 0.0916)*CHOOSE(CONTROL!$C$42, 121.5, 121.5)*CHOOSE(CONTROL!$C$42, 31, 31))/1000000</f>
        <v>0.34501139999999997</v>
      </c>
      <c r="X214" s="56">
        <f>(31*0.1790888*145000/1000000)+(31*0.2374*100000/1000000)</f>
        <v>1.5409441560000001</v>
      </c>
      <c r="Y214" s="56"/>
      <c r="Z214" s="17"/>
      <c r="AA214" s="55"/>
      <c r="AB214" s="48">
        <f>(B214*131.881+C214*277.167+D214*79.08+E214*225.872+F214*40+G214*85+H214*0+I214*100+J214*300)/(131.881+277.167+79.08+225.872+0+40+85+100+300)</f>
        <v>9.4309821348668272</v>
      </c>
      <c r="AC214" s="45">
        <f>(M214*'RAP TEMPLATE-GAS AVAILABILITY'!O213+N214*'RAP TEMPLATE-GAS AVAILABILITY'!P213+O214*'RAP TEMPLATE-GAS AVAILABILITY'!Q213+P214*'RAP TEMPLATE-GAS AVAILABILITY'!R213)/('RAP TEMPLATE-GAS AVAILABILITY'!O213+'RAP TEMPLATE-GAS AVAILABILITY'!P213+'RAP TEMPLATE-GAS AVAILABILITY'!Q213+'RAP TEMPLATE-GAS AVAILABILITY'!R213)</f>
        <v>9.3673517985611507</v>
      </c>
    </row>
    <row r="215" spans="1:29" ht="15.75" x14ac:dyDescent="0.25">
      <c r="A215" s="16">
        <v>47423</v>
      </c>
      <c r="B215" s="17">
        <f>CHOOSE(CONTROL!$C$42, 9.6191, 9.6191) * CHOOSE(CONTROL!$C$21, $C$9, 100%, $E$9)</f>
        <v>9.6190999999999995</v>
      </c>
      <c r="C215" s="17">
        <f>CHOOSE(CONTROL!$C$42, 9.6241, 9.6241) * CHOOSE(CONTROL!$C$21, $C$9, 100%, $E$9)</f>
        <v>9.6241000000000003</v>
      </c>
      <c r="D215" s="17">
        <f>CHOOSE(CONTROL!$C$42, 9.7055, 9.7055) * CHOOSE(CONTROL!$C$21, $C$9, 100%, $E$9)</f>
        <v>9.7055000000000007</v>
      </c>
      <c r="E215" s="17">
        <f>CHOOSE(CONTROL!$C$42, 9.7393, 9.7393) * CHOOSE(CONTROL!$C$21, $C$9, 100%, $E$9)</f>
        <v>9.7393000000000001</v>
      </c>
      <c r="F215" s="17">
        <f>CHOOSE(CONTROL!$C$42, 9.637, 9.637)*CHOOSE(CONTROL!$C$21, $C$9, 100%, $E$9)</f>
        <v>9.6370000000000005</v>
      </c>
      <c r="G215" s="17">
        <f>CHOOSE(CONTROL!$C$42, 9.6537, 9.6537)*CHOOSE(CONTROL!$C$21, $C$9, 100%, $E$9)</f>
        <v>9.6537000000000006</v>
      </c>
      <c r="H215" s="17">
        <f>CHOOSE(CONTROL!$C$42, 9.7281, 9.7281) * CHOOSE(CONTROL!$C$21, $C$9, 100%, $E$9)</f>
        <v>9.7280999999999995</v>
      </c>
      <c r="I215" s="17">
        <f>CHOOSE(CONTROL!$C$42, 9.6738, 9.6738)* CHOOSE(CONTROL!$C$21, $C$9, 100%, $E$9)</f>
        <v>9.6738</v>
      </c>
      <c r="J215" s="17">
        <f>CHOOSE(CONTROL!$C$42, 9.6296, 9.6296)* CHOOSE(CONTROL!$C$21, $C$9, 100%, $E$9)</f>
        <v>9.6295999999999999</v>
      </c>
      <c r="K215" s="52">
        <f>CHOOSE(CONTROL!$C$42, 9.6678, 9.6678) * CHOOSE(CONTROL!$C$21, $C$9, 100%, $E$9)</f>
        <v>9.6677999999999997</v>
      </c>
      <c r="L215" s="17">
        <f>CHOOSE(CONTROL!$C$42, 10.3151, 10.3151) * CHOOSE(CONTROL!$C$21, $C$9, 100%, $E$9)</f>
        <v>10.315099999999999</v>
      </c>
      <c r="M215" s="17">
        <f>CHOOSE(CONTROL!$C$42, 9.55, 9.55) * CHOOSE(CONTROL!$C$21, $C$9, 100%, $E$9)</f>
        <v>9.5500000000000007</v>
      </c>
      <c r="N215" s="17">
        <f>CHOOSE(CONTROL!$C$42, 9.5666, 9.5666) * CHOOSE(CONTROL!$C$21, $C$9, 100%, $E$9)</f>
        <v>9.5665999999999993</v>
      </c>
      <c r="O215" s="17">
        <f>CHOOSE(CONTROL!$C$42, 9.6476, 9.6476) * CHOOSE(CONTROL!$C$21, $C$9, 100%, $E$9)</f>
        <v>9.6476000000000006</v>
      </c>
      <c r="P215" s="17">
        <f>CHOOSE(CONTROL!$C$42, 9.5936, 9.5936) * CHOOSE(CONTROL!$C$21, $C$9, 100%, $E$9)</f>
        <v>9.5936000000000003</v>
      </c>
      <c r="Q215" s="17">
        <f>CHOOSE(CONTROL!$C$42, 10.2423, 10.2423) * CHOOSE(CONTROL!$C$21, $C$9, 100%, $E$9)</f>
        <v>10.2423</v>
      </c>
      <c r="R215" s="17">
        <f>CHOOSE(CONTROL!$C$42, 10.855, 10.855) * CHOOSE(CONTROL!$C$21, $C$9, 100%, $E$9)</f>
        <v>10.855</v>
      </c>
      <c r="S215" s="17">
        <f>CHOOSE(CONTROL!$C$42, 9.3181, 9.3181) * CHOOSE(CONTROL!$C$21, $C$9, 100%, $E$9)</f>
        <v>9.3180999999999994</v>
      </c>
      <c r="T21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15" s="56">
        <f>(1000*CHOOSE(CONTROL!$C$42, 695, 695)*CHOOSE(CONTROL!$C$42, 0.5599, 0.5599)*CHOOSE(CONTROL!$C$42, 30, 30))/1000000</f>
        <v>11.673914999999997</v>
      </c>
      <c r="V215" s="56">
        <f>(1000*CHOOSE(CONTROL!$C$42, 500, 500)*CHOOSE(CONTROL!$C$42, 0.275, 0.275)*CHOOSE(CONTROL!$C$42, 30, 30))/1000000</f>
        <v>4.125</v>
      </c>
      <c r="W215" s="56">
        <f>(1000*CHOOSE(CONTROL!$C$42, 0.0916, 0.0916)*CHOOSE(CONTROL!$C$42, 121.5, 121.5)*CHOOSE(CONTROL!$C$42, 30, 30))/1000000</f>
        <v>0.33388200000000001</v>
      </c>
      <c r="X215" s="56">
        <f>(30*0.2374*100000/1000000)</f>
        <v>0.71220000000000006</v>
      </c>
      <c r="Y215" s="56"/>
      <c r="Z215" s="17"/>
      <c r="AA215" s="55"/>
      <c r="AB215" s="48">
        <f>(B215*122.58+C215*297.941+D215*89.177+E215*140.302+F215*40+G215*60+H215*0+I215*100+J215*300)/(122.58+297.941+89.177+140.302+0+40+60+100+300)</f>
        <v>9.6516833897391283</v>
      </c>
      <c r="AC215" s="45">
        <f>(M215*'RAP TEMPLATE-GAS AVAILABILITY'!O214+N215*'RAP TEMPLATE-GAS AVAILABILITY'!P214+O215*'RAP TEMPLATE-GAS AVAILABILITY'!Q214+P215*'RAP TEMPLATE-GAS AVAILABILITY'!R214)/('RAP TEMPLATE-GAS AVAILABILITY'!O214+'RAP TEMPLATE-GAS AVAILABILITY'!P214+'RAP TEMPLATE-GAS AVAILABILITY'!Q214+'RAP TEMPLATE-GAS AVAILABILITY'!R214)</f>
        <v>9.6014647482014368</v>
      </c>
    </row>
    <row r="216" spans="1:29" ht="15.75" x14ac:dyDescent="0.25">
      <c r="A216" s="16">
        <v>47453</v>
      </c>
      <c r="B216" s="17">
        <f>CHOOSE(CONTROL!$C$42, 10.2953, 10.2953) * CHOOSE(CONTROL!$C$21, $C$9, 100%, $E$9)</f>
        <v>10.295299999999999</v>
      </c>
      <c r="C216" s="17">
        <f>CHOOSE(CONTROL!$C$42, 10.3004, 10.3004) * CHOOSE(CONTROL!$C$21, $C$9, 100%, $E$9)</f>
        <v>10.3004</v>
      </c>
      <c r="D216" s="17">
        <f>CHOOSE(CONTROL!$C$42, 10.3817, 10.3817) * CHOOSE(CONTROL!$C$21, $C$9, 100%, $E$9)</f>
        <v>10.3817</v>
      </c>
      <c r="E216" s="17">
        <f>CHOOSE(CONTROL!$C$42, 10.4155, 10.4155) * CHOOSE(CONTROL!$C$21, $C$9, 100%, $E$9)</f>
        <v>10.4155</v>
      </c>
      <c r="F216" s="17">
        <f>CHOOSE(CONTROL!$C$42, 10.3156, 10.3156)*CHOOSE(CONTROL!$C$21, $C$9, 100%, $E$9)</f>
        <v>10.3156</v>
      </c>
      <c r="G216" s="17">
        <f>CHOOSE(CONTROL!$C$42, 10.333, 10.333)*CHOOSE(CONTROL!$C$21, $C$9, 100%, $E$9)</f>
        <v>10.333</v>
      </c>
      <c r="H216" s="17">
        <f>CHOOSE(CONTROL!$C$42, 10.4044, 10.4044) * CHOOSE(CONTROL!$C$21, $C$9, 100%, $E$9)</f>
        <v>10.404400000000001</v>
      </c>
      <c r="I216" s="17">
        <f>CHOOSE(CONTROL!$C$42, 10.3522, 10.3522)* CHOOSE(CONTROL!$C$21, $C$9, 100%, $E$9)</f>
        <v>10.3522</v>
      </c>
      <c r="J216" s="17">
        <f>CHOOSE(CONTROL!$C$42, 10.3082, 10.3082)* CHOOSE(CONTROL!$C$21, $C$9, 100%, $E$9)</f>
        <v>10.308199999999999</v>
      </c>
      <c r="K216" s="52">
        <f>CHOOSE(CONTROL!$C$42, 10.3462, 10.3462) * CHOOSE(CONTROL!$C$21, $C$9, 100%, $E$9)</f>
        <v>10.3462</v>
      </c>
      <c r="L216" s="17">
        <f>CHOOSE(CONTROL!$C$42, 10.9914, 10.9914) * CHOOSE(CONTROL!$C$21, $C$9, 100%, $E$9)</f>
        <v>10.991400000000001</v>
      </c>
      <c r="M216" s="17">
        <f>CHOOSE(CONTROL!$C$42, 10.2225, 10.2225) * CHOOSE(CONTROL!$C$21, $C$9, 100%, $E$9)</f>
        <v>10.2225</v>
      </c>
      <c r="N216" s="17">
        <f>CHOOSE(CONTROL!$C$42, 10.2397, 10.2397) * CHOOSE(CONTROL!$C$21, $C$9, 100%, $E$9)</f>
        <v>10.239699999999999</v>
      </c>
      <c r="O216" s="17">
        <f>CHOOSE(CONTROL!$C$42, 10.3178, 10.3178) * CHOOSE(CONTROL!$C$21, $C$9, 100%, $E$9)</f>
        <v>10.3178</v>
      </c>
      <c r="P216" s="17">
        <f>CHOOSE(CONTROL!$C$42, 10.2659, 10.2659) * CHOOSE(CONTROL!$C$21, $C$9, 100%, $E$9)</f>
        <v>10.2659</v>
      </c>
      <c r="Q216" s="17">
        <f>CHOOSE(CONTROL!$C$42, 10.9125, 10.9125) * CHOOSE(CONTROL!$C$21, $C$9, 100%, $E$9)</f>
        <v>10.9125</v>
      </c>
      <c r="R216" s="17">
        <f>CHOOSE(CONTROL!$C$42, 11.5268, 11.5268) * CHOOSE(CONTROL!$C$21, $C$9, 100%, $E$9)</f>
        <v>11.5268</v>
      </c>
      <c r="S216" s="17">
        <f>CHOOSE(CONTROL!$C$42, 9.9738, 9.9738) * CHOOSE(CONTROL!$C$21, $C$9, 100%, $E$9)</f>
        <v>9.9738000000000007</v>
      </c>
      <c r="T21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16" s="56">
        <f>(1000*CHOOSE(CONTROL!$C$42, 695, 695)*CHOOSE(CONTROL!$C$42, 0.5599, 0.5599)*CHOOSE(CONTROL!$C$42, 31, 31))/1000000</f>
        <v>12.063045499999998</v>
      </c>
      <c r="V216" s="56">
        <f>(1000*CHOOSE(CONTROL!$C$42, 500, 500)*CHOOSE(CONTROL!$C$42, 0.275, 0.275)*CHOOSE(CONTROL!$C$42, 31, 31))/1000000</f>
        <v>4.2625000000000002</v>
      </c>
      <c r="W216" s="56">
        <f>(1000*CHOOSE(CONTROL!$C$42, 0.0916, 0.0916)*CHOOSE(CONTROL!$C$42, 121.5, 121.5)*CHOOSE(CONTROL!$C$42, 31, 31))/1000000</f>
        <v>0.34501139999999997</v>
      </c>
      <c r="X216" s="56">
        <f>(31*0.2374*100000/1000000)</f>
        <v>0.73594000000000004</v>
      </c>
      <c r="Y216" s="56"/>
      <c r="Z216" s="17"/>
      <c r="AA216" s="55"/>
      <c r="AB216" s="48">
        <f>(B216*122.58+C216*297.941+D216*89.177+E216*140.302+F216*40+G216*60+H216*0+I216*100+J216*300)/(122.58+297.941+89.177+140.302+0+40+60+100+300)</f>
        <v>10.328971906347826</v>
      </c>
      <c r="AC216" s="45">
        <f>(M216*'RAP TEMPLATE-GAS AVAILABILITY'!O215+N216*'RAP TEMPLATE-GAS AVAILABILITY'!P215+O216*'RAP TEMPLATE-GAS AVAILABILITY'!Q215+P216*'RAP TEMPLATE-GAS AVAILABILITY'!R215)/('RAP TEMPLATE-GAS AVAILABILITY'!O215+'RAP TEMPLATE-GAS AVAILABILITY'!P215+'RAP TEMPLATE-GAS AVAILABILITY'!Q215+'RAP TEMPLATE-GAS AVAILABILITY'!R215)</f>
        <v>10.272928057553957</v>
      </c>
    </row>
    <row r="217" spans="1:29" ht="15.75" x14ac:dyDescent="0.25">
      <c r="A217" s="16">
        <v>47484</v>
      </c>
      <c r="B217" s="17">
        <f>CHOOSE(CONTROL!$C$42, 10.8229, 10.8229) * CHOOSE(CONTROL!$C$21, $C$9, 100%, $E$9)</f>
        <v>10.822900000000001</v>
      </c>
      <c r="C217" s="17">
        <f>CHOOSE(CONTROL!$C$42, 10.828, 10.828) * CHOOSE(CONTROL!$C$21, $C$9, 100%, $E$9)</f>
        <v>10.827999999999999</v>
      </c>
      <c r="D217" s="17">
        <f>CHOOSE(CONTROL!$C$42, 10.9248, 10.9248) * CHOOSE(CONTROL!$C$21, $C$9, 100%, $E$9)</f>
        <v>10.924799999999999</v>
      </c>
      <c r="E217" s="17">
        <f>CHOOSE(CONTROL!$C$42, 10.9586, 10.9586) * CHOOSE(CONTROL!$C$21, $C$9, 100%, $E$9)</f>
        <v>10.958600000000001</v>
      </c>
      <c r="F217" s="17">
        <f>CHOOSE(CONTROL!$C$42, 10.8372, 10.8372)*CHOOSE(CONTROL!$C$21, $C$9, 100%, $E$9)</f>
        <v>10.837199999999999</v>
      </c>
      <c r="G217" s="17">
        <f>CHOOSE(CONTROL!$C$42, 10.8536, 10.8536)*CHOOSE(CONTROL!$C$21, $C$9, 100%, $E$9)</f>
        <v>10.8536</v>
      </c>
      <c r="H217" s="17">
        <f>CHOOSE(CONTROL!$C$42, 10.9475, 10.9475) * CHOOSE(CONTROL!$C$21, $C$9, 100%, $E$9)</f>
        <v>10.9475</v>
      </c>
      <c r="I217" s="17">
        <f>CHOOSE(CONTROL!$C$42, 10.8815, 10.8815)* CHOOSE(CONTROL!$C$21, $C$9, 100%, $E$9)</f>
        <v>10.881500000000001</v>
      </c>
      <c r="J217" s="17">
        <f>CHOOSE(CONTROL!$C$42, 10.8298, 10.8298)* CHOOSE(CONTROL!$C$21, $C$9, 100%, $E$9)</f>
        <v>10.829800000000001</v>
      </c>
      <c r="K217" s="52">
        <f>CHOOSE(CONTROL!$C$42, 10.8754, 10.8754) * CHOOSE(CONTROL!$C$21, $C$9, 100%, $E$9)</f>
        <v>10.875400000000001</v>
      </c>
      <c r="L217" s="17">
        <f>CHOOSE(CONTROL!$C$42, 11.5345, 11.5345) * CHOOSE(CONTROL!$C$21, $C$9, 100%, $E$9)</f>
        <v>11.5345</v>
      </c>
      <c r="M217" s="17">
        <f>CHOOSE(CONTROL!$C$42, 10.7394, 10.7394) * CHOOSE(CONTROL!$C$21, $C$9, 100%, $E$9)</f>
        <v>10.7394</v>
      </c>
      <c r="N217" s="17">
        <f>CHOOSE(CONTROL!$C$42, 10.7557, 10.7557) * CHOOSE(CONTROL!$C$21, $C$9, 100%, $E$9)</f>
        <v>10.755699999999999</v>
      </c>
      <c r="O217" s="17">
        <f>CHOOSE(CONTROL!$C$42, 10.856, 10.856) * CHOOSE(CONTROL!$C$21, $C$9, 100%, $E$9)</f>
        <v>10.856</v>
      </c>
      <c r="P217" s="17">
        <f>CHOOSE(CONTROL!$C$42, 10.7903, 10.7903) * CHOOSE(CONTROL!$C$21, $C$9, 100%, $E$9)</f>
        <v>10.7903</v>
      </c>
      <c r="Q217" s="17">
        <f>CHOOSE(CONTROL!$C$42, 11.4507, 11.4507) * CHOOSE(CONTROL!$C$21, $C$9, 100%, $E$9)</f>
        <v>11.450699999999999</v>
      </c>
      <c r="R217" s="17">
        <f>CHOOSE(CONTROL!$C$42, 12.0663, 12.0663) * CHOOSE(CONTROL!$C$21, $C$9, 100%, $E$9)</f>
        <v>12.0663</v>
      </c>
      <c r="S217" s="17">
        <f>CHOOSE(CONTROL!$C$42, 10.4855, 10.4855) * CHOOSE(CONTROL!$C$21, $C$9, 100%, $E$9)</f>
        <v>10.4855</v>
      </c>
      <c r="T21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17" s="56">
        <f>(1000*CHOOSE(CONTROL!$C$42, 695, 695)*CHOOSE(CONTROL!$C$42, 0.5599, 0.5599)*CHOOSE(CONTROL!$C$42, 31, 31))/1000000</f>
        <v>12.063045499999998</v>
      </c>
      <c r="V217" s="56">
        <f>(1000*CHOOSE(CONTROL!$C$42, 500, 500)*CHOOSE(CONTROL!$C$42, 0.275, 0.275)*CHOOSE(CONTROL!$C$42, 31, 31))/1000000</f>
        <v>4.2625000000000002</v>
      </c>
      <c r="W217" s="56">
        <f>(1000*CHOOSE(CONTROL!$C$42, 0.0916, 0.0916)*CHOOSE(CONTROL!$C$42, 121.5, 121.5)*CHOOSE(CONTROL!$C$42, 31, 31))/1000000</f>
        <v>0.34501139999999997</v>
      </c>
      <c r="X217" s="56">
        <f>(31*0.2374*100000/1000000)</f>
        <v>0.73594000000000004</v>
      </c>
      <c r="Y217" s="56"/>
      <c r="Z217" s="17"/>
      <c r="AA217" s="55"/>
      <c r="AB217" s="48">
        <f>(B217*122.58+C217*297.941+D217*89.177+E217*140.302+F217*40+G217*60+H217*0+I217*100+J217*300)/(122.58+297.941+89.177+140.302+0+40+60+100+300)</f>
        <v>10.857673579826088</v>
      </c>
      <c r="AC217" s="45">
        <f>(M217*'RAP TEMPLATE-GAS AVAILABILITY'!O216+N217*'RAP TEMPLATE-GAS AVAILABILITY'!P216+O217*'RAP TEMPLATE-GAS AVAILABILITY'!Q216+P217*'RAP TEMPLATE-GAS AVAILABILITY'!R216)/('RAP TEMPLATE-GAS AVAILABILITY'!O216+'RAP TEMPLATE-GAS AVAILABILITY'!P216+'RAP TEMPLATE-GAS AVAILABILITY'!Q216+'RAP TEMPLATE-GAS AVAILABILITY'!R216)</f>
        <v>10.800509352517986</v>
      </c>
    </row>
    <row r="218" spans="1:29" ht="15.75" x14ac:dyDescent="0.25">
      <c r="A218" s="16">
        <v>47515</v>
      </c>
      <c r="B218" s="17">
        <f>CHOOSE(CONTROL!$C$42, 11.0381, 11.0381) * CHOOSE(CONTROL!$C$21, $C$9, 100%, $E$9)</f>
        <v>11.0381</v>
      </c>
      <c r="C218" s="17">
        <f>CHOOSE(CONTROL!$C$42, 11.0431, 11.0431) * CHOOSE(CONTROL!$C$21, $C$9, 100%, $E$9)</f>
        <v>11.043100000000001</v>
      </c>
      <c r="D218" s="17">
        <f>CHOOSE(CONTROL!$C$42, 11.14, 11.14) * CHOOSE(CONTROL!$C$21, $C$9, 100%, $E$9)</f>
        <v>11.14</v>
      </c>
      <c r="E218" s="17">
        <f>CHOOSE(CONTROL!$C$42, 11.1737, 11.1737) * CHOOSE(CONTROL!$C$21, $C$9, 100%, $E$9)</f>
        <v>11.1737</v>
      </c>
      <c r="F218" s="17">
        <f>CHOOSE(CONTROL!$C$42, 11.0523, 11.0523)*CHOOSE(CONTROL!$C$21, $C$9, 100%, $E$9)</f>
        <v>11.052300000000001</v>
      </c>
      <c r="G218" s="17">
        <f>CHOOSE(CONTROL!$C$42, 11.0687, 11.0687)*CHOOSE(CONTROL!$C$21, $C$9, 100%, $E$9)</f>
        <v>11.0687</v>
      </c>
      <c r="H218" s="17">
        <f>CHOOSE(CONTROL!$C$42, 11.1626, 11.1626) * CHOOSE(CONTROL!$C$21, $C$9, 100%, $E$9)</f>
        <v>11.162599999999999</v>
      </c>
      <c r="I218" s="17">
        <f>CHOOSE(CONTROL!$C$42, 11.0973, 11.0973)* CHOOSE(CONTROL!$C$21, $C$9, 100%, $E$9)</f>
        <v>11.097300000000001</v>
      </c>
      <c r="J218" s="17">
        <f>CHOOSE(CONTROL!$C$42, 11.0449, 11.0449)* CHOOSE(CONTROL!$C$21, $C$9, 100%, $E$9)</f>
        <v>11.0449</v>
      </c>
      <c r="K218" s="52">
        <f>CHOOSE(CONTROL!$C$42, 11.0912, 11.0912) * CHOOSE(CONTROL!$C$21, $C$9, 100%, $E$9)</f>
        <v>11.091200000000001</v>
      </c>
      <c r="L218" s="17">
        <f>CHOOSE(CONTROL!$C$42, 11.7496, 11.7496) * CHOOSE(CONTROL!$C$21, $C$9, 100%, $E$9)</f>
        <v>11.749599999999999</v>
      </c>
      <c r="M218" s="17">
        <f>CHOOSE(CONTROL!$C$42, 10.9526, 10.9526) * CHOOSE(CONTROL!$C$21, $C$9, 100%, $E$9)</f>
        <v>10.9526</v>
      </c>
      <c r="N218" s="17">
        <f>CHOOSE(CONTROL!$C$42, 10.9689, 10.9689) * CHOOSE(CONTROL!$C$21, $C$9, 100%, $E$9)</f>
        <v>10.9689</v>
      </c>
      <c r="O218" s="17">
        <f>CHOOSE(CONTROL!$C$42, 11.0692, 11.0692) * CHOOSE(CONTROL!$C$21, $C$9, 100%, $E$9)</f>
        <v>11.0692</v>
      </c>
      <c r="P218" s="17">
        <f>CHOOSE(CONTROL!$C$42, 11.0042, 11.0042) * CHOOSE(CONTROL!$C$21, $C$9, 100%, $E$9)</f>
        <v>11.004200000000001</v>
      </c>
      <c r="Q218" s="17">
        <f>CHOOSE(CONTROL!$C$42, 11.6639, 11.6639) * CHOOSE(CONTROL!$C$21, $C$9, 100%, $E$9)</f>
        <v>11.6639</v>
      </c>
      <c r="R218" s="17">
        <f>CHOOSE(CONTROL!$C$42, 12.2801, 12.2801) * CHOOSE(CONTROL!$C$21, $C$9, 100%, $E$9)</f>
        <v>12.280099999999999</v>
      </c>
      <c r="S218" s="17">
        <f>CHOOSE(CONTROL!$C$42, 10.6941, 10.6941) * CHOOSE(CONTROL!$C$21, $C$9, 100%, $E$9)</f>
        <v>10.694100000000001</v>
      </c>
      <c r="T21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18" s="56">
        <f>(1000*CHOOSE(CONTROL!$C$42, 695, 695)*CHOOSE(CONTROL!$C$42, 0.5599, 0.5599)*CHOOSE(CONTROL!$C$42, 28, 28))/1000000</f>
        <v>10.895653999999999</v>
      </c>
      <c r="V218" s="56">
        <f>(1000*CHOOSE(CONTROL!$C$42, 500, 500)*CHOOSE(CONTROL!$C$42, 0.275, 0.275)*CHOOSE(CONTROL!$C$42, 28, 28))/1000000</f>
        <v>3.85</v>
      </c>
      <c r="W218" s="56">
        <f>(1000*CHOOSE(CONTROL!$C$42, 0.0916, 0.0916)*CHOOSE(CONTROL!$C$42, 121.5, 121.5)*CHOOSE(CONTROL!$C$42, 28, 28))/1000000</f>
        <v>0.31162319999999999</v>
      </c>
      <c r="X218" s="56">
        <f>(28*0.2374*100000/1000000)</f>
        <v>0.66471999999999998</v>
      </c>
      <c r="Y218" s="56"/>
      <c r="Z218" s="17"/>
      <c r="AA218" s="55"/>
      <c r="AB218" s="48">
        <f>(B218*122.58+C218*297.941+D218*89.177+E218*140.302+F218*40+G218*60+H218*0+I218*100+J218*300)/(122.58+297.941+89.177+140.302+0+40+60+100+300)</f>
        <v>11.072852863043476</v>
      </c>
      <c r="AC218" s="45">
        <f>(M218*'RAP TEMPLATE-GAS AVAILABILITY'!O217+N218*'RAP TEMPLATE-GAS AVAILABILITY'!P217+O218*'RAP TEMPLATE-GAS AVAILABILITY'!Q217+P218*'RAP TEMPLATE-GAS AVAILABILITY'!R217)/('RAP TEMPLATE-GAS AVAILABILITY'!O217+'RAP TEMPLATE-GAS AVAILABILITY'!P217+'RAP TEMPLATE-GAS AVAILABILITY'!Q217+'RAP TEMPLATE-GAS AVAILABILITY'!R217)</f>
        <v>11.013810071942446</v>
      </c>
    </row>
    <row r="219" spans="1:29" ht="15.75" x14ac:dyDescent="0.25">
      <c r="A219" s="16">
        <v>47543</v>
      </c>
      <c r="B219" s="17">
        <f>CHOOSE(CONTROL!$C$42, 10.7471, 10.7471) * CHOOSE(CONTROL!$C$21, $C$9, 100%, $E$9)</f>
        <v>10.7471</v>
      </c>
      <c r="C219" s="17">
        <f>CHOOSE(CONTROL!$C$42, 10.7521, 10.7521) * CHOOSE(CONTROL!$C$21, $C$9, 100%, $E$9)</f>
        <v>10.7521</v>
      </c>
      <c r="D219" s="17">
        <f>CHOOSE(CONTROL!$C$42, 10.849, 10.849) * CHOOSE(CONTROL!$C$21, $C$9, 100%, $E$9)</f>
        <v>10.849</v>
      </c>
      <c r="E219" s="17">
        <f>CHOOSE(CONTROL!$C$42, 10.8827, 10.8827) * CHOOSE(CONTROL!$C$21, $C$9, 100%, $E$9)</f>
        <v>10.8827</v>
      </c>
      <c r="F219" s="17">
        <f>CHOOSE(CONTROL!$C$42, 10.7607, 10.7607)*CHOOSE(CONTROL!$C$21, $C$9, 100%, $E$9)</f>
        <v>10.7607</v>
      </c>
      <c r="G219" s="17">
        <f>CHOOSE(CONTROL!$C$42, 10.7769, 10.7769)*CHOOSE(CONTROL!$C$21, $C$9, 100%, $E$9)</f>
        <v>10.776899999999999</v>
      </c>
      <c r="H219" s="17">
        <f>CHOOSE(CONTROL!$C$42, 10.8716, 10.8716) * CHOOSE(CONTROL!$C$21, $C$9, 100%, $E$9)</f>
        <v>10.871600000000001</v>
      </c>
      <c r="I219" s="17">
        <f>CHOOSE(CONTROL!$C$42, 10.8054, 10.8054)* CHOOSE(CONTROL!$C$21, $C$9, 100%, $E$9)</f>
        <v>10.805400000000001</v>
      </c>
      <c r="J219" s="17">
        <f>CHOOSE(CONTROL!$C$42, 10.7533, 10.7533)* CHOOSE(CONTROL!$C$21, $C$9, 100%, $E$9)</f>
        <v>10.753299999999999</v>
      </c>
      <c r="K219" s="52">
        <f>CHOOSE(CONTROL!$C$42, 10.7993, 10.7993) * CHOOSE(CONTROL!$C$21, $C$9, 100%, $E$9)</f>
        <v>10.799300000000001</v>
      </c>
      <c r="L219" s="17">
        <f>CHOOSE(CONTROL!$C$42, 11.4586, 11.4586) * CHOOSE(CONTROL!$C$21, $C$9, 100%, $E$9)</f>
        <v>11.458600000000001</v>
      </c>
      <c r="M219" s="17">
        <f>CHOOSE(CONTROL!$C$42, 10.6636, 10.6636) * CHOOSE(CONTROL!$C$21, $C$9, 100%, $E$9)</f>
        <v>10.663600000000001</v>
      </c>
      <c r="N219" s="17">
        <f>CHOOSE(CONTROL!$C$42, 10.6797, 10.6797) * CHOOSE(CONTROL!$C$21, $C$9, 100%, $E$9)</f>
        <v>10.6797</v>
      </c>
      <c r="O219" s="17">
        <f>CHOOSE(CONTROL!$C$42, 10.7808, 10.7808) * CHOOSE(CONTROL!$C$21, $C$9, 100%, $E$9)</f>
        <v>10.780799999999999</v>
      </c>
      <c r="P219" s="17">
        <f>CHOOSE(CONTROL!$C$42, 10.7149, 10.7149) * CHOOSE(CONTROL!$C$21, $C$9, 100%, $E$9)</f>
        <v>10.7149</v>
      </c>
      <c r="Q219" s="17">
        <f>CHOOSE(CONTROL!$C$42, 11.3755, 11.3755) * CHOOSE(CONTROL!$C$21, $C$9, 100%, $E$9)</f>
        <v>11.375500000000001</v>
      </c>
      <c r="R219" s="17">
        <f>CHOOSE(CONTROL!$C$42, 11.991, 11.991) * CHOOSE(CONTROL!$C$21, $C$9, 100%, $E$9)</f>
        <v>11.991</v>
      </c>
      <c r="S219" s="17">
        <f>CHOOSE(CONTROL!$C$42, 10.4119, 10.4119) * CHOOSE(CONTROL!$C$21, $C$9, 100%, $E$9)</f>
        <v>10.411899999999999</v>
      </c>
      <c r="T21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19" s="56">
        <f>(1000*CHOOSE(CONTROL!$C$42, 695, 695)*CHOOSE(CONTROL!$C$42, 0.5599, 0.5599)*CHOOSE(CONTROL!$C$42, 31, 31))/1000000</f>
        <v>12.063045499999998</v>
      </c>
      <c r="V219" s="56">
        <f>(1000*CHOOSE(CONTROL!$C$42, 500, 500)*CHOOSE(CONTROL!$C$42, 0.275, 0.275)*CHOOSE(CONTROL!$C$42, 31, 31))/1000000</f>
        <v>4.2625000000000002</v>
      </c>
      <c r="W219" s="56">
        <f>(1000*CHOOSE(CONTROL!$C$42, 0.0916, 0.0916)*CHOOSE(CONTROL!$C$42, 121.5, 121.5)*CHOOSE(CONTROL!$C$42, 31, 31))/1000000</f>
        <v>0.34501139999999997</v>
      </c>
      <c r="X219" s="56">
        <f>(31*0.2374*100000/1000000)</f>
        <v>0.73594000000000004</v>
      </c>
      <c r="Y219" s="56"/>
      <c r="Z219" s="17"/>
      <c r="AA219" s="55"/>
      <c r="AB219" s="48">
        <f>(B219*122.58+C219*297.941+D219*89.177+E219*140.302+F219*40+G219*60+H219*0+I219*100+J219*300)/(122.58+297.941+89.177+140.302+0+40+60+100+300)</f>
        <v>10.78155547173913</v>
      </c>
      <c r="AC219" s="45">
        <f>(M219*'RAP TEMPLATE-GAS AVAILABILITY'!O218+N219*'RAP TEMPLATE-GAS AVAILABILITY'!P218+O219*'RAP TEMPLATE-GAS AVAILABILITY'!Q218+P219*'RAP TEMPLATE-GAS AVAILABILITY'!R218)/('RAP TEMPLATE-GAS AVAILABILITY'!O218+'RAP TEMPLATE-GAS AVAILABILITY'!P218+'RAP TEMPLATE-GAS AVAILABILITY'!Q218+'RAP TEMPLATE-GAS AVAILABILITY'!R218)</f>
        <v>10.725027338129497</v>
      </c>
    </row>
    <row r="220" spans="1:29" ht="15.75" x14ac:dyDescent="0.25">
      <c r="A220" s="16">
        <v>47574</v>
      </c>
      <c r="B220" s="17">
        <f>CHOOSE(CONTROL!$C$42, 10.7379, 10.7379) * CHOOSE(CONTROL!$C$21, $C$9, 100%, $E$9)</f>
        <v>10.7379</v>
      </c>
      <c r="C220" s="17">
        <f>CHOOSE(CONTROL!$C$42, 10.7425, 10.7425) * CHOOSE(CONTROL!$C$21, $C$9, 100%, $E$9)</f>
        <v>10.7425</v>
      </c>
      <c r="D220" s="17">
        <f>CHOOSE(CONTROL!$C$42, 10.99, 10.99) * CHOOSE(CONTROL!$C$21, $C$9, 100%, $E$9)</f>
        <v>10.99</v>
      </c>
      <c r="E220" s="17">
        <f>CHOOSE(CONTROL!$C$42, 11.0218, 11.0218) * CHOOSE(CONTROL!$C$21, $C$9, 100%, $E$9)</f>
        <v>11.021800000000001</v>
      </c>
      <c r="F220" s="17">
        <f>CHOOSE(CONTROL!$C$42, 10.7496, 10.7496)*CHOOSE(CONTROL!$C$21, $C$9, 100%, $E$9)</f>
        <v>10.749599999999999</v>
      </c>
      <c r="G220" s="17">
        <f>CHOOSE(CONTROL!$C$42, 10.7655, 10.7655)*CHOOSE(CONTROL!$C$21, $C$9, 100%, $E$9)</f>
        <v>10.765499999999999</v>
      </c>
      <c r="H220" s="17">
        <f>CHOOSE(CONTROL!$C$42, 11.0113, 11.0113) * CHOOSE(CONTROL!$C$21, $C$9, 100%, $E$9)</f>
        <v>11.0113</v>
      </c>
      <c r="I220" s="17">
        <f>CHOOSE(CONTROL!$C$42, 10.7939, 10.7939)* CHOOSE(CONTROL!$C$21, $C$9, 100%, $E$9)</f>
        <v>10.793900000000001</v>
      </c>
      <c r="J220" s="17">
        <f>CHOOSE(CONTROL!$C$42, 10.7422, 10.7422)* CHOOSE(CONTROL!$C$21, $C$9, 100%, $E$9)</f>
        <v>10.7422</v>
      </c>
      <c r="K220" s="52">
        <f>CHOOSE(CONTROL!$C$42, 10.7879, 10.7879) * CHOOSE(CONTROL!$C$21, $C$9, 100%, $E$9)</f>
        <v>10.7879</v>
      </c>
      <c r="L220" s="17">
        <f>CHOOSE(CONTROL!$C$42, 11.5983, 11.5983) * CHOOSE(CONTROL!$C$21, $C$9, 100%, $E$9)</f>
        <v>11.5983</v>
      </c>
      <c r="M220" s="17">
        <f>CHOOSE(CONTROL!$C$42, 10.6526, 10.6526) * CHOOSE(CONTROL!$C$21, $C$9, 100%, $E$9)</f>
        <v>10.6526</v>
      </c>
      <c r="N220" s="17">
        <f>CHOOSE(CONTROL!$C$42, 10.6684, 10.6684) * CHOOSE(CONTROL!$C$21, $C$9, 100%, $E$9)</f>
        <v>10.6684</v>
      </c>
      <c r="O220" s="17">
        <f>CHOOSE(CONTROL!$C$42, 10.9192, 10.9192) * CHOOSE(CONTROL!$C$21, $C$9, 100%, $E$9)</f>
        <v>10.9192</v>
      </c>
      <c r="P220" s="17">
        <f>CHOOSE(CONTROL!$C$42, 10.7036, 10.7036) * CHOOSE(CONTROL!$C$21, $C$9, 100%, $E$9)</f>
        <v>10.7036</v>
      </c>
      <c r="Q220" s="17">
        <f>CHOOSE(CONTROL!$C$42, 11.5139, 11.5139) * CHOOSE(CONTROL!$C$21, $C$9, 100%, $E$9)</f>
        <v>11.5139</v>
      </c>
      <c r="R220" s="17">
        <f>CHOOSE(CONTROL!$C$42, 12.1297, 12.1297) * CHOOSE(CONTROL!$C$21, $C$9, 100%, $E$9)</f>
        <v>12.1297</v>
      </c>
      <c r="S220" s="17">
        <f>CHOOSE(CONTROL!$C$42, 10.4023, 10.4023) * CHOOSE(CONTROL!$C$21, $C$9, 100%, $E$9)</f>
        <v>10.4023</v>
      </c>
      <c r="T22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20" s="56">
        <f>(1000*CHOOSE(CONTROL!$C$42, 695, 695)*CHOOSE(CONTROL!$C$42, 0.5599, 0.5599)*CHOOSE(CONTROL!$C$42, 30, 30))/1000000</f>
        <v>11.673914999999997</v>
      </c>
      <c r="V220" s="56">
        <f>(1000*CHOOSE(CONTROL!$C$42, 500, 500)*CHOOSE(CONTROL!$C$42, 0.275, 0.275)*CHOOSE(CONTROL!$C$42, 30, 30))/1000000</f>
        <v>4.125</v>
      </c>
      <c r="W220" s="56">
        <f>(1000*CHOOSE(CONTROL!$C$42, 0.0916, 0.0916)*CHOOSE(CONTROL!$C$42, 121.5, 121.5)*CHOOSE(CONTROL!$C$42, 30, 30))/1000000</f>
        <v>0.33388200000000001</v>
      </c>
      <c r="X220" s="56">
        <f>(30*0.1790888*145000/1000000)+(30*0.2374*100000/1000000)</f>
        <v>1.4912362799999999</v>
      </c>
      <c r="Y220" s="56"/>
      <c r="Z220" s="17"/>
      <c r="AA220" s="55"/>
      <c r="AB220" s="48">
        <f>(B220*141.293+C220*267.993+D220*115.016+E220*189.698+F220*40+G220*85+H220*0+I220*100+J220*300)/(141.293+267.993+115.016+189.698+0+40+85+100+300)</f>
        <v>10.81359617723971</v>
      </c>
      <c r="AC220" s="45">
        <f>(M220*'RAP TEMPLATE-GAS AVAILABILITY'!O219+N220*'RAP TEMPLATE-GAS AVAILABILITY'!P219+O220*'RAP TEMPLATE-GAS AVAILABILITY'!Q219+P220*'RAP TEMPLATE-GAS AVAILABILITY'!R219)/('RAP TEMPLATE-GAS AVAILABILITY'!O219+'RAP TEMPLATE-GAS AVAILABILITY'!P219+'RAP TEMPLATE-GAS AVAILABILITY'!Q219+'RAP TEMPLATE-GAS AVAILABILITY'!R219)</f>
        <v>10.738376978417266</v>
      </c>
    </row>
    <row r="221" spans="1:29" ht="15.75" x14ac:dyDescent="0.25">
      <c r="A221" s="16">
        <v>47604</v>
      </c>
      <c r="B221" s="17">
        <f>CHOOSE(CONTROL!$C$42, 10.8563, 10.8563) * CHOOSE(CONTROL!$C$21, $C$9, 100%, $E$9)</f>
        <v>10.856299999999999</v>
      </c>
      <c r="C221" s="17">
        <f>CHOOSE(CONTROL!$C$42, 10.8643, 10.8643) * CHOOSE(CONTROL!$C$21, $C$9, 100%, $E$9)</f>
        <v>10.8643</v>
      </c>
      <c r="D221" s="17">
        <f>CHOOSE(CONTROL!$C$42, 11.1087, 11.1087) * CHOOSE(CONTROL!$C$21, $C$9, 100%, $E$9)</f>
        <v>11.108700000000001</v>
      </c>
      <c r="E221" s="17">
        <f>CHOOSE(CONTROL!$C$42, 11.1399, 11.1399) * CHOOSE(CONTROL!$C$21, $C$9, 100%, $E$9)</f>
        <v>11.139900000000001</v>
      </c>
      <c r="F221" s="17">
        <f>CHOOSE(CONTROL!$C$42, 10.8668, 10.8668)*CHOOSE(CONTROL!$C$21, $C$9, 100%, $E$9)</f>
        <v>10.8668</v>
      </c>
      <c r="G221" s="17">
        <f>CHOOSE(CONTROL!$C$42, 10.883, 10.883)*CHOOSE(CONTROL!$C$21, $C$9, 100%, $E$9)</f>
        <v>10.882999999999999</v>
      </c>
      <c r="H221" s="17">
        <f>CHOOSE(CONTROL!$C$42, 11.1282, 11.1282) * CHOOSE(CONTROL!$C$21, $C$9, 100%, $E$9)</f>
        <v>11.1282</v>
      </c>
      <c r="I221" s="17">
        <f>CHOOSE(CONTROL!$C$42, 10.9112, 10.9112)* CHOOSE(CONTROL!$C$21, $C$9, 100%, $E$9)</f>
        <v>10.911199999999999</v>
      </c>
      <c r="J221" s="17">
        <f>CHOOSE(CONTROL!$C$42, 10.8594, 10.8594)* CHOOSE(CONTROL!$C$21, $C$9, 100%, $E$9)</f>
        <v>10.859400000000001</v>
      </c>
      <c r="K221" s="52">
        <f>CHOOSE(CONTROL!$C$42, 10.9052, 10.9052) * CHOOSE(CONTROL!$C$21, $C$9, 100%, $E$9)</f>
        <v>10.905200000000001</v>
      </c>
      <c r="L221" s="17">
        <f>CHOOSE(CONTROL!$C$42, 11.7152, 11.7152) * CHOOSE(CONTROL!$C$21, $C$9, 100%, $E$9)</f>
        <v>11.715199999999999</v>
      </c>
      <c r="M221" s="17">
        <f>CHOOSE(CONTROL!$C$42, 10.7688, 10.7688) * CHOOSE(CONTROL!$C$21, $C$9, 100%, $E$9)</f>
        <v>10.768800000000001</v>
      </c>
      <c r="N221" s="17">
        <f>CHOOSE(CONTROL!$C$42, 10.7848, 10.7848) * CHOOSE(CONTROL!$C$21, $C$9, 100%, $E$9)</f>
        <v>10.784800000000001</v>
      </c>
      <c r="O221" s="17">
        <f>CHOOSE(CONTROL!$C$42, 11.0351, 11.0351) * CHOOSE(CONTROL!$C$21, $C$9, 100%, $E$9)</f>
        <v>11.0351</v>
      </c>
      <c r="P221" s="17">
        <f>CHOOSE(CONTROL!$C$42, 10.8199, 10.8199) * CHOOSE(CONTROL!$C$21, $C$9, 100%, $E$9)</f>
        <v>10.819900000000001</v>
      </c>
      <c r="Q221" s="17">
        <f>CHOOSE(CONTROL!$C$42, 11.6298, 11.6298) * CHOOSE(CONTROL!$C$21, $C$9, 100%, $E$9)</f>
        <v>11.629799999999999</v>
      </c>
      <c r="R221" s="17">
        <f>CHOOSE(CONTROL!$C$42, 12.2459, 12.2459) * CHOOSE(CONTROL!$C$21, $C$9, 100%, $E$9)</f>
        <v>12.245900000000001</v>
      </c>
      <c r="S221" s="17">
        <f>CHOOSE(CONTROL!$C$42, 10.5158, 10.5158) * CHOOSE(CONTROL!$C$21, $C$9, 100%, $E$9)</f>
        <v>10.5158</v>
      </c>
      <c r="T22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21" s="56">
        <f>(1000*CHOOSE(CONTROL!$C$42, 695, 695)*CHOOSE(CONTROL!$C$42, 0.5599, 0.5599)*CHOOSE(CONTROL!$C$42, 31, 31))/1000000</f>
        <v>12.063045499999998</v>
      </c>
      <c r="V221" s="56">
        <f>(1000*CHOOSE(CONTROL!$C$42, 500, 500)*CHOOSE(CONTROL!$C$42, 0.275, 0.275)*CHOOSE(CONTROL!$C$42, 31, 31))/1000000</f>
        <v>4.2625000000000002</v>
      </c>
      <c r="W221" s="56">
        <f>(1000*CHOOSE(CONTROL!$C$42, 0.0916, 0.0916)*CHOOSE(CONTROL!$C$42, 121.5, 121.5)*CHOOSE(CONTROL!$C$42, 31, 31))/1000000</f>
        <v>0.34501139999999997</v>
      </c>
      <c r="X221" s="56">
        <f>(31*0.1790888*145000/1000000)+(31*0.2374*100000/1000000)</f>
        <v>1.5409441560000001</v>
      </c>
      <c r="Y221" s="56"/>
      <c r="Z221" s="17"/>
      <c r="AA221" s="55"/>
      <c r="AB221" s="48">
        <f>(B221*194.205+C221*267.466+D221*133.845+E221*153.484+F221*40+G221*85+H221*0+I221*100+J221*300)/(194.205+267.466+133.845+153.484+0+40+85+100+300)</f>
        <v>10.925813162009419</v>
      </c>
      <c r="AC221" s="45">
        <f>(M221*'RAP TEMPLATE-GAS AVAILABILITY'!O220+N221*'RAP TEMPLATE-GAS AVAILABILITY'!P220+O221*'RAP TEMPLATE-GAS AVAILABILITY'!Q220+P221*'RAP TEMPLATE-GAS AVAILABILITY'!R220)/('RAP TEMPLATE-GAS AVAILABILITY'!O220+'RAP TEMPLATE-GAS AVAILABILITY'!P220+'RAP TEMPLATE-GAS AVAILABILITY'!Q220+'RAP TEMPLATE-GAS AVAILABILITY'!R220)</f>
        <v>10.854553237410071</v>
      </c>
    </row>
    <row r="222" spans="1:29" ht="15.75" x14ac:dyDescent="0.25">
      <c r="A222" s="16">
        <v>47635</v>
      </c>
      <c r="B222" s="17">
        <f>CHOOSE(CONTROL!$C$42, 11.1868, 11.1868) * CHOOSE(CONTROL!$C$21, $C$9, 100%, $E$9)</f>
        <v>11.1868</v>
      </c>
      <c r="C222" s="17">
        <f>CHOOSE(CONTROL!$C$42, 11.1948, 11.1948) * CHOOSE(CONTROL!$C$21, $C$9, 100%, $E$9)</f>
        <v>11.194800000000001</v>
      </c>
      <c r="D222" s="17">
        <f>CHOOSE(CONTROL!$C$42, 11.4393, 11.4393) * CHOOSE(CONTROL!$C$21, $C$9, 100%, $E$9)</f>
        <v>11.439299999999999</v>
      </c>
      <c r="E222" s="17">
        <f>CHOOSE(CONTROL!$C$42, 11.4705, 11.4705) * CHOOSE(CONTROL!$C$21, $C$9, 100%, $E$9)</f>
        <v>11.470499999999999</v>
      </c>
      <c r="F222" s="17">
        <f>CHOOSE(CONTROL!$C$42, 11.1977, 11.1977)*CHOOSE(CONTROL!$C$21, $C$9, 100%, $E$9)</f>
        <v>11.197699999999999</v>
      </c>
      <c r="G222" s="17">
        <f>CHOOSE(CONTROL!$C$42, 11.214, 11.214)*CHOOSE(CONTROL!$C$21, $C$9, 100%, $E$9)</f>
        <v>11.214</v>
      </c>
      <c r="H222" s="17">
        <f>CHOOSE(CONTROL!$C$42, 11.4588, 11.4588) * CHOOSE(CONTROL!$C$21, $C$9, 100%, $E$9)</f>
        <v>11.4588</v>
      </c>
      <c r="I222" s="17">
        <f>CHOOSE(CONTROL!$C$42, 11.2428, 11.2428)* CHOOSE(CONTROL!$C$21, $C$9, 100%, $E$9)</f>
        <v>11.242800000000001</v>
      </c>
      <c r="J222" s="17">
        <f>CHOOSE(CONTROL!$C$42, 11.1903, 11.1903)* CHOOSE(CONTROL!$C$21, $C$9, 100%, $E$9)</f>
        <v>11.190300000000001</v>
      </c>
      <c r="K222" s="52">
        <f>CHOOSE(CONTROL!$C$42, 11.2368, 11.2368) * CHOOSE(CONTROL!$C$21, $C$9, 100%, $E$9)</f>
        <v>11.236800000000001</v>
      </c>
      <c r="L222" s="17">
        <f>CHOOSE(CONTROL!$C$42, 12.0458, 12.0458) * CHOOSE(CONTROL!$C$21, $C$9, 100%, $E$9)</f>
        <v>12.0458</v>
      </c>
      <c r="M222" s="17">
        <f>CHOOSE(CONTROL!$C$42, 11.0967, 11.0967) * CHOOSE(CONTROL!$C$21, $C$9, 100%, $E$9)</f>
        <v>11.0967</v>
      </c>
      <c r="N222" s="17">
        <f>CHOOSE(CONTROL!$C$42, 11.1128, 11.1128) * CHOOSE(CONTROL!$C$21, $C$9, 100%, $E$9)</f>
        <v>11.1128</v>
      </c>
      <c r="O222" s="17">
        <f>CHOOSE(CONTROL!$C$42, 11.3627, 11.3627) * CHOOSE(CONTROL!$C$21, $C$9, 100%, $E$9)</f>
        <v>11.3627</v>
      </c>
      <c r="P222" s="17">
        <f>CHOOSE(CONTROL!$C$42, 11.1484, 11.1484) * CHOOSE(CONTROL!$C$21, $C$9, 100%, $E$9)</f>
        <v>11.148400000000001</v>
      </c>
      <c r="Q222" s="17">
        <f>CHOOSE(CONTROL!$C$42, 11.9574, 11.9574) * CHOOSE(CONTROL!$C$21, $C$9, 100%, $E$9)</f>
        <v>11.9574</v>
      </c>
      <c r="R222" s="17">
        <f>CHOOSE(CONTROL!$C$42, 12.5743, 12.5743) * CHOOSE(CONTROL!$C$21, $C$9, 100%, $E$9)</f>
        <v>12.574299999999999</v>
      </c>
      <c r="S222" s="17">
        <f>CHOOSE(CONTROL!$C$42, 10.8363, 10.8363) * CHOOSE(CONTROL!$C$21, $C$9, 100%, $E$9)</f>
        <v>10.8363</v>
      </c>
      <c r="T22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22" s="56">
        <f>(1000*CHOOSE(CONTROL!$C$42, 695, 695)*CHOOSE(CONTROL!$C$42, 0.5599, 0.5599)*CHOOSE(CONTROL!$C$42, 30, 30))/1000000</f>
        <v>11.673914999999997</v>
      </c>
      <c r="V222" s="56">
        <f>(1000*CHOOSE(CONTROL!$C$42, 500, 500)*CHOOSE(CONTROL!$C$42, 0.275, 0.275)*CHOOSE(CONTROL!$C$42, 30, 30))/1000000</f>
        <v>4.125</v>
      </c>
      <c r="W222" s="56">
        <f>(1000*CHOOSE(CONTROL!$C$42, 0.0916, 0.0916)*CHOOSE(CONTROL!$C$42, 121.5, 121.5)*CHOOSE(CONTROL!$C$42, 30, 30))/1000000</f>
        <v>0.33388200000000001</v>
      </c>
      <c r="X222" s="56">
        <f>(30*0.1790888*145000/1000000)+(30*0.2374*100000/1000000)</f>
        <v>1.4912362799999999</v>
      </c>
      <c r="Y222" s="56"/>
      <c r="Z222" s="17"/>
      <c r="AA222" s="55"/>
      <c r="AB222" s="48">
        <f>(B222*194.205+C222*267.466+D222*133.845+E222*153.484+F222*40+G222*85+H222*0+I222*100+J222*300)/(194.205+267.466+133.845+153.484+0+40+85+100+300)</f>
        <v>11.256562167425432</v>
      </c>
      <c r="AC222" s="45">
        <f>(M222*'RAP TEMPLATE-GAS AVAILABILITY'!O221+N222*'RAP TEMPLATE-GAS AVAILABILITY'!P221+O222*'RAP TEMPLATE-GAS AVAILABILITY'!Q221+P222*'RAP TEMPLATE-GAS AVAILABILITY'!R221)/('RAP TEMPLATE-GAS AVAILABILITY'!O221+'RAP TEMPLATE-GAS AVAILABILITY'!P221+'RAP TEMPLATE-GAS AVAILABILITY'!Q221+'RAP TEMPLATE-GAS AVAILABILITY'!R221)</f>
        <v>11.182478417266188</v>
      </c>
    </row>
    <row r="223" spans="1:29" ht="15.75" x14ac:dyDescent="0.25">
      <c r="A223" s="16">
        <v>47665</v>
      </c>
      <c r="B223" s="17">
        <f>CHOOSE(CONTROL!$C$42, 10.995, 10.995) * CHOOSE(CONTROL!$C$21, $C$9, 100%, $E$9)</f>
        <v>10.994999999999999</v>
      </c>
      <c r="C223" s="17">
        <f>CHOOSE(CONTROL!$C$42, 11.003, 11.003) * CHOOSE(CONTROL!$C$21, $C$9, 100%, $E$9)</f>
        <v>11.003</v>
      </c>
      <c r="D223" s="17">
        <f>CHOOSE(CONTROL!$C$42, 11.2475, 11.2475) * CHOOSE(CONTROL!$C$21, $C$9, 100%, $E$9)</f>
        <v>11.2475</v>
      </c>
      <c r="E223" s="17">
        <f>CHOOSE(CONTROL!$C$42, 11.2787, 11.2787) * CHOOSE(CONTROL!$C$21, $C$9, 100%, $E$9)</f>
        <v>11.278700000000001</v>
      </c>
      <c r="F223" s="17">
        <f>CHOOSE(CONTROL!$C$42, 11.0064, 11.0064)*CHOOSE(CONTROL!$C$21, $C$9, 100%, $E$9)</f>
        <v>11.006399999999999</v>
      </c>
      <c r="G223" s="17">
        <f>CHOOSE(CONTROL!$C$42, 11.0228, 11.0228)*CHOOSE(CONTROL!$C$21, $C$9, 100%, $E$9)</f>
        <v>11.0228</v>
      </c>
      <c r="H223" s="17">
        <f>CHOOSE(CONTROL!$C$42, 11.267, 11.267) * CHOOSE(CONTROL!$C$21, $C$9, 100%, $E$9)</f>
        <v>11.266999999999999</v>
      </c>
      <c r="I223" s="17">
        <f>CHOOSE(CONTROL!$C$42, 11.0504, 11.0504)* CHOOSE(CONTROL!$C$21, $C$9, 100%, $E$9)</f>
        <v>11.0504</v>
      </c>
      <c r="J223" s="17">
        <f>CHOOSE(CONTROL!$C$42, 10.999, 10.999)* CHOOSE(CONTROL!$C$21, $C$9, 100%, $E$9)</f>
        <v>10.999000000000001</v>
      </c>
      <c r="K223" s="52">
        <f>CHOOSE(CONTROL!$C$42, 11.0444, 11.0444) * CHOOSE(CONTROL!$C$21, $C$9, 100%, $E$9)</f>
        <v>11.0444</v>
      </c>
      <c r="L223" s="17">
        <f>CHOOSE(CONTROL!$C$42, 11.854, 11.854) * CHOOSE(CONTROL!$C$21, $C$9, 100%, $E$9)</f>
        <v>11.853999999999999</v>
      </c>
      <c r="M223" s="17">
        <f>CHOOSE(CONTROL!$C$42, 10.907, 10.907) * CHOOSE(CONTROL!$C$21, $C$9, 100%, $E$9)</f>
        <v>10.907</v>
      </c>
      <c r="N223" s="17">
        <f>CHOOSE(CONTROL!$C$42, 10.9233, 10.9233) * CHOOSE(CONTROL!$C$21, $C$9, 100%, $E$9)</f>
        <v>10.923299999999999</v>
      </c>
      <c r="O223" s="17">
        <f>CHOOSE(CONTROL!$C$42, 11.1727, 11.1727) * CHOOSE(CONTROL!$C$21, $C$9, 100%, $E$9)</f>
        <v>11.172700000000001</v>
      </c>
      <c r="P223" s="17">
        <f>CHOOSE(CONTROL!$C$42, 10.9578, 10.9578) * CHOOSE(CONTROL!$C$21, $C$9, 100%, $E$9)</f>
        <v>10.957800000000001</v>
      </c>
      <c r="Q223" s="17">
        <f>CHOOSE(CONTROL!$C$42, 11.7674, 11.7674) * CHOOSE(CONTROL!$C$21, $C$9, 100%, $E$9)</f>
        <v>11.7674</v>
      </c>
      <c r="R223" s="17">
        <f>CHOOSE(CONTROL!$C$42, 12.3838, 12.3838) * CHOOSE(CONTROL!$C$21, $C$9, 100%, $E$9)</f>
        <v>12.383800000000001</v>
      </c>
      <c r="S223" s="17">
        <f>CHOOSE(CONTROL!$C$42, 10.6503, 10.6503) * CHOOSE(CONTROL!$C$21, $C$9, 100%, $E$9)</f>
        <v>10.6503</v>
      </c>
      <c r="T22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23" s="56">
        <f>(1000*CHOOSE(CONTROL!$C$42, 695, 695)*CHOOSE(CONTROL!$C$42, 0.5599, 0.5599)*CHOOSE(CONTROL!$C$42, 31, 31))/1000000</f>
        <v>12.063045499999998</v>
      </c>
      <c r="V223" s="56">
        <f>(1000*CHOOSE(CONTROL!$C$42, 500, 500)*CHOOSE(CONTROL!$C$42, 0.275, 0.275)*CHOOSE(CONTROL!$C$42, 31, 31))/1000000</f>
        <v>4.2625000000000002</v>
      </c>
      <c r="W223" s="56">
        <f>(1000*CHOOSE(CONTROL!$C$42, 0.0916, 0.0916)*CHOOSE(CONTROL!$C$42, 121.5, 121.5)*CHOOSE(CONTROL!$C$42, 31, 31))/1000000</f>
        <v>0.34501139999999997</v>
      </c>
      <c r="X223" s="56">
        <f>(31*0.1790888*145000/1000000)+(31*0.2374*100000/1000000)</f>
        <v>1.5409441560000001</v>
      </c>
      <c r="Y223" s="56"/>
      <c r="Z223" s="17"/>
      <c r="AA223" s="55"/>
      <c r="AB223" s="48">
        <f>(B223*194.205+C223*267.466+D223*133.845+E223*153.484+F223*40+G223*85+H223*0+I223*100+J223*300)/(194.205+267.466+133.845+153.484+0+40+85+100+300)</f>
        <v>11.064888541051806</v>
      </c>
      <c r="AC223" s="45">
        <f>(M223*'RAP TEMPLATE-GAS AVAILABILITY'!O222+N223*'RAP TEMPLATE-GAS AVAILABILITY'!P222+O223*'RAP TEMPLATE-GAS AVAILABILITY'!Q222+P223*'RAP TEMPLATE-GAS AVAILABILITY'!R222)/('RAP TEMPLATE-GAS AVAILABILITY'!O222+'RAP TEMPLATE-GAS AVAILABILITY'!P222+'RAP TEMPLATE-GAS AVAILABILITY'!Q222+'RAP TEMPLATE-GAS AVAILABILITY'!R222)</f>
        <v>10.992610791366905</v>
      </c>
    </row>
    <row r="224" spans="1:29" ht="15.75" x14ac:dyDescent="0.25">
      <c r="A224" s="16">
        <v>47696</v>
      </c>
      <c r="B224" s="17">
        <f>CHOOSE(CONTROL!$C$42, 10.4526, 10.4526) * CHOOSE(CONTROL!$C$21, $C$9, 100%, $E$9)</f>
        <v>10.4526</v>
      </c>
      <c r="C224" s="17">
        <f>CHOOSE(CONTROL!$C$42, 10.4606, 10.4606) * CHOOSE(CONTROL!$C$21, $C$9, 100%, $E$9)</f>
        <v>10.460599999999999</v>
      </c>
      <c r="D224" s="17">
        <f>CHOOSE(CONTROL!$C$42, 10.705, 10.705) * CHOOSE(CONTROL!$C$21, $C$9, 100%, $E$9)</f>
        <v>10.705</v>
      </c>
      <c r="E224" s="17">
        <f>CHOOSE(CONTROL!$C$42, 10.7362, 10.7362) * CHOOSE(CONTROL!$C$21, $C$9, 100%, $E$9)</f>
        <v>10.7362</v>
      </c>
      <c r="F224" s="17">
        <f>CHOOSE(CONTROL!$C$42, 10.4641, 10.4641)*CHOOSE(CONTROL!$C$21, $C$9, 100%, $E$9)</f>
        <v>10.4641</v>
      </c>
      <c r="G224" s="17">
        <f>CHOOSE(CONTROL!$C$42, 10.4806, 10.4806)*CHOOSE(CONTROL!$C$21, $C$9, 100%, $E$9)</f>
        <v>10.480600000000001</v>
      </c>
      <c r="H224" s="17">
        <f>CHOOSE(CONTROL!$C$42, 10.7245, 10.7245) * CHOOSE(CONTROL!$C$21, $C$9, 100%, $E$9)</f>
        <v>10.724500000000001</v>
      </c>
      <c r="I224" s="17">
        <f>CHOOSE(CONTROL!$C$42, 10.5063, 10.5063)* CHOOSE(CONTROL!$C$21, $C$9, 100%, $E$9)</f>
        <v>10.5063</v>
      </c>
      <c r="J224" s="17">
        <f>CHOOSE(CONTROL!$C$42, 10.4567, 10.4567)* CHOOSE(CONTROL!$C$21, $C$9, 100%, $E$9)</f>
        <v>10.4567</v>
      </c>
      <c r="K224" s="52">
        <f>CHOOSE(CONTROL!$C$42, 10.5002, 10.5002) * CHOOSE(CONTROL!$C$21, $C$9, 100%, $E$9)</f>
        <v>10.5002</v>
      </c>
      <c r="L224" s="17">
        <f>CHOOSE(CONTROL!$C$42, 11.3115, 11.3115) * CHOOSE(CONTROL!$C$21, $C$9, 100%, $E$9)</f>
        <v>11.311500000000001</v>
      </c>
      <c r="M224" s="17">
        <f>CHOOSE(CONTROL!$C$42, 10.3697, 10.3697) * CHOOSE(CONTROL!$C$21, $C$9, 100%, $E$9)</f>
        <v>10.3697</v>
      </c>
      <c r="N224" s="17">
        <f>CHOOSE(CONTROL!$C$42, 10.386, 10.386) * CHOOSE(CONTROL!$C$21, $C$9, 100%, $E$9)</f>
        <v>10.385999999999999</v>
      </c>
      <c r="O224" s="17">
        <f>CHOOSE(CONTROL!$C$42, 10.6351, 10.6351) * CHOOSE(CONTROL!$C$21, $C$9, 100%, $E$9)</f>
        <v>10.6351</v>
      </c>
      <c r="P224" s="17">
        <f>CHOOSE(CONTROL!$C$42, 10.4185, 10.4185) * CHOOSE(CONTROL!$C$21, $C$9, 100%, $E$9)</f>
        <v>10.4185</v>
      </c>
      <c r="Q224" s="17">
        <f>CHOOSE(CONTROL!$C$42, 11.2298, 11.2298) * CHOOSE(CONTROL!$C$21, $C$9, 100%, $E$9)</f>
        <v>11.229799999999999</v>
      </c>
      <c r="R224" s="17">
        <f>CHOOSE(CONTROL!$C$42, 11.8448, 11.8448) * CHOOSE(CONTROL!$C$21, $C$9, 100%, $E$9)</f>
        <v>11.844799999999999</v>
      </c>
      <c r="S224" s="17">
        <f>CHOOSE(CONTROL!$C$42, 10.1243, 10.1243) * CHOOSE(CONTROL!$C$21, $C$9, 100%, $E$9)</f>
        <v>10.1243</v>
      </c>
      <c r="T22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24" s="56">
        <f>(1000*CHOOSE(CONTROL!$C$42, 695, 695)*CHOOSE(CONTROL!$C$42, 0.5599, 0.5599)*CHOOSE(CONTROL!$C$42, 31, 31))/1000000</f>
        <v>12.063045499999998</v>
      </c>
      <c r="V224" s="56">
        <f>(1000*CHOOSE(CONTROL!$C$42, 500, 500)*CHOOSE(CONTROL!$C$42, 0.275, 0.275)*CHOOSE(CONTROL!$C$42, 31, 31))/1000000</f>
        <v>4.2625000000000002</v>
      </c>
      <c r="W224" s="56">
        <f>(1000*CHOOSE(CONTROL!$C$42, 0.0916, 0.0916)*CHOOSE(CONTROL!$C$42, 121.5, 121.5)*CHOOSE(CONTROL!$C$42, 31, 31))/1000000</f>
        <v>0.34501139999999997</v>
      </c>
      <c r="X224" s="56">
        <f>(31*0.1790888*145000/1000000)+(31*0.2374*100000/1000000)</f>
        <v>1.5409441560000001</v>
      </c>
      <c r="Y224" s="56"/>
      <c r="Z224" s="17"/>
      <c r="AA224" s="55"/>
      <c r="AB224" s="48">
        <f>(B224*194.205+C224*267.466+D224*133.845+E224*153.484+F224*40+G224*85+H224*0+I224*100+J224*300)/(194.205+267.466+133.845+153.484+0+40+85+100+300)</f>
        <v>10.522372581161695</v>
      </c>
      <c r="AC224" s="45">
        <f>(M224*'RAP TEMPLATE-GAS AVAILABILITY'!O223+N224*'RAP TEMPLATE-GAS AVAILABILITY'!P223+O224*'RAP TEMPLATE-GAS AVAILABILITY'!Q223+P224*'RAP TEMPLATE-GAS AVAILABILITY'!R223)/('RAP TEMPLATE-GAS AVAILABILITY'!O223+'RAP TEMPLATE-GAS AVAILABILITY'!P223+'RAP TEMPLATE-GAS AVAILABILITY'!Q223+'RAP TEMPLATE-GAS AVAILABILITY'!R223)</f>
        <v>10.454938848920861</v>
      </c>
    </row>
    <row r="225" spans="1:29" ht="15.75" x14ac:dyDescent="0.25">
      <c r="A225" s="16">
        <v>47727</v>
      </c>
      <c r="B225" s="17">
        <f>CHOOSE(CONTROL!$C$42, 9.7895, 9.7895) * CHOOSE(CONTROL!$C$21, $C$9, 100%, $E$9)</f>
        <v>9.7895000000000003</v>
      </c>
      <c r="C225" s="17">
        <f>CHOOSE(CONTROL!$C$42, 9.7975, 9.7975) * CHOOSE(CONTROL!$C$21, $C$9, 100%, $E$9)</f>
        <v>9.7974999999999994</v>
      </c>
      <c r="D225" s="17">
        <f>CHOOSE(CONTROL!$C$42, 10.042, 10.042) * CHOOSE(CONTROL!$C$21, $C$9, 100%, $E$9)</f>
        <v>10.042</v>
      </c>
      <c r="E225" s="17">
        <f>CHOOSE(CONTROL!$C$42, 10.0732, 10.0732) * CHOOSE(CONTROL!$C$21, $C$9, 100%, $E$9)</f>
        <v>10.0732</v>
      </c>
      <c r="F225" s="17">
        <f>CHOOSE(CONTROL!$C$42, 9.8012, 9.8012)*CHOOSE(CONTROL!$C$21, $C$9, 100%, $E$9)</f>
        <v>9.8011999999999997</v>
      </c>
      <c r="G225" s="17">
        <f>CHOOSE(CONTROL!$C$42, 9.8177, 9.8177)*CHOOSE(CONTROL!$C$21, $C$9, 100%, $E$9)</f>
        <v>9.8177000000000003</v>
      </c>
      <c r="H225" s="17">
        <f>CHOOSE(CONTROL!$C$42, 10.0615, 10.0615) * CHOOSE(CONTROL!$C$21, $C$9, 100%, $E$9)</f>
        <v>10.061500000000001</v>
      </c>
      <c r="I225" s="17">
        <f>CHOOSE(CONTROL!$C$42, 9.8412, 9.8412)* CHOOSE(CONTROL!$C$21, $C$9, 100%, $E$9)</f>
        <v>9.8412000000000006</v>
      </c>
      <c r="J225" s="17">
        <f>CHOOSE(CONTROL!$C$42, 9.7938, 9.7938)* CHOOSE(CONTROL!$C$21, $C$9, 100%, $E$9)</f>
        <v>9.7937999999999992</v>
      </c>
      <c r="K225" s="52">
        <f>CHOOSE(CONTROL!$C$42, 9.8351, 9.8351) * CHOOSE(CONTROL!$C$21, $C$9, 100%, $E$9)</f>
        <v>9.8351000000000006</v>
      </c>
      <c r="L225" s="17">
        <f>CHOOSE(CONTROL!$C$42, 10.6485, 10.6485) * CHOOSE(CONTROL!$C$21, $C$9, 100%, $E$9)</f>
        <v>10.6485</v>
      </c>
      <c r="M225" s="17">
        <f>CHOOSE(CONTROL!$C$42, 9.7127, 9.7127) * CHOOSE(CONTROL!$C$21, $C$9, 100%, $E$9)</f>
        <v>9.7126999999999999</v>
      </c>
      <c r="N225" s="17">
        <f>CHOOSE(CONTROL!$C$42, 9.7291, 9.7291) * CHOOSE(CONTROL!$C$21, $C$9, 100%, $E$9)</f>
        <v>9.7291000000000007</v>
      </c>
      <c r="O225" s="17">
        <f>CHOOSE(CONTROL!$C$42, 9.978, 9.978) * CHOOSE(CONTROL!$C$21, $C$9, 100%, $E$9)</f>
        <v>9.9779999999999998</v>
      </c>
      <c r="P225" s="17">
        <f>CHOOSE(CONTROL!$C$42, 9.7595, 9.7595) * CHOOSE(CONTROL!$C$21, $C$9, 100%, $E$9)</f>
        <v>9.7594999999999992</v>
      </c>
      <c r="Q225" s="17">
        <f>CHOOSE(CONTROL!$C$42, 10.5727, 10.5727) * CHOOSE(CONTROL!$C$21, $C$9, 100%, $E$9)</f>
        <v>10.572699999999999</v>
      </c>
      <c r="R225" s="17">
        <f>CHOOSE(CONTROL!$C$42, 11.1861, 11.1861) * CHOOSE(CONTROL!$C$21, $C$9, 100%, $E$9)</f>
        <v>11.1861</v>
      </c>
      <c r="S225" s="17">
        <f>CHOOSE(CONTROL!$C$42, 9.4813, 9.4813) * CHOOSE(CONTROL!$C$21, $C$9, 100%, $E$9)</f>
        <v>9.4812999999999992</v>
      </c>
      <c r="T22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25" s="56">
        <f>(1000*CHOOSE(CONTROL!$C$42, 695, 695)*CHOOSE(CONTROL!$C$42, 0.5599, 0.5599)*CHOOSE(CONTROL!$C$42, 30, 30))/1000000</f>
        <v>11.673914999999997</v>
      </c>
      <c r="V225" s="56">
        <f>(1000*CHOOSE(CONTROL!$C$42, 500, 500)*CHOOSE(CONTROL!$C$42, 0.275, 0.275)*CHOOSE(CONTROL!$C$42, 30, 30))/1000000</f>
        <v>4.125</v>
      </c>
      <c r="W225" s="56">
        <f>(1000*CHOOSE(CONTROL!$C$42, 0.0916, 0.0916)*CHOOSE(CONTROL!$C$42, 121.5, 121.5)*CHOOSE(CONTROL!$C$42, 30, 30))/1000000</f>
        <v>0.33388200000000001</v>
      </c>
      <c r="X225" s="56">
        <f>(30*0.1790888*145000/1000000)+(30*0.2374*100000/1000000)</f>
        <v>1.4912362799999999</v>
      </c>
      <c r="Y225" s="56"/>
      <c r="Z225" s="17"/>
      <c r="AA225" s="55"/>
      <c r="AB225" s="48">
        <f>(B225*194.205+C225*267.466+D225*133.845+E225*153.484+F225*40+G225*85+H225*0+I225*100+J225*300)/(194.205+267.466+133.845+153.484+0+40+85+100+300)</f>
        <v>9.8592048675824184</v>
      </c>
      <c r="AC225" s="45">
        <f>(M225*'RAP TEMPLATE-GAS AVAILABILITY'!O224+N225*'RAP TEMPLATE-GAS AVAILABILITY'!P224+O225*'RAP TEMPLATE-GAS AVAILABILITY'!Q224+P225*'RAP TEMPLATE-GAS AVAILABILITY'!R224)/('RAP TEMPLATE-GAS AVAILABILITY'!O224+'RAP TEMPLATE-GAS AVAILABILITY'!P224+'RAP TEMPLATE-GAS AVAILABILITY'!Q224+'RAP TEMPLATE-GAS AVAILABILITY'!R224)</f>
        <v>9.7976460431654662</v>
      </c>
    </row>
    <row r="226" spans="1:29" ht="15.75" x14ac:dyDescent="0.25">
      <c r="A226" s="16">
        <v>47757</v>
      </c>
      <c r="B226" s="17">
        <f>CHOOSE(CONTROL!$C$42, 9.5893, 9.5893) * CHOOSE(CONTROL!$C$21, $C$9, 100%, $E$9)</f>
        <v>9.5892999999999997</v>
      </c>
      <c r="C226" s="17">
        <f>CHOOSE(CONTROL!$C$42, 9.5947, 9.5947) * CHOOSE(CONTROL!$C$21, $C$9, 100%, $E$9)</f>
        <v>9.5946999999999996</v>
      </c>
      <c r="D226" s="17">
        <f>CHOOSE(CONTROL!$C$42, 9.844, 9.844) * CHOOSE(CONTROL!$C$21, $C$9, 100%, $E$9)</f>
        <v>9.8439999999999994</v>
      </c>
      <c r="E226" s="17">
        <f>CHOOSE(CONTROL!$C$42, 9.8729, 9.8729) * CHOOSE(CONTROL!$C$21, $C$9, 100%, $E$9)</f>
        <v>9.8728999999999996</v>
      </c>
      <c r="F226" s="17">
        <f>CHOOSE(CONTROL!$C$42, 9.6031, 9.6031)*CHOOSE(CONTROL!$C$21, $C$9, 100%, $E$9)</f>
        <v>9.6030999999999995</v>
      </c>
      <c r="G226" s="17">
        <f>CHOOSE(CONTROL!$C$42, 9.6195, 9.6195)*CHOOSE(CONTROL!$C$21, $C$9, 100%, $E$9)</f>
        <v>9.6195000000000004</v>
      </c>
      <c r="H226" s="17">
        <f>CHOOSE(CONTROL!$C$42, 9.863, 9.863) * CHOOSE(CONTROL!$C$21, $C$9, 100%, $E$9)</f>
        <v>9.8629999999999995</v>
      </c>
      <c r="I226" s="17">
        <f>CHOOSE(CONTROL!$C$42, 9.6421, 9.6421)* CHOOSE(CONTROL!$C$21, $C$9, 100%, $E$9)</f>
        <v>9.6420999999999992</v>
      </c>
      <c r="J226" s="17">
        <f>CHOOSE(CONTROL!$C$42, 9.5957, 9.5957)* CHOOSE(CONTROL!$C$21, $C$9, 100%, $E$9)</f>
        <v>9.5957000000000008</v>
      </c>
      <c r="K226" s="52">
        <f>CHOOSE(CONTROL!$C$42, 9.636, 9.636) * CHOOSE(CONTROL!$C$21, $C$9, 100%, $E$9)</f>
        <v>9.6359999999999992</v>
      </c>
      <c r="L226" s="17">
        <f>CHOOSE(CONTROL!$C$42, 10.45, 10.45) * CHOOSE(CONTROL!$C$21, $C$9, 100%, $E$9)</f>
        <v>10.45</v>
      </c>
      <c r="M226" s="17">
        <f>CHOOSE(CONTROL!$C$42, 9.5164, 9.5164) * CHOOSE(CONTROL!$C$21, $C$9, 100%, $E$9)</f>
        <v>9.5164000000000009</v>
      </c>
      <c r="N226" s="17">
        <f>CHOOSE(CONTROL!$C$42, 9.5327, 9.5327) * CHOOSE(CONTROL!$C$21, $C$9, 100%, $E$9)</f>
        <v>9.5327000000000002</v>
      </c>
      <c r="O226" s="17">
        <f>CHOOSE(CONTROL!$C$42, 9.7813, 9.7813) * CHOOSE(CONTROL!$C$21, $C$9, 100%, $E$9)</f>
        <v>9.7812999999999999</v>
      </c>
      <c r="P226" s="17">
        <f>CHOOSE(CONTROL!$C$42, 9.5621, 9.5621) * CHOOSE(CONTROL!$C$21, $C$9, 100%, $E$9)</f>
        <v>9.5620999999999992</v>
      </c>
      <c r="Q226" s="17">
        <f>CHOOSE(CONTROL!$C$42, 10.376, 10.376) * CHOOSE(CONTROL!$C$21, $C$9, 100%, $E$9)</f>
        <v>10.375999999999999</v>
      </c>
      <c r="R226" s="17">
        <f>CHOOSE(CONTROL!$C$42, 10.9889, 10.9889) * CHOOSE(CONTROL!$C$21, $C$9, 100%, $E$9)</f>
        <v>10.988899999999999</v>
      </c>
      <c r="S226" s="17">
        <f>CHOOSE(CONTROL!$C$42, 9.2889, 9.2889) * CHOOSE(CONTROL!$C$21, $C$9, 100%, $E$9)</f>
        <v>9.2888999999999999</v>
      </c>
      <c r="T22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26" s="56">
        <f>(1000*CHOOSE(CONTROL!$C$42, 695, 695)*CHOOSE(CONTROL!$C$42, 0.5599, 0.5599)*CHOOSE(CONTROL!$C$42, 31, 31))/1000000</f>
        <v>12.063045499999998</v>
      </c>
      <c r="V226" s="56">
        <f>(1000*CHOOSE(CONTROL!$C$42, 500, 500)*CHOOSE(CONTROL!$C$42, 0.275, 0.275)*CHOOSE(CONTROL!$C$42, 31, 31))/1000000</f>
        <v>4.2625000000000002</v>
      </c>
      <c r="W226" s="56">
        <f>(1000*CHOOSE(CONTROL!$C$42, 0.0916, 0.0916)*CHOOSE(CONTROL!$C$42, 121.5, 121.5)*CHOOSE(CONTROL!$C$42, 31, 31))/1000000</f>
        <v>0.34501139999999997</v>
      </c>
      <c r="X226" s="56">
        <f>(31*0.1790888*145000/1000000)+(31*0.2374*100000/1000000)</f>
        <v>1.5409441560000001</v>
      </c>
      <c r="Y226" s="56"/>
      <c r="Z226" s="17"/>
      <c r="AA226" s="55"/>
      <c r="AB226" s="48">
        <f>(B226*131.881+C226*277.167+D226*79.08+E226*225.872+F226*40+G226*85+H226*0+I226*100+J226*300)/(131.881+277.167+79.08+225.872+0+40+85+100+300)</f>
        <v>9.666793686037126</v>
      </c>
      <c r="AC226" s="45">
        <f>(M226*'RAP TEMPLATE-GAS AVAILABILITY'!O225+N226*'RAP TEMPLATE-GAS AVAILABILITY'!P225+O226*'RAP TEMPLATE-GAS AVAILABILITY'!Q225+P226*'RAP TEMPLATE-GAS AVAILABILITY'!R225)/('RAP TEMPLATE-GAS AVAILABILITY'!O225+'RAP TEMPLATE-GAS AVAILABILITY'!P225+'RAP TEMPLATE-GAS AVAILABILITY'!Q225+'RAP TEMPLATE-GAS AVAILABILITY'!R225)</f>
        <v>9.601052517985611</v>
      </c>
    </row>
    <row r="227" spans="1:29" ht="15.75" x14ac:dyDescent="0.25">
      <c r="A227" s="16">
        <v>47788</v>
      </c>
      <c r="B227" s="17">
        <f>CHOOSE(CONTROL!$C$42, 9.8412, 9.8412) * CHOOSE(CONTROL!$C$21, $C$9, 100%, $E$9)</f>
        <v>9.8412000000000006</v>
      </c>
      <c r="C227" s="17">
        <f>CHOOSE(CONTROL!$C$42, 9.8463, 9.8463) * CHOOSE(CONTROL!$C$21, $C$9, 100%, $E$9)</f>
        <v>9.8462999999999994</v>
      </c>
      <c r="D227" s="17">
        <f>CHOOSE(CONTROL!$C$42, 9.9277, 9.9277) * CHOOSE(CONTROL!$C$21, $C$9, 100%, $E$9)</f>
        <v>9.9276999999999997</v>
      </c>
      <c r="E227" s="17">
        <f>CHOOSE(CONTROL!$C$42, 9.9615, 9.9615) * CHOOSE(CONTROL!$C$21, $C$9, 100%, $E$9)</f>
        <v>9.9614999999999991</v>
      </c>
      <c r="F227" s="17">
        <f>CHOOSE(CONTROL!$C$42, 9.8592, 9.8592)*CHOOSE(CONTROL!$C$21, $C$9, 100%, $E$9)</f>
        <v>9.8591999999999995</v>
      </c>
      <c r="G227" s="17">
        <f>CHOOSE(CONTROL!$C$42, 9.8759, 9.8759)*CHOOSE(CONTROL!$C$21, $C$9, 100%, $E$9)</f>
        <v>9.8758999999999997</v>
      </c>
      <c r="H227" s="17">
        <f>CHOOSE(CONTROL!$C$42, 9.9503, 9.9503) * CHOOSE(CONTROL!$C$21, $C$9, 100%, $E$9)</f>
        <v>9.9503000000000004</v>
      </c>
      <c r="I227" s="17">
        <f>CHOOSE(CONTROL!$C$42, 9.8967, 9.8967)* CHOOSE(CONTROL!$C$21, $C$9, 100%, $E$9)</f>
        <v>9.8966999999999992</v>
      </c>
      <c r="J227" s="17">
        <f>CHOOSE(CONTROL!$C$42, 9.8518, 9.8518)* CHOOSE(CONTROL!$C$21, $C$9, 100%, $E$9)</f>
        <v>9.8518000000000008</v>
      </c>
      <c r="K227" s="52">
        <f>CHOOSE(CONTROL!$C$42, 9.8907, 9.8907) * CHOOSE(CONTROL!$C$21, $C$9, 100%, $E$9)</f>
        <v>9.8907000000000007</v>
      </c>
      <c r="L227" s="17">
        <f>CHOOSE(CONTROL!$C$42, 10.5373, 10.5373) * CHOOSE(CONTROL!$C$21, $C$9, 100%, $E$9)</f>
        <v>10.5373</v>
      </c>
      <c r="M227" s="17">
        <f>CHOOSE(CONTROL!$C$42, 9.7702, 9.7702) * CHOOSE(CONTROL!$C$21, $C$9, 100%, $E$9)</f>
        <v>9.7702000000000009</v>
      </c>
      <c r="N227" s="17">
        <f>CHOOSE(CONTROL!$C$42, 9.7868, 9.7868) * CHOOSE(CONTROL!$C$21, $C$9, 100%, $E$9)</f>
        <v>9.7867999999999995</v>
      </c>
      <c r="O227" s="17">
        <f>CHOOSE(CONTROL!$C$42, 9.8678, 9.8678) * CHOOSE(CONTROL!$C$21, $C$9, 100%, $E$9)</f>
        <v>9.8678000000000008</v>
      </c>
      <c r="P227" s="17">
        <f>CHOOSE(CONTROL!$C$42, 9.8145, 9.8145) * CHOOSE(CONTROL!$C$21, $C$9, 100%, $E$9)</f>
        <v>9.8145000000000007</v>
      </c>
      <c r="Q227" s="17">
        <f>CHOOSE(CONTROL!$C$42, 10.4625, 10.4625) * CHOOSE(CONTROL!$C$21, $C$9, 100%, $E$9)</f>
        <v>10.4625</v>
      </c>
      <c r="R227" s="17">
        <f>CHOOSE(CONTROL!$C$42, 11.0757, 11.0757) * CHOOSE(CONTROL!$C$21, $C$9, 100%, $E$9)</f>
        <v>11.075699999999999</v>
      </c>
      <c r="S227" s="17">
        <f>CHOOSE(CONTROL!$C$42, 9.5335, 9.5335) * CHOOSE(CONTROL!$C$21, $C$9, 100%, $E$9)</f>
        <v>9.5335000000000001</v>
      </c>
      <c r="T22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27" s="56">
        <f>(1000*CHOOSE(CONTROL!$C$42, 695, 695)*CHOOSE(CONTROL!$C$42, 0.5599, 0.5599)*CHOOSE(CONTROL!$C$42, 30, 30))/1000000</f>
        <v>11.673914999999997</v>
      </c>
      <c r="V227" s="56">
        <f>(1000*CHOOSE(CONTROL!$C$42, 500, 500)*CHOOSE(CONTROL!$C$42, 0.275, 0.275)*CHOOSE(CONTROL!$C$42, 30, 30))/1000000</f>
        <v>4.125</v>
      </c>
      <c r="W227" s="56">
        <f>(1000*CHOOSE(CONTROL!$C$42, 0.0916, 0.0916)*CHOOSE(CONTROL!$C$42, 121.5, 121.5)*CHOOSE(CONTROL!$C$42, 30, 30))/1000000</f>
        <v>0.33388200000000001</v>
      </c>
      <c r="X227" s="56">
        <f>(30*0.2374*100000/1000000)</f>
        <v>0.71220000000000006</v>
      </c>
      <c r="Y227" s="56"/>
      <c r="Z227" s="17"/>
      <c r="AA227" s="55"/>
      <c r="AB227" s="48">
        <f>(B227*122.58+C227*297.941+D227*89.177+E227*140.302+F227*40+G227*60+H227*0+I227*100+J227*300)/(122.58+297.941+89.177+140.302+0+40+60+100+300)</f>
        <v>9.8739336001739133</v>
      </c>
      <c r="AC227" s="45">
        <f>(M227*'RAP TEMPLATE-GAS AVAILABILITY'!O226+N227*'RAP TEMPLATE-GAS AVAILABILITY'!P226+O227*'RAP TEMPLATE-GAS AVAILABILITY'!Q226+P227*'RAP TEMPLATE-GAS AVAILABILITY'!R226)/('RAP TEMPLATE-GAS AVAILABILITY'!O226+'RAP TEMPLATE-GAS AVAILABILITY'!P226+'RAP TEMPLATE-GAS AVAILABILITY'!Q226+'RAP TEMPLATE-GAS AVAILABILITY'!R226)</f>
        <v>9.8217654676259016</v>
      </c>
    </row>
    <row r="228" spans="1:29" ht="15.75" x14ac:dyDescent="0.25">
      <c r="A228" s="16">
        <v>47818</v>
      </c>
      <c r="B228" s="17">
        <f>CHOOSE(CONTROL!$C$42, 10.5115, 10.5115) * CHOOSE(CONTROL!$C$21, $C$9, 100%, $E$9)</f>
        <v>10.5115</v>
      </c>
      <c r="C228" s="17">
        <f>CHOOSE(CONTROL!$C$42, 10.5166, 10.5166) * CHOOSE(CONTROL!$C$21, $C$9, 100%, $E$9)</f>
        <v>10.5166</v>
      </c>
      <c r="D228" s="17">
        <f>CHOOSE(CONTROL!$C$42, 10.5979, 10.5979) * CHOOSE(CONTROL!$C$21, $C$9, 100%, $E$9)</f>
        <v>10.597899999999999</v>
      </c>
      <c r="E228" s="17">
        <f>CHOOSE(CONTROL!$C$42, 10.6317, 10.6317) * CHOOSE(CONTROL!$C$21, $C$9, 100%, $E$9)</f>
        <v>10.6317</v>
      </c>
      <c r="F228" s="17">
        <f>CHOOSE(CONTROL!$C$42, 10.5318, 10.5318)*CHOOSE(CONTROL!$C$21, $C$9, 100%, $E$9)</f>
        <v>10.5318</v>
      </c>
      <c r="G228" s="17">
        <f>CHOOSE(CONTROL!$C$42, 10.5492, 10.5492)*CHOOSE(CONTROL!$C$21, $C$9, 100%, $E$9)</f>
        <v>10.549200000000001</v>
      </c>
      <c r="H228" s="17">
        <f>CHOOSE(CONTROL!$C$42, 10.6206, 10.6206) * CHOOSE(CONTROL!$C$21, $C$9, 100%, $E$9)</f>
        <v>10.6206</v>
      </c>
      <c r="I228" s="17">
        <f>CHOOSE(CONTROL!$C$42, 10.5691, 10.5691)* CHOOSE(CONTROL!$C$21, $C$9, 100%, $E$9)</f>
        <v>10.569100000000001</v>
      </c>
      <c r="J228" s="17">
        <f>CHOOSE(CONTROL!$C$42, 10.5244, 10.5244)* CHOOSE(CONTROL!$C$21, $C$9, 100%, $E$9)</f>
        <v>10.5244</v>
      </c>
      <c r="K228" s="52">
        <f>CHOOSE(CONTROL!$C$42, 10.563, 10.563) * CHOOSE(CONTROL!$C$21, $C$9, 100%, $E$9)</f>
        <v>10.563000000000001</v>
      </c>
      <c r="L228" s="17">
        <f>CHOOSE(CONTROL!$C$42, 11.2076, 11.2076) * CHOOSE(CONTROL!$C$21, $C$9, 100%, $E$9)</f>
        <v>11.207599999999999</v>
      </c>
      <c r="M228" s="17">
        <f>CHOOSE(CONTROL!$C$42, 10.4368, 10.4368) * CHOOSE(CONTROL!$C$21, $C$9, 100%, $E$9)</f>
        <v>10.4368</v>
      </c>
      <c r="N228" s="17">
        <f>CHOOSE(CONTROL!$C$42, 10.454, 10.454) * CHOOSE(CONTROL!$C$21, $C$9, 100%, $E$9)</f>
        <v>10.454000000000001</v>
      </c>
      <c r="O228" s="17">
        <f>CHOOSE(CONTROL!$C$42, 10.5321, 10.5321) * CHOOSE(CONTROL!$C$21, $C$9, 100%, $E$9)</f>
        <v>10.5321</v>
      </c>
      <c r="P228" s="17">
        <f>CHOOSE(CONTROL!$C$42, 10.4808, 10.4808) * CHOOSE(CONTROL!$C$21, $C$9, 100%, $E$9)</f>
        <v>10.4808</v>
      </c>
      <c r="Q228" s="17">
        <f>CHOOSE(CONTROL!$C$42, 11.1268, 11.1268) * CHOOSE(CONTROL!$C$21, $C$9, 100%, $E$9)</f>
        <v>11.126799999999999</v>
      </c>
      <c r="R228" s="17">
        <f>CHOOSE(CONTROL!$C$42, 11.7416, 11.7416) * CHOOSE(CONTROL!$C$21, $C$9, 100%, $E$9)</f>
        <v>11.7416</v>
      </c>
      <c r="S228" s="17">
        <f>CHOOSE(CONTROL!$C$42, 10.1835, 10.1835) * CHOOSE(CONTROL!$C$21, $C$9, 100%, $E$9)</f>
        <v>10.1835</v>
      </c>
      <c r="T22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28" s="56">
        <f>(1000*CHOOSE(CONTROL!$C$42, 695, 695)*CHOOSE(CONTROL!$C$42, 0.5599, 0.5599)*CHOOSE(CONTROL!$C$42, 31, 31))/1000000</f>
        <v>12.063045499999998</v>
      </c>
      <c r="V228" s="56">
        <f>(1000*CHOOSE(CONTROL!$C$42, 500, 500)*CHOOSE(CONTROL!$C$42, 0.275, 0.275)*CHOOSE(CONTROL!$C$42, 31, 31))/1000000</f>
        <v>4.2625000000000002</v>
      </c>
      <c r="W228" s="56">
        <f>(1000*CHOOSE(CONTROL!$C$42, 0.0916, 0.0916)*CHOOSE(CONTROL!$C$42, 121.5, 121.5)*CHOOSE(CONTROL!$C$42, 31, 31))/1000000</f>
        <v>0.34501139999999997</v>
      </c>
      <c r="X228" s="56">
        <f>(31*0.2374*100000/1000000)</f>
        <v>0.73594000000000004</v>
      </c>
      <c r="Y228" s="56"/>
      <c r="Z228" s="17"/>
      <c r="AA228" s="55"/>
      <c r="AB228" s="48">
        <f>(B228*122.58+C228*297.941+D228*89.177+E228*140.302+F228*40+G228*60+H228*0+I228*100+J228*300)/(122.58+297.941+89.177+140.302+0+40+60+100+300)</f>
        <v>10.545232775913043</v>
      </c>
      <c r="AC228" s="45">
        <f>(M228*'RAP TEMPLATE-GAS AVAILABILITY'!O227+N228*'RAP TEMPLATE-GAS AVAILABILITY'!P227+O228*'RAP TEMPLATE-GAS AVAILABILITY'!Q227+P228*'RAP TEMPLATE-GAS AVAILABILITY'!R227)/('RAP TEMPLATE-GAS AVAILABILITY'!O227+'RAP TEMPLATE-GAS AVAILABILITY'!P227+'RAP TEMPLATE-GAS AVAILABILITY'!Q227+'RAP TEMPLATE-GAS AVAILABILITY'!R227)</f>
        <v>10.487314388489207</v>
      </c>
    </row>
    <row r="229" spans="1:29" ht="15.75" x14ac:dyDescent="0.25">
      <c r="A229" s="16">
        <v>47849</v>
      </c>
      <c r="B229" s="17">
        <f>CHOOSE(CONTROL!$C$42, 11.382, 11.382) * CHOOSE(CONTROL!$C$21, $C$9, 100%, $E$9)</f>
        <v>11.382</v>
      </c>
      <c r="C229" s="17">
        <f>CHOOSE(CONTROL!$C$42, 11.3871, 11.3871) * CHOOSE(CONTROL!$C$21, $C$9, 100%, $E$9)</f>
        <v>11.3871</v>
      </c>
      <c r="D229" s="17">
        <f>CHOOSE(CONTROL!$C$42, 11.484, 11.484) * CHOOSE(CONTROL!$C$21, $C$9, 100%, $E$9)</f>
        <v>11.484</v>
      </c>
      <c r="E229" s="17">
        <f>CHOOSE(CONTROL!$C$42, 11.5177, 11.5177) * CHOOSE(CONTROL!$C$21, $C$9, 100%, $E$9)</f>
        <v>11.5177</v>
      </c>
      <c r="F229" s="17">
        <f>CHOOSE(CONTROL!$C$42, 11.3963, 11.3963)*CHOOSE(CONTROL!$C$21, $C$9, 100%, $E$9)</f>
        <v>11.3963</v>
      </c>
      <c r="G229" s="17">
        <f>CHOOSE(CONTROL!$C$42, 11.4127, 11.4127)*CHOOSE(CONTROL!$C$21, $C$9, 100%, $E$9)</f>
        <v>11.412699999999999</v>
      </c>
      <c r="H229" s="17">
        <f>CHOOSE(CONTROL!$C$42, 11.5066, 11.5066) * CHOOSE(CONTROL!$C$21, $C$9, 100%, $E$9)</f>
        <v>11.506600000000001</v>
      </c>
      <c r="I229" s="17">
        <f>CHOOSE(CONTROL!$C$42, 11.4423, 11.4423)* CHOOSE(CONTROL!$C$21, $C$9, 100%, $E$9)</f>
        <v>11.442299999999999</v>
      </c>
      <c r="J229" s="17">
        <f>CHOOSE(CONTROL!$C$42, 11.3889, 11.3889)* CHOOSE(CONTROL!$C$21, $C$9, 100%, $E$9)</f>
        <v>11.3889</v>
      </c>
      <c r="K229" s="52">
        <f>CHOOSE(CONTROL!$C$42, 11.4363, 11.4363) * CHOOSE(CONTROL!$C$21, $C$9, 100%, $E$9)</f>
        <v>11.436299999999999</v>
      </c>
      <c r="L229" s="17">
        <f>CHOOSE(CONTROL!$C$42, 12.0936, 12.0936) * CHOOSE(CONTROL!$C$21, $C$9, 100%, $E$9)</f>
        <v>12.0936</v>
      </c>
      <c r="M229" s="17">
        <f>CHOOSE(CONTROL!$C$42, 11.2935, 11.2935) * CHOOSE(CONTROL!$C$21, $C$9, 100%, $E$9)</f>
        <v>11.2935</v>
      </c>
      <c r="N229" s="17">
        <f>CHOOSE(CONTROL!$C$42, 11.3098, 11.3098) * CHOOSE(CONTROL!$C$21, $C$9, 100%, $E$9)</f>
        <v>11.309799999999999</v>
      </c>
      <c r="O229" s="17">
        <f>CHOOSE(CONTROL!$C$42, 11.4101, 11.4101) * CHOOSE(CONTROL!$C$21, $C$9, 100%, $E$9)</f>
        <v>11.4101</v>
      </c>
      <c r="P229" s="17">
        <f>CHOOSE(CONTROL!$C$42, 11.3461, 11.3461) * CHOOSE(CONTROL!$C$21, $C$9, 100%, $E$9)</f>
        <v>11.3461</v>
      </c>
      <c r="Q229" s="17">
        <f>CHOOSE(CONTROL!$C$42, 12.0048, 12.0048) * CHOOSE(CONTROL!$C$21, $C$9, 100%, $E$9)</f>
        <v>12.004799999999999</v>
      </c>
      <c r="R229" s="17">
        <f>CHOOSE(CONTROL!$C$42, 12.6218, 12.6218) * CHOOSE(CONTROL!$C$21, $C$9, 100%, $E$9)</f>
        <v>12.6218</v>
      </c>
      <c r="S229" s="17">
        <f>CHOOSE(CONTROL!$C$42, 11.0277, 11.0277) * CHOOSE(CONTROL!$C$21, $C$9, 100%, $E$9)</f>
        <v>11.027699999999999</v>
      </c>
      <c r="T22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29" s="56">
        <f>(1000*CHOOSE(CONTROL!$C$42, 695, 695)*CHOOSE(CONTROL!$C$42, 0.5599, 0.5599)*CHOOSE(CONTROL!$C$42, 31, 31))/1000000</f>
        <v>12.063045499999998</v>
      </c>
      <c r="V229" s="56">
        <f>(1000*CHOOSE(CONTROL!$C$42, 500, 500)*CHOOSE(CONTROL!$C$42, 0.275, 0.275)*CHOOSE(CONTROL!$C$42, 31, 31))/1000000</f>
        <v>4.2625000000000002</v>
      </c>
      <c r="W229" s="56">
        <f>(1000*CHOOSE(CONTROL!$C$42, 0.0916, 0.0916)*CHOOSE(CONTROL!$C$42, 121.5, 121.5)*CHOOSE(CONTROL!$C$42, 31, 31))/1000000</f>
        <v>0.34501139999999997</v>
      </c>
      <c r="X229" s="56">
        <f>(31*0.2374*100000/1000000)</f>
        <v>0.73594000000000004</v>
      </c>
      <c r="Y229" s="56"/>
      <c r="Z229" s="17"/>
      <c r="AA229" s="55"/>
      <c r="AB229" s="48">
        <f>(B229*122.58+C229*297.941+D229*89.177+E229*140.302+F229*40+G229*60+H229*0+I229*100+J229*300)/(122.58+297.941+89.177+140.302+0+40+60+100+300)</f>
        <v>11.416929160434782</v>
      </c>
      <c r="AC229" s="45">
        <f>(M229*'RAP TEMPLATE-GAS AVAILABILITY'!O228+N229*'RAP TEMPLATE-GAS AVAILABILITY'!P228+O229*'RAP TEMPLATE-GAS AVAILABILITY'!Q228+P229*'RAP TEMPLATE-GAS AVAILABILITY'!R228)/('RAP TEMPLATE-GAS AVAILABILITY'!O228+'RAP TEMPLATE-GAS AVAILABILITY'!P228+'RAP TEMPLATE-GAS AVAILABILITY'!Q228+'RAP TEMPLATE-GAS AVAILABILITY'!R228)</f>
        <v>11.354853956834532</v>
      </c>
    </row>
    <row r="230" spans="1:29" ht="15.75" x14ac:dyDescent="0.25">
      <c r="A230" s="16">
        <v>47880</v>
      </c>
      <c r="B230" s="17">
        <f>CHOOSE(CONTROL!$C$42, 11.5845, 11.5845) * CHOOSE(CONTROL!$C$21, $C$9, 100%, $E$9)</f>
        <v>11.5845</v>
      </c>
      <c r="C230" s="17">
        <f>CHOOSE(CONTROL!$C$42, 11.5896, 11.5896) * CHOOSE(CONTROL!$C$21, $C$9, 100%, $E$9)</f>
        <v>11.589600000000001</v>
      </c>
      <c r="D230" s="17">
        <f>CHOOSE(CONTROL!$C$42, 11.6864, 11.6864) * CHOOSE(CONTROL!$C$21, $C$9, 100%, $E$9)</f>
        <v>11.686400000000001</v>
      </c>
      <c r="E230" s="17">
        <f>CHOOSE(CONTROL!$C$42, 11.7201, 11.7201) * CHOOSE(CONTROL!$C$21, $C$9, 100%, $E$9)</f>
        <v>11.7201</v>
      </c>
      <c r="F230" s="17">
        <f>CHOOSE(CONTROL!$C$42, 11.5987, 11.5987)*CHOOSE(CONTROL!$C$21, $C$9, 100%, $E$9)</f>
        <v>11.598699999999999</v>
      </c>
      <c r="G230" s="17">
        <f>CHOOSE(CONTROL!$C$42, 11.6151, 11.6151)*CHOOSE(CONTROL!$C$21, $C$9, 100%, $E$9)</f>
        <v>11.6151</v>
      </c>
      <c r="H230" s="17">
        <f>CHOOSE(CONTROL!$C$42, 11.709, 11.709) * CHOOSE(CONTROL!$C$21, $C$9, 100%, $E$9)</f>
        <v>11.709</v>
      </c>
      <c r="I230" s="17">
        <f>CHOOSE(CONTROL!$C$42, 11.6454, 11.6454)* CHOOSE(CONTROL!$C$21, $C$9, 100%, $E$9)</f>
        <v>11.6454</v>
      </c>
      <c r="J230" s="17">
        <f>CHOOSE(CONTROL!$C$42, 11.5913, 11.5913)* CHOOSE(CONTROL!$C$21, $C$9, 100%, $E$9)</f>
        <v>11.5913</v>
      </c>
      <c r="K230" s="52">
        <f>CHOOSE(CONTROL!$C$42, 11.6393, 11.6393) * CHOOSE(CONTROL!$C$21, $C$9, 100%, $E$9)</f>
        <v>11.6393</v>
      </c>
      <c r="L230" s="17">
        <f>CHOOSE(CONTROL!$C$42, 12.296, 12.296) * CHOOSE(CONTROL!$C$21, $C$9, 100%, $E$9)</f>
        <v>12.295999999999999</v>
      </c>
      <c r="M230" s="17">
        <f>CHOOSE(CONTROL!$C$42, 11.4941, 11.4941) * CHOOSE(CONTROL!$C$21, $C$9, 100%, $E$9)</f>
        <v>11.4941</v>
      </c>
      <c r="N230" s="17">
        <f>CHOOSE(CONTROL!$C$42, 11.5103, 11.5103) * CHOOSE(CONTROL!$C$21, $C$9, 100%, $E$9)</f>
        <v>11.510300000000001</v>
      </c>
      <c r="O230" s="17">
        <f>CHOOSE(CONTROL!$C$42, 11.6107, 11.6107) * CHOOSE(CONTROL!$C$21, $C$9, 100%, $E$9)</f>
        <v>11.6107</v>
      </c>
      <c r="P230" s="17">
        <f>CHOOSE(CONTROL!$C$42, 11.5474, 11.5474) * CHOOSE(CONTROL!$C$21, $C$9, 100%, $E$9)</f>
        <v>11.5474</v>
      </c>
      <c r="Q230" s="17">
        <f>CHOOSE(CONTROL!$C$42, 12.2054, 12.2054) * CHOOSE(CONTROL!$C$21, $C$9, 100%, $E$9)</f>
        <v>12.205399999999999</v>
      </c>
      <c r="R230" s="17">
        <f>CHOOSE(CONTROL!$C$42, 12.8229, 12.8229) * CHOOSE(CONTROL!$C$21, $C$9, 100%, $E$9)</f>
        <v>12.822900000000001</v>
      </c>
      <c r="S230" s="17">
        <f>CHOOSE(CONTROL!$C$42, 11.2239, 11.2239) * CHOOSE(CONTROL!$C$21, $C$9, 100%, $E$9)</f>
        <v>11.2239</v>
      </c>
      <c r="T23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30" s="56">
        <f>(1000*CHOOSE(CONTROL!$C$42, 695, 695)*CHOOSE(CONTROL!$C$42, 0.5599, 0.5599)*CHOOSE(CONTROL!$C$42, 28, 28))/1000000</f>
        <v>10.895653999999999</v>
      </c>
      <c r="V230" s="56">
        <f>(1000*CHOOSE(CONTROL!$C$42, 500, 500)*CHOOSE(CONTROL!$C$42, 0.275, 0.275)*CHOOSE(CONTROL!$C$42, 28, 28))/1000000</f>
        <v>3.85</v>
      </c>
      <c r="W230" s="56">
        <f>(1000*CHOOSE(CONTROL!$C$42, 0.0916, 0.0916)*CHOOSE(CONTROL!$C$42, 121.5, 121.5)*CHOOSE(CONTROL!$C$42, 28, 28))/1000000</f>
        <v>0.31162319999999999</v>
      </c>
      <c r="X230" s="56">
        <f>(28*0.2374*100000/1000000)</f>
        <v>0.66471999999999998</v>
      </c>
      <c r="Y230" s="56"/>
      <c r="Z230" s="17"/>
      <c r="AA230" s="55"/>
      <c r="AB230" s="48">
        <f>(B230*122.58+C230*297.941+D230*89.177+E230*140.302+F230*40+G230*60+H230*0+I230*100+J230*300)/(122.58+297.941+89.177+140.302+0+40+60+100+300)</f>
        <v>11.619426597043478</v>
      </c>
      <c r="AC230" s="45">
        <f>(M230*'RAP TEMPLATE-GAS AVAILABILITY'!O229+N230*'RAP TEMPLATE-GAS AVAILABILITY'!P229+O230*'RAP TEMPLATE-GAS AVAILABILITY'!Q229+P230*'RAP TEMPLATE-GAS AVAILABILITY'!R229)/('RAP TEMPLATE-GAS AVAILABILITY'!O229+'RAP TEMPLATE-GAS AVAILABILITY'!P229+'RAP TEMPLATE-GAS AVAILABILITY'!Q229+'RAP TEMPLATE-GAS AVAILABILITY'!R229)</f>
        <v>11.555548920863309</v>
      </c>
    </row>
    <row r="231" spans="1:29" ht="15.75" x14ac:dyDescent="0.25">
      <c r="A231" s="16">
        <v>47908</v>
      </c>
      <c r="B231" s="17">
        <f>CHOOSE(CONTROL!$C$42, 11.2559, 11.2559) * CHOOSE(CONTROL!$C$21, $C$9, 100%, $E$9)</f>
        <v>11.2559</v>
      </c>
      <c r="C231" s="17">
        <f>CHOOSE(CONTROL!$C$42, 11.261, 11.261) * CHOOSE(CONTROL!$C$21, $C$9, 100%, $E$9)</f>
        <v>11.260999999999999</v>
      </c>
      <c r="D231" s="17">
        <f>CHOOSE(CONTROL!$C$42, 11.3578, 11.3578) * CHOOSE(CONTROL!$C$21, $C$9, 100%, $E$9)</f>
        <v>11.357799999999999</v>
      </c>
      <c r="E231" s="17">
        <f>CHOOSE(CONTROL!$C$42, 11.3916, 11.3916) * CHOOSE(CONTROL!$C$21, $C$9, 100%, $E$9)</f>
        <v>11.3916</v>
      </c>
      <c r="F231" s="17">
        <f>CHOOSE(CONTROL!$C$42, 11.2695, 11.2695)*CHOOSE(CONTROL!$C$21, $C$9, 100%, $E$9)</f>
        <v>11.269500000000001</v>
      </c>
      <c r="G231" s="17">
        <f>CHOOSE(CONTROL!$C$42, 11.2857, 11.2857)*CHOOSE(CONTROL!$C$21, $C$9, 100%, $E$9)</f>
        <v>11.2857</v>
      </c>
      <c r="H231" s="17">
        <f>CHOOSE(CONTROL!$C$42, 11.3804, 11.3804) * CHOOSE(CONTROL!$C$21, $C$9, 100%, $E$9)</f>
        <v>11.3804</v>
      </c>
      <c r="I231" s="17">
        <f>CHOOSE(CONTROL!$C$42, 11.3158, 11.3158)* CHOOSE(CONTROL!$C$21, $C$9, 100%, $E$9)</f>
        <v>11.315799999999999</v>
      </c>
      <c r="J231" s="17">
        <f>CHOOSE(CONTROL!$C$42, 11.2621, 11.2621)* CHOOSE(CONTROL!$C$21, $C$9, 100%, $E$9)</f>
        <v>11.2621</v>
      </c>
      <c r="K231" s="52">
        <f>CHOOSE(CONTROL!$C$42, 11.3097, 11.3097) * CHOOSE(CONTROL!$C$21, $C$9, 100%, $E$9)</f>
        <v>11.309699999999999</v>
      </c>
      <c r="L231" s="17">
        <f>CHOOSE(CONTROL!$C$42, 11.9674, 11.9674) * CHOOSE(CONTROL!$C$21, $C$9, 100%, $E$9)</f>
        <v>11.9674</v>
      </c>
      <c r="M231" s="17">
        <f>CHOOSE(CONTROL!$C$42, 11.1678, 11.1678) * CHOOSE(CONTROL!$C$21, $C$9, 100%, $E$9)</f>
        <v>11.1678</v>
      </c>
      <c r="N231" s="17">
        <f>CHOOSE(CONTROL!$C$42, 11.1839, 11.1839) * CHOOSE(CONTROL!$C$21, $C$9, 100%, $E$9)</f>
        <v>11.1839</v>
      </c>
      <c r="O231" s="17">
        <f>CHOOSE(CONTROL!$C$42, 11.2851, 11.2851) * CHOOSE(CONTROL!$C$21, $C$9, 100%, $E$9)</f>
        <v>11.2851</v>
      </c>
      <c r="P231" s="17">
        <f>CHOOSE(CONTROL!$C$42, 11.2207, 11.2207) * CHOOSE(CONTROL!$C$21, $C$9, 100%, $E$9)</f>
        <v>11.220700000000001</v>
      </c>
      <c r="Q231" s="17">
        <f>CHOOSE(CONTROL!$C$42, 11.8798, 11.8798) * CHOOSE(CONTROL!$C$21, $C$9, 100%, $E$9)</f>
        <v>11.879799999999999</v>
      </c>
      <c r="R231" s="17">
        <f>CHOOSE(CONTROL!$C$42, 12.4965, 12.4965) * CHOOSE(CONTROL!$C$21, $C$9, 100%, $E$9)</f>
        <v>12.496499999999999</v>
      </c>
      <c r="S231" s="17">
        <f>CHOOSE(CONTROL!$C$42, 10.9053, 10.9053) * CHOOSE(CONTROL!$C$21, $C$9, 100%, $E$9)</f>
        <v>10.9053</v>
      </c>
      <c r="T23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31" s="56">
        <f>(1000*CHOOSE(CONTROL!$C$42, 695, 695)*CHOOSE(CONTROL!$C$42, 0.5599, 0.5599)*CHOOSE(CONTROL!$C$42, 31, 31))/1000000</f>
        <v>12.063045499999998</v>
      </c>
      <c r="V231" s="56">
        <f>(1000*CHOOSE(CONTROL!$C$42, 500, 500)*CHOOSE(CONTROL!$C$42, 0.275, 0.275)*CHOOSE(CONTROL!$C$42, 31, 31))/1000000</f>
        <v>4.2625000000000002</v>
      </c>
      <c r="W231" s="56">
        <f>(1000*CHOOSE(CONTROL!$C$42, 0.0916, 0.0916)*CHOOSE(CONTROL!$C$42, 121.5, 121.5)*CHOOSE(CONTROL!$C$42, 31, 31))/1000000</f>
        <v>0.34501139999999997</v>
      </c>
      <c r="X231" s="56">
        <f>(31*0.2374*100000/1000000)</f>
        <v>0.73594000000000004</v>
      </c>
      <c r="Y231" s="56"/>
      <c r="Z231" s="17"/>
      <c r="AA231" s="55"/>
      <c r="AB231" s="48">
        <f>(B231*122.58+C231*297.941+D231*89.177+E231*140.302+F231*40+G231*60+H231*0+I231*100+J231*300)/(122.58+297.941+89.177+140.302+0+40+60+100+300)</f>
        <v>11.290532710260868</v>
      </c>
      <c r="AC231" s="45">
        <f>(M231*'RAP TEMPLATE-GAS AVAILABILITY'!O230+N231*'RAP TEMPLATE-GAS AVAILABILITY'!P230+O231*'RAP TEMPLATE-GAS AVAILABILITY'!Q230+P231*'RAP TEMPLATE-GAS AVAILABILITY'!R230)/('RAP TEMPLATE-GAS AVAILABILITY'!O230+'RAP TEMPLATE-GAS AVAILABILITY'!P230+'RAP TEMPLATE-GAS AVAILABILITY'!Q230+'RAP TEMPLATE-GAS AVAILABILITY'!R230)</f>
        <v>11.22950287769784</v>
      </c>
    </row>
    <row r="232" spans="1:29" ht="15.75" x14ac:dyDescent="0.25">
      <c r="A232" s="16">
        <v>47939</v>
      </c>
      <c r="B232" s="17">
        <f>CHOOSE(CONTROL!$C$42, 11.2232, 11.2232) * CHOOSE(CONTROL!$C$21, $C$9, 100%, $E$9)</f>
        <v>11.2232</v>
      </c>
      <c r="C232" s="17">
        <f>CHOOSE(CONTROL!$C$42, 11.2277, 11.2277) * CHOOSE(CONTROL!$C$21, $C$9, 100%, $E$9)</f>
        <v>11.2277</v>
      </c>
      <c r="D232" s="17">
        <f>CHOOSE(CONTROL!$C$42, 11.4753, 11.4753) * CHOOSE(CONTROL!$C$21, $C$9, 100%, $E$9)</f>
        <v>11.475300000000001</v>
      </c>
      <c r="E232" s="17">
        <f>CHOOSE(CONTROL!$C$42, 11.5071, 11.5071) * CHOOSE(CONTROL!$C$21, $C$9, 100%, $E$9)</f>
        <v>11.507099999999999</v>
      </c>
      <c r="F232" s="17">
        <f>CHOOSE(CONTROL!$C$42, 11.2348, 11.2348)*CHOOSE(CONTROL!$C$21, $C$9, 100%, $E$9)</f>
        <v>11.2348</v>
      </c>
      <c r="G232" s="17">
        <f>CHOOSE(CONTROL!$C$42, 11.2508, 11.2508)*CHOOSE(CONTROL!$C$21, $C$9, 100%, $E$9)</f>
        <v>11.2508</v>
      </c>
      <c r="H232" s="17">
        <f>CHOOSE(CONTROL!$C$42, 11.4965, 11.4965) * CHOOSE(CONTROL!$C$21, $C$9, 100%, $E$9)</f>
        <v>11.496499999999999</v>
      </c>
      <c r="I232" s="17">
        <f>CHOOSE(CONTROL!$C$42, 11.2807, 11.2807)* CHOOSE(CONTROL!$C$21, $C$9, 100%, $E$9)</f>
        <v>11.2807</v>
      </c>
      <c r="J232" s="17">
        <f>CHOOSE(CONTROL!$C$42, 11.2274, 11.2274)* CHOOSE(CONTROL!$C$21, $C$9, 100%, $E$9)</f>
        <v>11.227399999999999</v>
      </c>
      <c r="K232" s="52">
        <f>CHOOSE(CONTROL!$C$42, 11.2746, 11.2746) * CHOOSE(CONTROL!$C$21, $C$9, 100%, $E$9)</f>
        <v>11.2746</v>
      </c>
      <c r="L232" s="17">
        <f>CHOOSE(CONTROL!$C$42, 12.0835, 12.0835) * CHOOSE(CONTROL!$C$21, $C$9, 100%, $E$9)</f>
        <v>12.083500000000001</v>
      </c>
      <c r="M232" s="17">
        <f>CHOOSE(CONTROL!$C$42, 11.1335, 11.1335) * CHOOSE(CONTROL!$C$21, $C$9, 100%, $E$9)</f>
        <v>11.1335</v>
      </c>
      <c r="N232" s="17">
        <f>CHOOSE(CONTROL!$C$42, 11.1493, 11.1493) * CHOOSE(CONTROL!$C$21, $C$9, 100%, $E$9)</f>
        <v>11.1493</v>
      </c>
      <c r="O232" s="17">
        <f>CHOOSE(CONTROL!$C$42, 11.4001, 11.4001) * CHOOSE(CONTROL!$C$21, $C$9, 100%, $E$9)</f>
        <v>11.4001</v>
      </c>
      <c r="P232" s="17">
        <f>CHOOSE(CONTROL!$C$42, 11.186, 11.186) * CHOOSE(CONTROL!$C$21, $C$9, 100%, $E$9)</f>
        <v>11.186</v>
      </c>
      <c r="Q232" s="17">
        <f>CHOOSE(CONTROL!$C$42, 11.9948, 11.9948) * CHOOSE(CONTROL!$C$21, $C$9, 100%, $E$9)</f>
        <v>11.9948</v>
      </c>
      <c r="R232" s="17">
        <f>CHOOSE(CONTROL!$C$42, 12.6118, 12.6118) * CHOOSE(CONTROL!$C$21, $C$9, 100%, $E$9)</f>
        <v>12.611800000000001</v>
      </c>
      <c r="S232" s="17">
        <f>CHOOSE(CONTROL!$C$42, 10.8729, 10.8729) * CHOOSE(CONTROL!$C$21, $C$9, 100%, $E$9)</f>
        <v>10.8729</v>
      </c>
      <c r="T23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32" s="56">
        <f>(1000*CHOOSE(CONTROL!$C$42, 695, 695)*CHOOSE(CONTROL!$C$42, 0.5599, 0.5599)*CHOOSE(CONTROL!$C$42, 30, 30))/1000000</f>
        <v>11.673914999999997</v>
      </c>
      <c r="V232" s="56">
        <f>(1000*CHOOSE(CONTROL!$C$42, 500, 500)*CHOOSE(CONTROL!$C$42, 0.275, 0.275)*CHOOSE(CONTROL!$C$42, 30, 30))/1000000</f>
        <v>4.125</v>
      </c>
      <c r="W232" s="56">
        <f>(1000*CHOOSE(CONTROL!$C$42, 0.0916, 0.0916)*CHOOSE(CONTROL!$C$42, 121.5, 121.5)*CHOOSE(CONTROL!$C$42, 30, 30))/1000000</f>
        <v>0.33388200000000001</v>
      </c>
      <c r="X232" s="56">
        <f>(30*0.1790888*145000/1000000)+(30*0.2374*100000/1000000)</f>
        <v>1.4912362799999999</v>
      </c>
      <c r="Y232" s="56"/>
      <c r="Z232" s="17"/>
      <c r="AA232" s="55"/>
      <c r="AB232" s="48">
        <f>(B232*141.293+C232*267.993+D232*115.016+E232*189.698+F232*40+G232*85+H232*0+I232*100+J232*300)/(141.293+267.993+115.016+189.698+0+40+85+100+300)</f>
        <v>11.298968171347861</v>
      </c>
      <c r="AC232" s="45">
        <f>(M232*'RAP TEMPLATE-GAS AVAILABILITY'!O231+N232*'RAP TEMPLATE-GAS AVAILABILITY'!P231+O232*'RAP TEMPLATE-GAS AVAILABILITY'!Q231+P232*'RAP TEMPLATE-GAS AVAILABILITY'!R231)/('RAP TEMPLATE-GAS AVAILABILITY'!O231+'RAP TEMPLATE-GAS AVAILABILITY'!P231+'RAP TEMPLATE-GAS AVAILABILITY'!Q231+'RAP TEMPLATE-GAS AVAILABILITY'!R231)</f>
        <v>11.219492805755397</v>
      </c>
    </row>
    <row r="233" spans="1:29" ht="15.75" x14ac:dyDescent="0.25">
      <c r="A233" s="16">
        <v>47969</v>
      </c>
      <c r="B233" s="17">
        <f>CHOOSE(CONTROL!$C$42, 11.3235, 11.3235) * CHOOSE(CONTROL!$C$21, $C$9, 100%, $E$9)</f>
        <v>11.323499999999999</v>
      </c>
      <c r="C233" s="17">
        <f>CHOOSE(CONTROL!$C$42, 11.3315, 11.3315) * CHOOSE(CONTROL!$C$21, $C$9, 100%, $E$9)</f>
        <v>11.3315</v>
      </c>
      <c r="D233" s="17">
        <f>CHOOSE(CONTROL!$C$42, 11.576, 11.576) * CHOOSE(CONTROL!$C$21, $C$9, 100%, $E$9)</f>
        <v>11.576000000000001</v>
      </c>
      <c r="E233" s="17">
        <f>CHOOSE(CONTROL!$C$42, 11.6071, 11.6071) * CHOOSE(CONTROL!$C$21, $C$9, 100%, $E$9)</f>
        <v>11.607100000000001</v>
      </c>
      <c r="F233" s="17">
        <f>CHOOSE(CONTROL!$C$42, 11.3341, 11.3341)*CHOOSE(CONTROL!$C$21, $C$9, 100%, $E$9)</f>
        <v>11.334099999999999</v>
      </c>
      <c r="G233" s="17">
        <f>CHOOSE(CONTROL!$C$42, 11.3503, 11.3503)*CHOOSE(CONTROL!$C$21, $C$9, 100%, $E$9)</f>
        <v>11.350300000000001</v>
      </c>
      <c r="H233" s="17">
        <f>CHOOSE(CONTROL!$C$42, 11.5955, 11.5955) * CHOOSE(CONTROL!$C$21, $C$9, 100%, $E$9)</f>
        <v>11.595499999999999</v>
      </c>
      <c r="I233" s="17">
        <f>CHOOSE(CONTROL!$C$42, 11.3799, 11.3799)* CHOOSE(CONTROL!$C$21, $C$9, 100%, $E$9)</f>
        <v>11.379899999999999</v>
      </c>
      <c r="J233" s="17">
        <f>CHOOSE(CONTROL!$C$42, 11.3267, 11.3267)* CHOOSE(CONTROL!$C$21, $C$9, 100%, $E$9)</f>
        <v>11.326700000000001</v>
      </c>
      <c r="K233" s="52">
        <f>CHOOSE(CONTROL!$C$42, 11.3739, 11.3739) * CHOOSE(CONTROL!$C$21, $C$9, 100%, $E$9)</f>
        <v>11.373900000000001</v>
      </c>
      <c r="L233" s="17">
        <f>CHOOSE(CONTROL!$C$42, 12.1825, 12.1825) * CHOOSE(CONTROL!$C$21, $C$9, 100%, $E$9)</f>
        <v>12.182499999999999</v>
      </c>
      <c r="M233" s="17">
        <f>CHOOSE(CONTROL!$C$42, 11.2318, 11.2318) * CHOOSE(CONTROL!$C$21, $C$9, 100%, $E$9)</f>
        <v>11.2318</v>
      </c>
      <c r="N233" s="17">
        <f>CHOOSE(CONTROL!$C$42, 11.2479, 11.2479) * CHOOSE(CONTROL!$C$21, $C$9, 100%, $E$9)</f>
        <v>11.2479</v>
      </c>
      <c r="O233" s="17">
        <f>CHOOSE(CONTROL!$C$42, 11.4982, 11.4982) * CHOOSE(CONTROL!$C$21, $C$9, 100%, $E$9)</f>
        <v>11.498200000000001</v>
      </c>
      <c r="P233" s="17">
        <f>CHOOSE(CONTROL!$C$42, 11.2843, 11.2843) * CHOOSE(CONTROL!$C$21, $C$9, 100%, $E$9)</f>
        <v>11.2843</v>
      </c>
      <c r="Q233" s="17">
        <f>CHOOSE(CONTROL!$C$42, 12.0929, 12.0929) * CHOOSE(CONTROL!$C$21, $C$9, 100%, $E$9)</f>
        <v>12.0929</v>
      </c>
      <c r="R233" s="17">
        <f>CHOOSE(CONTROL!$C$42, 12.7101, 12.7101) * CHOOSE(CONTROL!$C$21, $C$9, 100%, $E$9)</f>
        <v>12.710100000000001</v>
      </c>
      <c r="S233" s="17">
        <f>CHOOSE(CONTROL!$C$42, 10.9688, 10.9688) * CHOOSE(CONTROL!$C$21, $C$9, 100%, $E$9)</f>
        <v>10.9688</v>
      </c>
      <c r="T23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33" s="56">
        <f>(1000*CHOOSE(CONTROL!$C$42, 695, 695)*CHOOSE(CONTROL!$C$42, 0.5599, 0.5599)*CHOOSE(CONTROL!$C$42, 31, 31))/1000000</f>
        <v>12.063045499999998</v>
      </c>
      <c r="V233" s="56">
        <f>(1000*CHOOSE(CONTROL!$C$42, 500, 500)*CHOOSE(CONTROL!$C$42, 0.275, 0.275)*CHOOSE(CONTROL!$C$42, 31, 31))/1000000</f>
        <v>4.2625000000000002</v>
      </c>
      <c r="W233" s="56">
        <f>(1000*CHOOSE(CONTROL!$C$42, 0.0916, 0.0916)*CHOOSE(CONTROL!$C$42, 121.5, 121.5)*CHOOSE(CONTROL!$C$42, 31, 31))/1000000</f>
        <v>0.34501139999999997</v>
      </c>
      <c r="X233" s="56">
        <f>(31*0.1790888*145000/1000000)+(31*0.2374*100000/1000000)</f>
        <v>1.5409441560000001</v>
      </c>
      <c r="Y233" s="56"/>
      <c r="Z233" s="17"/>
      <c r="AA233" s="55"/>
      <c r="AB233" s="48">
        <f>(B233*194.205+C233*267.466+D233*133.845+E233*153.484+F233*40+G233*85+H233*0+I233*100+J233*300)/(194.205+267.466+133.845+153.484+0+40+85+100+300)</f>
        <v>11.393174766797488</v>
      </c>
      <c r="AC233" s="45">
        <f>(M233*'RAP TEMPLATE-GAS AVAILABILITY'!O232+N233*'RAP TEMPLATE-GAS AVAILABILITY'!P232+O233*'RAP TEMPLATE-GAS AVAILABILITY'!Q232+P233*'RAP TEMPLATE-GAS AVAILABILITY'!R232)/('RAP TEMPLATE-GAS AVAILABILITY'!O232+'RAP TEMPLATE-GAS AVAILABILITY'!P232+'RAP TEMPLATE-GAS AVAILABILITY'!Q232+'RAP TEMPLATE-GAS AVAILABILITY'!R232)</f>
        <v>11.317805755395685</v>
      </c>
    </row>
    <row r="234" spans="1:29" ht="15.75" x14ac:dyDescent="0.25">
      <c r="A234" s="16">
        <v>48000</v>
      </c>
      <c r="B234" s="17">
        <f>CHOOSE(CONTROL!$C$42, 11.6444, 11.6444) * CHOOSE(CONTROL!$C$21, $C$9, 100%, $E$9)</f>
        <v>11.644399999999999</v>
      </c>
      <c r="C234" s="17">
        <f>CHOOSE(CONTROL!$C$42, 11.6523, 11.6523) * CHOOSE(CONTROL!$C$21, $C$9, 100%, $E$9)</f>
        <v>11.6523</v>
      </c>
      <c r="D234" s="17">
        <f>CHOOSE(CONTROL!$C$42, 11.8968, 11.8968) * CHOOSE(CONTROL!$C$21, $C$9, 100%, $E$9)</f>
        <v>11.896800000000001</v>
      </c>
      <c r="E234" s="17">
        <f>CHOOSE(CONTROL!$C$42, 11.928, 11.928) * CHOOSE(CONTROL!$C$21, $C$9, 100%, $E$9)</f>
        <v>11.928000000000001</v>
      </c>
      <c r="F234" s="17">
        <f>CHOOSE(CONTROL!$C$42, 11.6552, 11.6552)*CHOOSE(CONTROL!$C$21, $C$9, 100%, $E$9)</f>
        <v>11.655200000000001</v>
      </c>
      <c r="G234" s="17">
        <f>CHOOSE(CONTROL!$C$42, 11.6716, 11.6716)*CHOOSE(CONTROL!$C$21, $C$9, 100%, $E$9)</f>
        <v>11.6716</v>
      </c>
      <c r="H234" s="17">
        <f>CHOOSE(CONTROL!$C$42, 11.9163, 11.9163) * CHOOSE(CONTROL!$C$21, $C$9, 100%, $E$9)</f>
        <v>11.9163</v>
      </c>
      <c r="I234" s="17">
        <f>CHOOSE(CONTROL!$C$42, 11.7018, 11.7018)* CHOOSE(CONTROL!$C$21, $C$9, 100%, $E$9)</f>
        <v>11.7018</v>
      </c>
      <c r="J234" s="17">
        <f>CHOOSE(CONTROL!$C$42, 11.6478, 11.6478)* CHOOSE(CONTROL!$C$21, $C$9, 100%, $E$9)</f>
        <v>11.6478</v>
      </c>
      <c r="K234" s="52">
        <f>CHOOSE(CONTROL!$C$42, 11.6957, 11.6957) * CHOOSE(CONTROL!$C$21, $C$9, 100%, $E$9)</f>
        <v>11.6957</v>
      </c>
      <c r="L234" s="17">
        <f>CHOOSE(CONTROL!$C$42, 12.5033, 12.5033) * CHOOSE(CONTROL!$C$21, $C$9, 100%, $E$9)</f>
        <v>12.503299999999999</v>
      </c>
      <c r="M234" s="17">
        <f>CHOOSE(CONTROL!$C$42, 11.5501, 11.5501) * CHOOSE(CONTROL!$C$21, $C$9, 100%, $E$9)</f>
        <v>11.5501</v>
      </c>
      <c r="N234" s="17">
        <f>CHOOSE(CONTROL!$C$42, 11.5663, 11.5663) * CHOOSE(CONTROL!$C$21, $C$9, 100%, $E$9)</f>
        <v>11.5663</v>
      </c>
      <c r="O234" s="17">
        <f>CHOOSE(CONTROL!$C$42, 11.8162, 11.8162) * CHOOSE(CONTROL!$C$21, $C$9, 100%, $E$9)</f>
        <v>11.8162</v>
      </c>
      <c r="P234" s="17">
        <f>CHOOSE(CONTROL!$C$42, 11.6033, 11.6033) * CHOOSE(CONTROL!$C$21, $C$9, 100%, $E$9)</f>
        <v>11.603300000000001</v>
      </c>
      <c r="Q234" s="17">
        <f>CHOOSE(CONTROL!$C$42, 12.4109, 12.4109) * CHOOSE(CONTROL!$C$21, $C$9, 100%, $E$9)</f>
        <v>12.4109</v>
      </c>
      <c r="R234" s="17">
        <f>CHOOSE(CONTROL!$C$42, 13.0289, 13.0289) * CHOOSE(CONTROL!$C$21, $C$9, 100%, $E$9)</f>
        <v>13.0289</v>
      </c>
      <c r="S234" s="17">
        <f>CHOOSE(CONTROL!$C$42, 11.28, 11.28) * CHOOSE(CONTROL!$C$21, $C$9, 100%, $E$9)</f>
        <v>11.28</v>
      </c>
      <c r="T23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34" s="56">
        <f>(1000*CHOOSE(CONTROL!$C$42, 695, 695)*CHOOSE(CONTROL!$C$42, 0.5599, 0.5599)*CHOOSE(CONTROL!$C$42, 30, 30))/1000000</f>
        <v>11.673914999999997</v>
      </c>
      <c r="V234" s="56">
        <f>(1000*CHOOSE(CONTROL!$C$42, 500, 500)*CHOOSE(CONTROL!$C$42, 0.275, 0.275)*CHOOSE(CONTROL!$C$42, 30, 30))/1000000</f>
        <v>4.125</v>
      </c>
      <c r="W234" s="56">
        <f>(1000*CHOOSE(CONTROL!$C$42, 0.0916, 0.0916)*CHOOSE(CONTROL!$C$42, 121.5, 121.5)*CHOOSE(CONTROL!$C$42, 30, 30))/1000000</f>
        <v>0.33388200000000001</v>
      </c>
      <c r="X234" s="56">
        <f>(30*0.1790888*145000/1000000)+(30*0.2374*100000/1000000)</f>
        <v>1.4912362799999999</v>
      </c>
      <c r="Y234" s="56"/>
      <c r="Z234" s="17"/>
      <c r="AA234" s="55"/>
      <c r="AB234" s="48">
        <f>(B234*194.205+C234*267.466+D234*133.845+E234*153.484+F234*40+G234*85+H234*0+I234*100+J234*300)/(194.205+267.466+133.845+153.484+0+40+85+100+300)</f>
        <v>11.714201822448981</v>
      </c>
      <c r="AC234" s="45">
        <f>(M234*'RAP TEMPLATE-GAS AVAILABILITY'!O233+N234*'RAP TEMPLATE-GAS AVAILABILITY'!P233+O234*'RAP TEMPLATE-GAS AVAILABILITY'!Q233+P234*'RAP TEMPLATE-GAS AVAILABILITY'!R233)/('RAP TEMPLATE-GAS AVAILABILITY'!O233+'RAP TEMPLATE-GAS AVAILABILITY'!P233+'RAP TEMPLATE-GAS AVAILABILITY'!Q233+'RAP TEMPLATE-GAS AVAILABILITY'!R233)</f>
        <v>11.636145323741008</v>
      </c>
    </row>
    <row r="235" spans="1:29" ht="15.75" x14ac:dyDescent="0.25">
      <c r="A235" s="16">
        <v>48030</v>
      </c>
      <c r="B235" s="17">
        <f>CHOOSE(CONTROL!$C$42, 11.4212, 11.4212) * CHOOSE(CONTROL!$C$21, $C$9, 100%, $E$9)</f>
        <v>11.421200000000001</v>
      </c>
      <c r="C235" s="17">
        <f>CHOOSE(CONTROL!$C$42, 11.4292, 11.4292) * CHOOSE(CONTROL!$C$21, $C$9, 100%, $E$9)</f>
        <v>11.4292</v>
      </c>
      <c r="D235" s="17">
        <f>CHOOSE(CONTROL!$C$42, 11.6737, 11.6737) * CHOOSE(CONTROL!$C$21, $C$9, 100%, $E$9)</f>
        <v>11.6737</v>
      </c>
      <c r="E235" s="17">
        <f>CHOOSE(CONTROL!$C$42, 11.7048, 11.7048) * CHOOSE(CONTROL!$C$21, $C$9, 100%, $E$9)</f>
        <v>11.704800000000001</v>
      </c>
      <c r="F235" s="17">
        <f>CHOOSE(CONTROL!$C$42, 11.4325, 11.4325)*CHOOSE(CONTROL!$C$21, $C$9, 100%, $E$9)</f>
        <v>11.432499999999999</v>
      </c>
      <c r="G235" s="17">
        <f>CHOOSE(CONTROL!$C$42, 11.449, 11.449)*CHOOSE(CONTROL!$C$21, $C$9, 100%, $E$9)</f>
        <v>11.449</v>
      </c>
      <c r="H235" s="17">
        <f>CHOOSE(CONTROL!$C$42, 11.6932, 11.6932) * CHOOSE(CONTROL!$C$21, $C$9, 100%, $E$9)</f>
        <v>11.693199999999999</v>
      </c>
      <c r="I235" s="17">
        <f>CHOOSE(CONTROL!$C$42, 11.4779, 11.4779)* CHOOSE(CONTROL!$C$21, $C$9, 100%, $E$9)</f>
        <v>11.4779</v>
      </c>
      <c r="J235" s="17">
        <f>CHOOSE(CONTROL!$C$42, 11.4251, 11.4251)* CHOOSE(CONTROL!$C$21, $C$9, 100%, $E$9)</f>
        <v>11.4251</v>
      </c>
      <c r="K235" s="52">
        <f>CHOOSE(CONTROL!$C$42, 11.4719, 11.4719) * CHOOSE(CONTROL!$C$21, $C$9, 100%, $E$9)</f>
        <v>11.4719</v>
      </c>
      <c r="L235" s="17">
        <f>CHOOSE(CONTROL!$C$42, 12.2802, 12.2802) * CHOOSE(CONTROL!$C$21, $C$9, 100%, $E$9)</f>
        <v>12.280200000000001</v>
      </c>
      <c r="M235" s="17">
        <f>CHOOSE(CONTROL!$C$42, 11.3294, 11.3294) * CHOOSE(CONTROL!$C$21, $C$9, 100%, $E$9)</f>
        <v>11.3294</v>
      </c>
      <c r="N235" s="17">
        <f>CHOOSE(CONTROL!$C$42, 11.3457, 11.3457) * CHOOSE(CONTROL!$C$21, $C$9, 100%, $E$9)</f>
        <v>11.345700000000001</v>
      </c>
      <c r="O235" s="17">
        <f>CHOOSE(CONTROL!$C$42, 11.595, 11.595) * CHOOSE(CONTROL!$C$21, $C$9, 100%, $E$9)</f>
        <v>11.595000000000001</v>
      </c>
      <c r="P235" s="17">
        <f>CHOOSE(CONTROL!$C$42, 11.3814, 11.3814) * CHOOSE(CONTROL!$C$21, $C$9, 100%, $E$9)</f>
        <v>11.381399999999999</v>
      </c>
      <c r="Q235" s="17">
        <f>CHOOSE(CONTROL!$C$42, 12.1897, 12.1897) * CHOOSE(CONTROL!$C$21, $C$9, 100%, $E$9)</f>
        <v>12.1897</v>
      </c>
      <c r="R235" s="17">
        <f>CHOOSE(CONTROL!$C$42, 12.8072, 12.8072) * CHOOSE(CONTROL!$C$21, $C$9, 100%, $E$9)</f>
        <v>12.8072</v>
      </c>
      <c r="S235" s="17">
        <f>CHOOSE(CONTROL!$C$42, 11.0636, 11.0636) * CHOOSE(CONTROL!$C$21, $C$9, 100%, $E$9)</f>
        <v>11.063599999999999</v>
      </c>
      <c r="T23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35" s="56">
        <f>(1000*CHOOSE(CONTROL!$C$42, 695, 695)*CHOOSE(CONTROL!$C$42, 0.5599, 0.5599)*CHOOSE(CONTROL!$C$42, 31, 31))/1000000</f>
        <v>12.063045499999998</v>
      </c>
      <c r="V235" s="56">
        <f>(1000*CHOOSE(CONTROL!$C$42, 500, 500)*CHOOSE(CONTROL!$C$42, 0.275, 0.275)*CHOOSE(CONTROL!$C$42, 31, 31))/1000000</f>
        <v>4.2625000000000002</v>
      </c>
      <c r="W235" s="56">
        <f>(1000*CHOOSE(CONTROL!$C$42, 0.0916, 0.0916)*CHOOSE(CONTROL!$C$42, 121.5, 121.5)*CHOOSE(CONTROL!$C$42, 31, 31))/1000000</f>
        <v>0.34501139999999997</v>
      </c>
      <c r="X235" s="56">
        <f>(31*0.1790888*145000/1000000)+(31*0.2374*100000/1000000)</f>
        <v>1.5409441560000001</v>
      </c>
      <c r="Y235" s="56"/>
      <c r="Z235" s="17"/>
      <c r="AA235" s="55"/>
      <c r="AB235" s="48">
        <f>(B235*194.205+C235*267.466+D235*133.845+E235*153.484+F235*40+G235*85+H235*0+I235*100+J235*300)/(194.205+267.466+133.845+153.484+0+40+85+100+300)</f>
        <v>11.491151846860284</v>
      </c>
      <c r="AC235" s="45">
        <f>(M235*'RAP TEMPLATE-GAS AVAILABILITY'!O234+N235*'RAP TEMPLATE-GAS AVAILABILITY'!P234+O235*'RAP TEMPLATE-GAS AVAILABILITY'!Q234+P235*'RAP TEMPLATE-GAS AVAILABILITY'!R234)/('RAP TEMPLATE-GAS AVAILABILITY'!O234+'RAP TEMPLATE-GAS AVAILABILITY'!P234+'RAP TEMPLATE-GAS AVAILABILITY'!Q234+'RAP TEMPLATE-GAS AVAILABILITY'!R234)</f>
        <v>11.415155395683453</v>
      </c>
    </row>
    <row r="236" spans="1:29" ht="15.75" x14ac:dyDescent="0.25">
      <c r="A236" s="16">
        <v>48061</v>
      </c>
      <c r="B236" s="17">
        <f>CHOOSE(CONTROL!$C$42, 10.8577, 10.8577) * CHOOSE(CONTROL!$C$21, $C$9, 100%, $E$9)</f>
        <v>10.857699999999999</v>
      </c>
      <c r="C236" s="17">
        <f>CHOOSE(CONTROL!$C$42, 10.8657, 10.8657) * CHOOSE(CONTROL!$C$21, $C$9, 100%, $E$9)</f>
        <v>10.8657</v>
      </c>
      <c r="D236" s="17">
        <f>CHOOSE(CONTROL!$C$42, 11.1101, 11.1101) * CHOOSE(CONTROL!$C$21, $C$9, 100%, $E$9)</f>
        <v>11.110099999999999</v>
      </c>
      <c r="E236" s="17">
        <f>CHOOSE(CONTROL!$C$42, 11.1413, 11.1413) * CHOOSE(CONTROL!$C$21, $C$9, 100%, $E$9)</f>
        <v>11.141299999999999</v>
      </c>
      <c r="F236" s="17">
        <f>CHOOSE(CONTROL!$C$42, 10.8693, 10.8693)*CHOOSE(CONTROL!$C$21, $C$9, 100%, $E$9)</f>
        <v>10.869300000000001</v>
      </c>
      <c r="G236" s="17">
        <f>CHOOSE(CONTROL!$C$42, 10.8858, 10.8858)*CHOOSE(CONTROL!$C$21, $C$9, 100%, $E$9)</f>
        <v>10.8858</v>
      </c>
      <c r="H236" s="17">
        <f>CHOOSE(CONTROL!$C$42, 11.1296, 11.1296) * CHOOSE(CONTROL!$C$21, $C$9, 100%, $E$9)</f>
        <v>11.1296</v>
      </c>
      <c r="I236" s="17">
        <f>CHOOSE(CONTROL!$C$42, 10.9127, 10.9127)* CHOOSE(CONTROL!$C$21, $C$9, 100%, $E$9)</f>
        <v>10.912699999999999</v>
      </c>
      <c r="J236" s="17">
        <f>CHOOSE(CONTROL!$C$42, 10.8619, 10.8619)* CHOOSE(CONTROL!$C$21, $C$9, 100%, $E$9)</f>
        <v>10.8619</v>
      </c>
      <c r="K236" s="52">
        <f>CHOOSE(CONTROL!$C$42, 10.9066, 10.9066) * CHOOSE(CONTROL!$C$21, $C$9, 100%, $E$9)</f>
        <v>10.906599999999999</v>
      </c>
      <c r="L236" s="17">
        <f>CHOOSE(CONTROL!$C$42, 11.7166, 11.7166) * CHOOSE(CONTROL!$C$21, $C$9, 100%, $E$9)</f>
        <v>11.7166</v>
      </c>
      <c r="M236" s="17">
        <f>CHOOSE(CONTROL!$C$42, 10.7712, 10.7712) * CHOOSE(CONTROL!$C$21, $C$9, 100%, $E$9)</f>
        <v>10.7712</v>
      </c>
      <c r="N236" s="17">
        <f>CHOOSE(CONTROL!$C$42, 10.7875, 10.7875) * CHOOSE(CONTROL!$C$21, $C$9, 100%, $E$9)</f>
        <v>10.7875</v>
      </c>
      <c r="O236" s="17">
        <f>CHOOSE(CONTROL!$C$42, 11.0366, 11.0366) * CHOOSE(CONTROL!$C$21, $C$9, 100%, $E$9)</f>
        <v>11.0366</v>
      </c>
      <c r="P236" s="17">
        <f>CHOOSE(CONTROL!$C$42, 10.8213, 10.8213) * CHOOSE(CONTROL!$C$21, $C$9, 100%, $E$9)</f>
        <v>10.821300000000001</v>
      </c>
      <c r="Q236" s="17">
        <f>CHOOSE(CONTROL!$C$42, 11.6313, 11.6313) * CHOOSE(CONTROL!$C$21, $C$9, 100%, $E$9)</f>
        <v>11.6313</v>
      </c>
      <c r="R236" s="17">
        <f>CHOOSE(CONTROL!$C$42, 12.2473, 12.2473) * CHOOSE(CONTROL!$C$21, $C$9, 100%, $E$9)</f>
        <v>12.247299999999999</v>
      </c>
      <c r="S236" s="17">
        <f>CHOOSE(CONTROL!$C$42, 10.5171, 10.5171) * CHOOSE(CONTROL!$C$21, $C$9, 100%, $E$9)</f>
        <v>10.517099999999999</v>
      </c>
      <c r="T23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36" s="56">
        <f>(1000*CHOOSE(CONTROL!$C$42, 695, 695)*CHOOSE(CONTROL!$C$42, 0.5599, 0.5599)*CHOOSE(CONTROL!$C$42, 31, 31))/1000000</f>
        <v>12.063045499999998</v>
      </c>
      <c r="V236" s="56">
        <f>(1000*CHOOSE(CONTROL!$C$42, 500, 500)*CHOOSE(CONTROL!$C$42, 0.275, 0.275)*CHOOSE(CONTROL!$C$42, 31, 31))/1000000</f>
        <v>4.2625000000000002</v>
      </c>
      <c r="W236" s="56">
        <f>(1000*CHOOSE(CONTROL!$C$42, 0.0916, 0.0916)*CHOOSE(CONTROL!$C$42, 121.5, 121.5)*CHOOSE(CONTROL!$C$42, 31, 31))/1000000</f>
        <v>0.34501139999999997</v>
      </c>
      <c r="X236" s="56">
        <f>(31*0.1790888*145000/1000000)+(31*0.2374*100000/1000000)</f>
        <v>1.5409441560000001</v>
      </c>
      <c r="Y236" s="56"/>
      <c r="Z236" s="17"/>
      <c r="AA236" s="55"/>
      <c r="AB236" s="48">
        <f>(B236*194.205+C236*267.466+D236*133.845+E236*153.484+F236*40+G236*85+H236*0+I236*100+J236*300)/(194.205+267.466+133.845+153.484+0+40+85+100+300)</f>
        <v>10.927607981475667</v>
      </c>
      <c r="AC236" s="45">
        <f>(M236*'RAP TEMPLATE-GAS AVAILABILITY'!O235+N236*'RAP TEMPLATE-GAS AVAILABILITY'!P235+O236*'RAP TEMPLATE-GAS AVAILABILITY'!Q235+P236*'RAP TEMPLATE-GAS AVAILABILITY'!R235)/('RAP TEMPLATE-GAS AVAILABILITY'!O235+'RAP TEMPLATE-GAS AVAILABILITY'!P235+'RAP TEMPLATE-GAS AVAILABILITY'!Q235+'RAP TEMPLATE-GAS AVAILABILITY'!R235)</f>
        <v>10.856625899280576</v>
      </c>
    </row>
    <row r="237" spans="1:29" ht="15.75" x14ac:dyDescent="0.25">
      <c r="A237" s="16">
        <v>48092</v>
      </c>
      <c r="B237" s="17">
        <f>CHOOSE(CONTROL!$C$42, 10.169, 10.169) * CHOOSE(CONTROL!$C$21, $C$9, 100%, $E$9)</f>
        <v>10.169</v>
      </c>
      <c r="C237" s="17">
        <f>CHOOSE(CONTROL!$C$42, 10.1769, 10.1769) * CHOOSE(CONTROL!$C$21, $C$9, 100%, $E$9)</f>
        <v>10.1769</v>
      </c>
      <c r="D237" s="17">
        <f>CHOOSE(CONTROL!$C$42, 10.4214, 10.4214) * CHOOSE(CONTROL!$C$21, $C$9, 100%, $E$9)</f>
        <v>10.4214</v>
      </c>
      <c r="E237" s="17">
        <f>CHOOSE(CONTROL!$C$42, 10.4526, 10.4526) * CHOOSE(CONTROL!$C$21, $C$9, 100%, $E$9)</f>
        <v>10.4526</v>
      </c>
      <c r="F237" s="17">
        <f>CHOOSE(CONTROL!$C$42, 10.1806, 10.1806)*CHOOSE(CONTROL!$C$21, $C$9, 100%, $E$9)</f>
        <v>10.1806</v>
      </c>
      <c r="G237" s="17">
        <f>CHOOSE(CONTROL!$C$42, 10.1971, 10.1971)*CHOOSE(CONTROL!$C$21, $C$9, 100%, $E$9)</f>
        <v>10.197100000000001</v>
      </c>
      <c r="H237" s="17">
        <f>CHOOSE(CONTROL!$C$42, 10.4409, 10.4409) * CHOOSE(CONTROL!$C$21, $C$9, 100%, $E$9)</f>
        <v>10.440899999999999</v>
      </c>
      <c r="I237" s="17">
        <f>CHOOSE(CONTROL!$C$42, 10.2218, 10.2218)* CHOOSE(CONTROL!$C$21, $C$9, 100%, $E$9)</f>
        <v>10.2218</v>
      </c>
      <c r="J237" s="17">
        <f>CHOOSE(CONTROL!$C$42, 10.1732, 10.1732)* CHOOSE(CONTROL!$C$21, $C$9, 100%, $E$9)</f>
        <v>10.1732</v>
      </c>
      <c r="K237" s="52">
        <f>CHOOSE(CONTROL!$C$42, 10.2157, 10.2157) * CHOOSE(CONTROL!$C$21, $C$9, 100%, $E$9)</f>
        <v>10.2157</v>
      </c>
      <c r="L237" s="17">
        <f>CHOOSE(CONTROL!$C$42, 11.0279, 11.0279) * CHOOSE(CONTROL!$C$21, $C$9, 100%, $E$9)</f>
        <v>11.027900000000001</v>
      </c>
      <c r="M237" s="17">
        <f>CHOOSE(CONTROL!$C$42, 10.0887, 10.0887) * CHOOSE(CONTROL!$C$21, $C$9, 100%, $E$9)</f>
        <v>10.088699999999999</v>
      </c>
      <c r="N237" s="17">
        <f>CHOOSE(CONTROL!$C$42, 10.105, 10.105) * CHOOSE(CONTROL!$C$21, $C$9, 100%, $E$9)</f>
        <v>10.105</v>
      </c>
      <c r="O237" s="17">
        <f>CHOOSE(CONTROL!$C$42, 10.354, 10.354) * CHOOSE(CONTROL!$C$21, $C$9, 100%, $E$9)</f>
        <v>10.353999999999999</v>
      </c>
      <c r="P237" s="17">
        <f>CHOOSE(CONTROL!$C$42, 10.1366, 10.1366) * CHOOSE(CONTROL!$C$21, $C$9, 100%, $E$9)</f>
        <v>10.1366</v>
      </c>
      <c r="Q237" s="17">
        <f>CHOOSE(CONTROL!$C$42, 10.9487, 10.9487) * CHOOSE(CONTROL!$C$21, $C$9, 100%, $E$9)</f>
        <v>10.948700000000001</v>
      </c>
      <c r="R237" s="17">
        <f>CHOOSE(CONTROL!$C$42, 11.5631, 11.5631) * CHOOSE(CONTROL!$C$21, $C$9, 100%, $E$9)</f>
        <v>11.5631</v>
      </c>
      <c r="S237" s="17">
        <f>CHOOSE(CONTROL!$C$42, 9.8493, 9.8493) * CHOOSE(CONTROL!$C$21, $C$9, 100%, $E$9)</f>
        <v>9.8492999999999995</v>
      </c>
      <c r="T23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37" s="56">
        <f>(1000*CHOOSE(CONTROL!$C$42, 695, 695)*CHOOSE(CONTROL!$C$42, 0.5599, 0.5599)*CHOOSE(CONTROL!$C$42, 30, 30))/1000000</f>
        <v>11.673914999999997</v>
      </c>
      <c r="V237" s="56">
        <f>(1000*CHOOSE(CONTROL!$C$42, 500, 500)*CHOOSE(CONTROL!$C$42, 0.275, 0.275)*CHOOSE(CONTROL!$C$42, 30, 30))/1000000</f>
        <v>4.125</v>
      </c>
      <c r="W237" s="56">
        <f>(1000*CHOOSE(CONTROL!$C$42, 0.0916, 0.0916)*CHOOSE(CONTROL!$C$42, 121.5, 121.5)*CHOOSE(CONTROL!$C$42, 30, 30))/1000000</f>
        <v>0.33388200000000001</v>
      </c>
      <c r="X237" s="56">
        <f>(30*0.1790888*145000/1000000)+(30*0.2374*100000/1000000)</f>
        <v>1.4912362799999999</v>
      </c>
      <c r="Y237" s="56"/>
      <c r="Z237" s="17"/>
      <c r="AA237" s="55"/>
      <c r="AB237" s="48">
        <f>(B237*194.205+C237*267.466+D237*133.845+E237*153.484+F237*40+G237*85+H237*0+I237*100+J237*300)/(194.205+267.466+133.845+153.484+0+40+85+100+300)</f>
        <v>10.238714302825747</v>
      </c>
      <c r="AC237" s="45">
        <f>(M237*'RAP TEMPLATE-GAS AVAILABILITY'!O236+N237*'RAP TEMPLATE-GAS AVAILABILITY'!P236+O237*'RAP TEMPLATE-GAS AVAILABILITY'!Q236+P237*'RAP TEMPLATE-GAS AVAILABILITY'!R236)/('RAP TEMPLATE-GAS AVAILABILITY'!O236+'RAP TEMPLATE-GAS AVAILABILITY'!P236+'RAP TEMPLATE-GAS AVAILABILITY'!Q236+'RAP TEMPLATE-GAS AVAILABILITY'!R236)</f>
        <v>10.173781294964028</v>
      </c>
    </row>
    <row r="238" spans="1:29" ht="15.75" x14ac:dyDescent="0.25">
      <c r="A238" s="16">
        <v>48122</v>
      </c>
      <c r="B238" s="17">
        <f>CHOOSE(CONTROL!$C$42, 9.961, 9.961) * CHOOSE(CONTROL!$C$21, $C$9, 100%, $E$9)</f>
        <v>9.9610000000000003</v>
      </c>
      <c r="C238" s="17">
        <f>CHOOSE(CONTROL!$C$42, 9.9664, 9.9664) * CHOOSE(CONTROL!$C$21, $C$9, 100%, $E$9)</f>
        <v>9.9664000000000001</v>
      </c>
      <c r="D238" s="17">
        <f>CHOOSE(CONTROL!$C$42, 10.2157, 10.2157) * CHOOSE(CONTROL!$C$21, $C$9, 100%, $E$9)</f>
        <v>10.2157</v>
      </c>
      <c r="E238" s="17">
        <f>CHOOSE(CONTROL!$C$42, 10.2446, 10.2446) * CHOOSE(CONTROL!$C$21, $C$9, 100%, $E$9)</f>
        <v>10.2446</v>
      </c>
      <c r="F238" s="17">
        <f>CHOOSE(CONTROL!$C$42, 9.9748, 9.9748)*CHOOSE(CONTROL!$C$21, $C$9, 100%, $E$9)</f>
        <v>9.9748000000000001</v>
      </c>
      <c r="G238" s="17">
        <f>CHOOSE(CONTROL!$C$42, 9.9912, 9.9912)*CHOOSE(CONTROL!$C$21, $C$9, 100%, $E$9)</f>
        <v>9.9911999999999992</v>
      </c>
      <c r="H238" s="17">
        <f>CHOOSE(CONTROL!$C$42, 10.2347, 10.2347) * CHOOSE(CONTROL!$C$21, $C$9, 100%, $E$9)</f>
        <v>10.2347</v>
      </c>
      <c r="I238" s="17">
        <f>CHOOSE(CONTROL!$C$42, 10.0149, 10.0149)* CHOOSE(CONTROL!$C$21, $C$9, 100%, $E$9)</f>
        <v>10.014900000000001</v>
      </c>
      <c r="J238" s="17">
        <f>CHOOSE(CONTROL!$C$42, 9.9674, 9.9674)* CHOOSE(CONTROL!$C$21, $C$9, 100%, $E$9)</f>
        <v>9.9673999999999996</v>
      </c>
      <c r="K238" s="52">
        <f>CHOOSE(CONTROL!$C$42, 10.0089, 10.0089) * CHOOSE(CONTROL!$C$21, $C$9, 100%, $E$9)</f>
        <v>10.008900000000001</v>
      </c>
      <c r="L238" s="17">
        <f>CHOOSE(CONTROL!$C$42, 10.8217, 10.8217) * CHOOSE(CONTROL!$C$21, $C$9, 100%, $E$9)</f>
        <v>10.8217</v>
      </c>
      <c r="M238" s="17">
        <f>CHOOSE(CONTROL!$C$42, 9.8848, 9.8848) * CHOOSE(CONTROL!$C$21, $C$9, 100%, $E$9)</f>
        <v>9.8848000000000003</v>
      </c>
      <c r="N238" s="17">
        <f>CHOOSE(CONTROL!$C$42, 9.901, 9.901) * CHOOSE(CONTROL!$C$21, $C$9, 100%, $E$9)</f>
        <v>9.9009999999999998</v>
      </c>
      <c r="O238" s="17">
        <f>CHOOSE(CONTROL!$C$42, 10.1497, 10.1497) * CHOOSE(CONTROL!$C$21, $C$9, 100%, $E$9)</f>
        <v>10.149699999999999</v>
      </c>
      <c r="P238" s="17">
        <f>CHOOSE(CONTROL!$C$42, 9.9316, 9.9316) * CHOOSE(CONTROL!$C$21, $C$9, 100%, $E$9)</f>
        <v>9.9315999999999995</v>
      </c>
      <c r="Q238" s="17">
        <f>CHOOSE(CONTROL!$C$42, 10.7444, 10.7444) * CHOOSE(CONTROL!$C$21, $C$9, 100%, $E$9)</f>
        <v>10.744400000000001</v>
      </c>
      <c r="R238" s="17">
        <f>CHOOSE(CONTROL!$C$42, 11.3582, 11.3582) * CHOOSE(CONTROL!$C$21, $C$9, 100%, $E$9)</f>
        <v>11.3582</v>
      </c>
      <c r="S238" s="17">
        <f>CHOOSE(CONTROL!$C$42, 9.6493, 9.6493) * CHOOSE(CONTROL!$C$21, $C$9, 100%, $E$9)</f>
        <v>9.6493000000000002</v>
      </c>
      <c r="T23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38" s="56">
        <f>(1000*CHOOSE(CONTROL!$C$42, 695, 695)*CHOOSE(CONTROL!$C$42, 0.5599, 0.5599)*CHOOSE(CONTROL!$C$42, 31, 31))/1000000</f>
        <v>12.063045499999998</v>
      </c>
      <c r="V238" s="56">
        <f>(1000*CHOOSE(CONTROL!$C$42, 500, 500)*CHOOSE(CONTROL!$C$42, 0.275, 0.275)*CHOOSE(CONTROL!$C$42, 31, 31))/1000000</f>
        <v>4.2625000000000002</v>
      </c>
      <c r="W238" s="56">
        <f>(1000*CHOOSE(CONTROL!$C$42, 0.0916, 0.0916)*CHOOSE(CONTROL!$C$42, 121.5, 121.5)*CHOOSE(CONTROL!$C$42, 31, 31))/1000000</f>
        <v>0.34501139999999997</v>
      </c>
      <c r="X238" s="56">
        <f>(31*0.1790888*145000/1000000)+(31*0.2374*100000/1000000)</f>
        <v>1.5409441560000001</v>
      </c>
      <c r="Y238" s="56"/>
      <c r="Z238" s="17"/>
      <c r="AA238" s="55"/>
      <c r="AB238" s="48">
        <f>(B238*131.881+C238*277.167+D238*79.08+E238*225.872+F238*40+G238*85+H238*0+I238*100+J238*300)/(131.881+277.167+79.08+225.872+0+40+85+100+300)</f>
        <v>10.038582467312349</v>
      </c>
      <c r="AC238" s="45">
        <f>(M238*'RAP TEMPLATE-GAS AVAILABILITY'!O237+N238*'RAP TEMPLATE-GAS AVAILABILITY'!P237+O238*'RAP TEMPLATE-GAS AVAILABILITY'!Q237+P238*'RAP TEMPLATE-GAS AVAILABILITY'!R237)/('RAP TEMPLATE-GAS AVAILABILITY'!O237+'RAP TEMPLATE-GAS AVAILABILITY'!P237+'RAP TEMPLATE-GAS AVAILABILITY'!Q237+'RAP TEMPLATE-GAS AVAILABILITY'!R237)</f>
        <v>9.9695877697841713</v>
      </c>
    </row>
    <row r="239" spans="1:29" ht="15.75" x14ac:dyDescent="0.25">
      <c r="A239" s="16">
        <v>48153</v>
      </c>
      <c r="B239" s="17">
        <f>CHOOSE(CONTROL!$C$42, 10.2227, 10.2227) * CHOOSE(CONTROL!$C$21, $C$9, 100%, $E$9)</f>
        <v>10.2227</v>
      </c>
      <c r="C239" s="17">
        <f>CHOOSE(CONTROL!$C$42, 10.2278, 10.2278) * CHOOSE(CONTROL!$C$21, $C$9, 100%, $E$9)</f>
        <v>10.2278</v>
      </c>
      <c r="D239" s="17">
        <f>CHOOSE(CONTROL!$C$42, 10.3092, 10.3092) * CHOOSE(CONTROL!$C$21, $C$9, 100%, $E$9)</f>
        <v>10.309200000000001</v>
      </c>
      <c r="E239" s="17">
        <f>CHOOSE(CONTROL!$C$42, 10.3429, 10.3429) * CHOOSE(CONTROL!$C$21, $C$9, 100%, $E$9)</f>
        <v>10.3429</v>
      </c>
      <c r="F239" s="17">
        <f>CHOOSE(CONTROL!$C$42, 10.2407, 10.2407)*CHOOSE(CONTROL!$C$21, $C$9, 100%, $E$9)</f>
        <v>10.2407</v>
      </c>
      <c r="G239" s="17">
        <f>CHOOSE(CONTROL!$C$42, 10.2574, 10.2574)*CHOOSE(CONTROL!$C$21, $C$9, 100%, $E$9)</f>
        <v>10.257400000000001</v>
      </c>
      <c r="H239" s="17">
        <f>CHOOSE(CONTROL!$C$42, 10.3318, 10.3318) * CHOOSE(CONTROL!$C$21, $C$9, 100%, $E$9)</f>
        <v>10.331799999999999</v>
      </c>
      <c r="I239" s="17">
        <f>CHOOSE(CONTROL!$C$42, 10.2794, 10.2794)* CHOOSE(CONTROL!$C$21, $C$9, 100%, $E$9)</f>
        <v>10.279400000000001</v>
      </c>
      <c r="J239" s="17">
        <f>CHOOSE(CONTROL!$C$42, 10.2333, 10.2333)* CHOOSE(CONTROL!$C$21, $C$9, 100%, $E$9)</f>
        <v>10.2333</v>
      </c>
      <c r="K239" s="52">
        <f>CHOOSE(CONTROL!$C$42, 10.2734, 10.2734) * CHOOSE(CONTROL!$C$21, $C$9, 100%, $E$9)</f>
        <v>10.273400000000001</v>
      </c>
      <c r="L239" s="17">
        <f>CHOOSE(CONTROL!$C$42, 10.9188, 10.9188) * CHOOSE(CONTROL!$C$21, $C$9, 100%, $E$9)</f>
        <v>10.918799999999999</v>
      </c>
      <c r="M239" s="17">
        <f>CHOOSE(CONTROL!$C$42, 10.1483, 10.1483) * CHOOSE(CONTROL!$C$21, $C$9, 100%, $E$9)</f>
        <v>10.148300000000001</v>
      </c>
      <c r="N239" s="17">
        <f>CHOOSE(CONTROL!$C$42, 10.1648, 10.1648) * CHOOSE(CONTROL!$C$21, $C$9, 100%, $E$9)</f>
        <v>10.1648</v>
      </c>
      <c r="O239" s="17">
        <f>CHOOSE(CONTROL!$C$42, 10.2459, 10.2459) * CHOOSE(CONTROL!$C$21, $C$9, 100%, $E$9)</f>
        <v>10.245900000000001</v>
      </c>
      <c r="P239" s="17">
        <f>CHOOSE(CONTROL!$C$42, 10.1937, 10.1937) * CHOOSE(CONTROL!$C$21, $C$9, 100%, $E$9)</f>
        <v>10.1937</v>
      </c>
      <c r="Q239" s="17">
        <f>CHOOSE(CONTROL!$C$42, 10.8406, 10.8406) * CHOOSE(CONTROL!$C$21, $C$9, 100%, $E$9)</f>
        <v>10.8406</v>
      </c>
      <c r="R239" s="17">
        <f>CHOOSE(CONTROL!$C$42, 11.4547, 11.4547) * CHOOSE(CONTROL!$C$21, $C$9, 100%, $E$9)</f>
        <v>11.454700000000001</v>
      </c>
      <c r="S239" s="17">
        <f>CHOOSE(CONTROL!$C$42, 9.9035, 9.9035) * CHOOSE(CONTROL!$C$21, $C$9, 100%, $E$9)</f>
        <v>9.9034999999999993</v>
      </c>
      <c r="T23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39" s="56">
        <f>(1000*CHOOSE(CONTROL!$C$42, 695, 695)*CHOOSE(CONTROL!$C$42, 0.5599, 0.5599)*CHOOSE(CONTROL!$C$42, 30, 30))/1000000</f>
        <v>11.673914999999997</v>
      </c>
      <c r="V239" s="56">
        <f>(1000*CHOOSE(CONTROL!$C$42, 500, 500)*CHOOSE(CONTROL!$C$42, 0.275, 0.275)*CHOOSE(CONTROL!$C$42, 30, 30))/1000000</f>
        <v>4.125</v>
      </c>
      <c r="W239" s="56">
        <f>(1000*CHOOSE(CONTROL!$C$42, 0.0916, 0.0916)*CHOOSE(CONTROL!$C$42, 121.5, 121.5)*CHOOSE(CONTROL!$C$42, 30, 30))/1000000</f>
        <v>0.33388200000000001</v>
      </c>
      <c r="X239" s="56">
        <f>(30*0.2374*100000/1000000)</f>
        <v>0.71220000000000006</v>
      </c>
      <c r="Y239" s="56"/>
      <c r="Z239" s="17"/>
      <c r="AA239" s="55"/>
      <c r="AB239" s="48">
        <f>(B239*122.58+C239*297.941+D239*89.177+E239*140.302+F239*40+G239*60+H239*0+I239*100+J239*300)/(122.58+297.941+89.177+140.302+0+40+60+100+300)</f>
        <v>10.255525747826088</v>
      </c>
      <c r="AC239" s="45">
        <f>(M239*'RAP TEMPLATE-GAS AVAILABILITY'!O238+N239*'RAP TEMPLATE-GAS AVAILABILITY'!P238+O239*'RAP TEMPLATE-GAS AVAILABILITY'!Q238+P239*'RAP TEMPLATE-GAS AVAILABILITY'!R238)/('RAP TEMPLATE-GAS AVAILABILITY'!O238+'RAP TEMPLATE-GAS AVAILABILITY'!P238+'RAP TEMPLATE-GAS AVAILABILITY'!Q238+'RAP TEMPLATE-GAS AVAILABILITY'!R238)</f>
        <v>10.200017985611511</v>
      </c>
    </row>
    <row r="240" spans="1:29" ht="15.75" x14ac:dyDescent="0.25">
      <c r="A240" s="16">
        <v>48183</v>
      </c>
      <c r="B240" s="17">
        <f>CHOOSE(CONTROL!$C$42, 10.919, 10.919) * CHOOSE(CONTROL!$C$21, $C$9, 100%, $E$9)</f>
        <v>10.919</v>
      </c>
      <c r="C240" s="17">
        <f>CHOOSE(CONTROL!$C$42, 10.9241, 10.9241) * CHOOSE(CONTROL!$C$21, $C$9, 100%, $E$9)</f>
        <v>10.924099999999999</v>
      </c>
      <c r="D240" s="17">
        <f>CHOOSE(CONTROL!$C$42, 11.0055, 11.0055) * CHOOSE(CONTROL!$C$21, $C$9, 100%, $E$9)</f>
        <v>11.0055</v>
      </c>
      <c r="E240" s="17">
        <f>CHOOSE(CONTROL!$C$42, 11.0392, 11.0392) * CHOOSE(CONTROL!$C$21, $C$9, 100%, $E$9)</f>
        <v>11.039199999999999</v>
      </c>
      <c r="F240" s="17">
        <f>CHOOSE(CONTROL!$C$42, 10.9393, 10.9393)*CHOOSE(CONTROL!$C$21, $C$9, 100%, $E$9)</f>
        <v>10.939299999999999</v>
      </c>
      <c r="G240" s="17">
        <f>CHOOSE(CONTROL!$C$42, 10.9567, 10.9567)*CHOOSE(CONTROL!$C$21, $C$9, 100%, $E$9)</f>
        <v>10.9567</v>
      </c>
      <c r="H240" s="17">
        <f>CHOOSE(CONTROL!$C$42, 11.0281, 11.0281) * CHOOSE(CONTROL!$C$21, $C$9, 100%, $E$9)</f>
        <v>11.0281</v>
      </c>
      <c r="I240" s="17">
        <f>CHOOSE(CONTROL!$C$42, 10.9778, 10.9778)* CHOOSE(CONTROL!$C$21, $C$9, 100%, $E$9)</f>
        <v>10.9778</v>
      </c>
      <c r="J240" s="17">
        <f>CHOOSE(CONTROL!$C$42, 10.9319, 10.9319)* CHOOSE(CONTROL!$C$21, $C$9, 100%, $E$9)</f>
        <v>10.931900000000001</v>
      </c>
      <c r="K240" s="52">
        <f>CHOOSE(CONTROL!$C$42, 10.9718, 10.9718) * CHOOSE(CONTROL!$C$21, $C$9, 100%, $E$9)</f>
        <v>10.9718</v>
      </c>
      <c r="L240" s="17">
        <f>CHOOSE(CONTROL!$C$42, 11.6151, 11.6151) * CHOOSE(CONTROL!$C$21, $C$9, 100%, $E$9)</f>
        <v>11.6151</v>
      </c>
      <c r="M240" s="17">
        <f>CHOOSE(CONTROL!$C$42, 10.8406, 10.8406) * CHOOSE(CONTROL!$C$21, $C$9, 100%, $E$9)</f>
        <v>10.8406</v>
      </c>
      <c r="N240" s="17">
        <f>CHOOSE(CONTROL!$C$42, 10.8578, 10.8578) * CHOOSE(CONTROL!$C$21, $C$9, 100%, $E$9)</f>
        <v>10.857799999999999</v>
      </c>
      <c r="O240" s="17">
        <f>CHOOSE(CONTROL!$C$42, 10.9359, 10.9359) * CHOOSE(CONTROL!$C$21, $C$9, 100%, $E$9)</f>
        <v>10.9359</v>
      </c>
      <c r="P240" s="17">
        <f>CHOOSE(CONTROL!$C$42, 10.8859, 10.8859) * CHOOSE(CONTROL!$C$21, $C$9, 100%, $E$9)</f>
        <v>10.885899999999999</v>
      </c>
      <c r="Q240" s="17">
        <f>CHOOSE(CONTROL!$C$42, 11.5306, 11.5306) * CHOOSE(CONTROL!$C$21, $C$9, 100%, $E$9)</f>
        <v>11.5306</v>
      </c>
      <c r="R240" s="17">
        <f>CHOOSE(CONTROL!$C$42, 12.1464, 12.1464) * CHOOSE(CONTROL!$C$21, $C$9, 100%, $E$9)</f>
        <v>12.1464</v>
      </c>
      <c r="S240" s="17">
        <f>CHOOSE(CONTROL!$C$42, 10.5786, 10.5786) * CHOOSE(CONTROL!$C$21, $C$9, 100%, $E$9)</f>
        <v>10.5786</v>
      </c>
      <c r="T24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40" s="56">
        <f>(1000*CHOOSE(CONTROL!$C$42, 695, 695)*CHOOSE(CONTROL!$C$42, 0.5599, 0.5599)*CHOOSE(CONTROL!$C$42, 31, 31))/1000000</f>
        <v>12.063045499999998</v>
      </c>
      <c r="V240" s="56">
        <f>(1000*CHOOSE(CONTROL!$C$42, 500, 500)*CHOOSE(CONTROL!$C$42, 0.275, 0.275)*CHOOSE(CONTROL!$C$42, 31, 31))/1000000</f>
        <v>4.2625000000000002</v>
      </c>
      <c r="W240" s="56">
        <f>(1000*CHOOSE(CONTROL!$C$42, 0.0916, 0.0916)*CHOOSE(CONTROL!$C$42, 121.5, 121.5)*CHOOSE(CONTROL!$C$42, 31, 31))/1000000</f>
        <v>0.34501139999999997</v>
      </c>
      <c r="X240" s="56">
        <f>(31*0.2374*100000/1000000)</f>
        <v>0.73594000000000004</v>
      </c>
      <c r="Y240" s="56"/>
      <c r="Z240" s="17"/>
      <c r="AA240" s="55"/>
      <c r="AB240" s="48">
        <f>(B240*122.58+C240*297.941+D240*89.177+E240*140.302+F240*40+G240*60+H240*0+I240*100+J240*300)/(122.58+297.941+89.177+140.302+0+40+60+100+300)</f>
        <v>10.952844878260869</v>
      </c>
      <c r="AC240" s="45">
        <f>(M240*'RAP TEMPLATE-GAS AVAILABILITY'!O239+N240*'RAP TEMPLATE-GAS AVAILABILITY'!P239+O240*'RAP TEMPLATE-GAS AVAILABILITY'!Q239+P240*'RAP TEMPLATE-GAS AVAILABILITY'!R239)/('RAP TEMPLATE-GAS AVAILABILITY'!O239+'RAP TEMPLATE-GAS AVAILABILITY'!P239+'RAP TEMPLATE-GAS AVAILABILITY'!Q239+'RAP TEMPLATE-GAS AVAILABILITY'!R239)</f>
        <v>10.89130143884892</v>
      </c>
    </row>
    <row r="241" spans="1:29" ht="15.75" x14ac:dyDescent="0.25">
      <c r="A241" s="16">
        <v>48214</v>
      </c>
      <c r="B241" s="17">
        <f>CHOOSE(CONTROL!$C$42, 11.8233, 11.8233) * CHOOSE(CONTROL!$C$21, $C$9, 100%, $E$9)</f>
        <v>11.8233</v>
      </c>
      <c r="C241" s="17">
        <f>CHOOSE(CONTROL!$C$42, 11.8284, 11.8284) * CHOOSE(CONTROL!$C$21, $C$9, 100%, $E$9)</f>
        <v>11.8284</v>
      </c>
      <c r="D241" s="17">
        <f>CHOOSE(CONTROL!$C$42, 11.9252, 11.9252) * CHOOSE(CONTROL!$C$21, $C$9, 100%, $E$9)</f>
        <v>11.9252</v>
      </c>
      <c r="E241" s="17">
        <f>CHOOSE(CONTROL!$C$42, 11.959, 11.959) * CHOOSE(CONTROL!$C$21, $C$9, 100%, $E$9)</f>
        <v>11.959</v>
      </c>
      <c r="F241" s="17">
        <f>CHOOSE(CONTROL!$C$42, 11.8376, 11.8376)*CHOOSE(CONTROL!$C$21, $C$9, 100%, $E$9)</f>
        <v>11.8376</v>
      </c>
      <c r="G241" s="17">
        <f>CHOOSE(CONTROL!$C$42, 11.854, 11.854)*CHOOSE(CONTROL!$C$21, $C$9, 100%, $E$9)</f>
        <v>11.853999999999999</v>
      </c>
      <c r="H241" s="17">
        <f>CHOOSE(CONTROL!$C$42, 11.9479, 11.9479) * CHOOSE(CONTROL!$C$21, $C$9, 100%, $E$9)</f>
        <v>11.947900000000001</v>
      </c>
      <c r="I241" s="17">
        <f>CHOOSE(CONTROL!$C$42, 11.885, 11.885)* CHOOSE(CONTROL!$C$21, $C$9, 100%, $E$9)</f>
        <v>11.885</v>
      </c>
      <c r="J241" s="17">
        <f>CHOOSE(CONTROL!$C$42, 11.8302, 11.8302)* CHOOSE(CONTROL!$C$21, $C$9, 100%, $E$9)</f>
        <v>11.8302</v>
      </c>
      <c r="K241" s="52">
        <f>CHOOSE(CONTROL!$C$42, 11.8789, 11.8789) * CHOOSE(CONTROL!$C$21, $C$9, 100%, $E$9)</f>
        <v>11.8789</v>
      </c>
      <c r="L241" s="17">
        <f>CHOOSE(CONTROL!$C$42, 12.5349, 12.5349) * CHOOSE(CONTROL!$C$21, $C$9, 100%, $E$9)</f>
        <v>12.5349</v>
      </c>
      <c r="M241" s="17">
        <f>CHOOSE(CONTROL!$C$42, 11.7308, 11.7308) * CHOOSE(CONTROL!$C$21, $C$9, 100%, $E$9)</f>
        <v>11.7308</v>
      </c>
      <c r="N241" s="17">
        <f>CHOOSE(CONTROL!$C$42, 11.7471, 11.7471) * CHOOSE(CONTROL!$C$21, $C$9, 100%, $E$9)</f>
        <v>11.7471</v>
      </c>
      <c r="O241" s="17">
        <f>CHOOSE(CONTROL!$C$42, 11.8474, 11.8474) * CHOOSE(CONTROL!$C$21, $C$9, 100%, $E$9)</f>
        <v>11.8474</v>
      </c>
      <c r="P241" s="17">
        <f>CHOOSE(CONTROL!$C$42, 11.7848, 11.7848) * CHOOSE(CONTROL!$C$21, $C$9, 100%, $E$9)</f>
        <v>11.784800000000001</v>
      </c>
      <c r="Q241" s="17">
        <f>CHOOSE(CONTROL!$C$42, 12.4421, 12.4421) * CHOOSE(CONTROL!$C$21, $C$9, 100%, $E$9)</f>
        <v>12.4421</v>
      </c>
      <c r="R241" s="17">
        <f>CHOOSE(CONTROL!$C$42, 13.0602, 13.0602) * CHOOSE(CONTROL!$C$21, $C$9, 100%, $E$9)</f>
        <v>13.0602</v>
      </c>
      <c r="S241" s="17">
        <f>CHOOSE(CONTROL!$C$42, 11.4556, 11.4556) * CHOOSE(CONTROL!$C$21, $C$9, 100%, $E$9)</f>
        <v>11.4556</v>
      </c>
      <c r="T24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41" s="56">
        <f>(1000*CHOOSE(CONTROL!$C$42, 695, 695)*CHOOSE(CONTROL!$C$42, 0.5599, 0.5599)*CHOOSE(CONTROL!$C$42, 31, 31))/1000000</f>
        <v>12.063045499999998</v>
      </c>
      <c r="V241" s="56">
        <f>(1000*CHOOSE(CONTROL!$C$42, 500, 500)*CHOOSE(CONTROL!$C$42, 0.275, 0.275)*CHOOSE(CONTROL!$C$42, 31, 31))/1000000</f>
        <v>4.2625000000000002</v>
      </c>
      <c r="W241" s="56">
        <f>(1000*CHOOSE(CONTROL!$C$42, 0.0916, 0.0916)*CHOOSE(CONTROL!$C$42, 121.5, 121.5)*CHOOSE(CONTROL!$C$42, 31, 31))/1000000</f>
        <v>0.34501139999999997</v>
      </c>
      <c r="X241" s="56">
        <f>(31*0.2374*100000/1000000)</f>
        <v>0.73594000000000004</v>
      </c>
      <c r="Y241" s="56"/>
      <c r="Z241" s="17"/>
      <c r="AA241" s="55"/>
      <c r="AB241" s="48">
        <f>(B241*122.58+C241*297.941+D241*89.177+E241*140.302+F241*40+G241*60+H241*0+I241*100+J241*300)/(122.58+297.941+89.177+140.302+0+40+60+100+300)</f>
        <v>11.858343145043477</v>
      </c>
      <c r="AC241" s="45">
        <f>(M241*'RAP TEMPLATE-GAS AVAILABILITY'!O240+N241*'RAP TEMPLATE-GAS AVAILABILITY'!P240+O241*'RAP TEMPLATE-GAS AVAILABILITY'!Q240+P241*'RAP TEMPLATE-GAS AVAILABILITY'!R240)/('RAP TEMPLATE-GAS AVAILABILITY'!O240+'RAP TEMPLATE-GAS AVAILABILITY'!P240+'RAP TEMPLATE-GAS AVAILABILITY'!Q240+'RAP TEMPLATE-GAS AVAILABILITY'!R240)</f>
        <v>11.792355395683453</v>
      </c>
    </row>
    <row r="242" spans="1:29" ht="15.75" x14ac:dyDescent="0.25">
      <c r="A242" s="16">
        <v>48245</v>
      </c>
      <c r="B242" s="17">
        <f>CHOOSE(CONTROL!$C$42, 12.0336, 12.0336) * CHOOSE(CONTROL!$C$21, $C$9, 100%, $E$9)</f>
        <v>12.0336</v>
      </c>
      <c r="C242" s="17">
        <f>CHOOSE(CONTROL!$C$42, 12.0387, 12.0387) * CHOOSE(CONTROL!$C$21, $C$9, 100%, $E$9)</f>
        <v>12.0387</v>
      </c>
      <c r="D242" s="17">
        <f>CHOOSE(CONTROL!$C$42, 12.1355, 12.1355) * CHOOSE(CONTROL!$C$21, $C$9, 100%, $E$9)</f>
        <v>12.1355</v>
      </c>
      <c r="E242" s="17">
        <f>CHOOSE(CONTROL!$C$42, 12.1693, 12.1693) * CHOOSE(CONTROL!$C$21, $C$9, 100%, $E$9)</f>
        <v>12.1693</v>
      </c>
      <c r="F242" s="17">
        <f>CHOOSE(CONTROL!$C$42, 12.0479, 12.0479)*CHOOSE(CONTROL!$C$21, $C$9, 100%, $E$9)</f>
        <v>12.0479</v>
      </c>
      <c r="G242" s="17">
        <f>CHOOSE(CONTROL!$C$42, 12.0643, 12.0643)*CHOOSE(CONTROL!$C$21, $C$9, 100%, $E$9)</f>
        <v>12.064299999999999</v>
      </c>
      <c r="H242" s="17">
        <f>CHOOSE(CONTROL!$C$42, 12.1582, 12.1582) * CHOOSE(CONTROL!$C$21, $C$9, 100%, $E$9)</f>
        <v>12.158200000000001</v>
      </c>
      <c r="I242" s="17">
        <f>CHOOSE(CONTROL!$C$42, 12.0959, 12.0959)* CHOOSE(CONTROL!$C$21, $C$9, 100%, $E$9)</f>
        <v>12.0959</v>
      </c>
      <c r="J242" s="17">
        <f>CHOOSE(CONTROL!$C$42, 12.0405, 12.0405)* CHOOSE(CONTROL!$C$21, $C$9, 100%, $E$9)</f>
        <v>12.0405</v>
      </c>
      <c r="K242" s="52">
        <f>CHOOSE(CONTROL!$C$42, 12.0899, 12.0899) * CHOOSE(CONTROL!$C$21, $C$9, 100%, $E$9)</f>
        <v>12.0899</v>
      </c>
      <c r="L242" s="17">
        <f>CHOOSE(CONTROL!$C$42, 12.7452, 12.7452) * CHOOSE(CONTROL!$C$21, $C$9, 100%, $E$9)</f>
        <v>12.745200000000001</v>
      </c>
      <c r="M242" s="17">
        <f>CHOOSE(CONTROL!$C$42, 11.9392, 11.9392) * CHOOSE(CONTROL!$C$21, $C$9, 100%, $E$9)</f>
        <v>11.9392</v>
      </c>
      <c r="N242" s="17">
        <f>CHOOSE(CONTROL!$C$42, 11.9555, 11.9555) * CHOOSE(CONTROL!$C$21, $C$9, 100%, $E$9)</f>
        <v>11.955500000000001</v>
      </c>
      <c r="O242" s="17">
        <f>CHOOSE(CONTROL!$C$42, 12.0558, 12.0558) * CHOOSE(CONTROL!$C$21, $C$9, 100%, $E$9)</f>
        <v>12.0558</v>
      </c>
      <c r="P242" s="17">
        <f>CHOOSE(CONTROL!$C$42, 11.9938, 11.9938) * CHOOSE(CONTROL!$C$21, $C$9, 100%, $E$9)</f>
        <v>11.9938</v>
      </c>
      <c r="Q242" s="17">
        <f>CHOOSE(CONTROL!$C$42, 12.6505, 12.6505) * CHOOSE(CONTROL!$C$21, $C$9, 100%, $E$9)</f>
        <v>12.650499999999999</v>
      </c>
      <c r="R242" s="17">
        <f>CHOOSE(CONTROL!$C$42, 13.2692, 13.2692) * CHOOSE(CONTROL!$C$21, $C$9, 100%, $E$9)</f>
        <v>13.2692</v>
      </c>
      <c r="S242" s="17">
        <f>CHOOSE(CONTROL!$C$42, 11.6595, 11.6595) * CHOOSE(CONTROL!$C$21, $C$9, 100%, $E$9)</f>
        <v>11.6595</v>
      </c>
      <c r="T242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242" s="56">
        <f>(1000*CHOOSE(CONTROL!$C$42, 695, 695)*CHOOSE(CONTROL!$C$42, 0.5599, 0.5599)*CHOOSE(CONTROL!$C$42, 29, 29))/1000000</f>
        <v>11.284784499999999</v>
      </c>
      <c r="V242" s="56">
        <f>(1000*CHOOSE(CONTROL!$C$42, 500, 500)*CHOOSE(CONTROL!$C$42, 0.275, 0.275)*CHOOSE(CONTROL!$C$42, 29, 29))/1000000</f>
        <v>3.9874999999999998</v>
      </c>
      <c r="W242" s="56">
        <f>(1000*CHOOSE(CONTROL!$C$42, 0.0916, 0.0916)*CHOOSE(CONTROL!$C$42, 121.5, 121.5)*CHOOSE(CONTROL!$C$42, 29, 29))/1000000</f>
        <v>0.3227526</v>
      </c>
      <c r="X242" s="56">
        <f>(29*0.2374*100000/1000000)</f>
        <v>0.68845999999999996</v>
      </c>
      <c r="Y242" s="56"/>
      <c r="Z242" s="17"/>
      <c r="AA242" s="55"/>
      <c r="AB242" s="48">
        <f>(B242*122.58+C242*297.941+D242*89.177+E242*140.302+F242*40+G242*60+H242*0+I242*100+J242*300)/(122.58+297.941+89.177+140.302+0+40+60+100+300)</f>
        <v>12.068695318956522</v>
      </c>
      <c r="AC242" s="45">
        <f>(M242*'RAP TEMPLATE-GAS AVAILABILITY'!O241+N242*'RAP TEMPLATE-GAS AVAILABILITY'!P241+O242*'RAP TEMPLATE-GAS AVAILABILITY'!Q241+P242*'RAP TEMPLATE-GAS AVAILABILITY'!R241)/('RAP TEMPLATE-GAS AVAILABILITY'!O241+'RAP TEMPLATE-GAS AVAILABILITY'!P241+'RAP TEMPLATE-GAS AVAILABILITY'!Q241+'RAP TEMPLATE-GAS AVAILABILITY'!R241)</f>
        <v>12.000841726618704</v>
      </c>
    </row>
    <row r="243" spans="1:29" ht="15.75" x14ac:dyDescent="0.25">
      <c r="A243" s="16">
        <v>48274</v>
      </c>
      <c r="B243" s="17">
        <f>CHOOSE(CONTROL!$C$42, 11.6923, 11.6923) * CHOOSE(CONTROL!$C$21, $C$9, 100%, $E$9)</f>
        <v>11.692299999999999</v>
      </c>
      <c r="C243" s="17">
        <f>CHOOSE(CONTROL!$C$42, 11.6974, 11.6974) * CHOOSE(CONTROL!$C$21, $C$9, 100%, $E$9)</f>
        <v>11.6974</v>
      </c>
      <c r="D243" s="17">
        <f>CHOOSE(CONTROL!$C$42, 11.7942, 11.7942) * CHOOSE(CONTROL!$C$21, $C$9, 100%, $E$9)</f>
        <v>11.7942</v>
      </c>
      <c r="E243" s="17">
        <f>CHOOSE(CONTROL!$C$42, 11.8279, 11.8279) * CHOOSE(CONTROL!$C$21, $C$9, 100%, $E$9)</f>
        <v>11.8279</v>
      </c>
      <c r="F243" s="17">
        <f>CHOOSE(CONTROL!$C$42, 11.7059, 11.7059)*CHOOSE(CONTROL!$C$21, $C$9, 100%, $E$9)</f>
        <v>11.7059</v>
      </c>
      <c r="G243" s="17">
        <f>CHOOSE(CONTROL!$C$42, 11.7221, 11.7221)*CHOOSE(CONTROL!$C$21, $C$9, 100%, $E$9)</f>
        <v>11.722099999999999</v>
      </c>
      <c r="H243" s="17">
        <f>CHOOSE(CONTROL!$C$42, 11.8168, 11.8168) * CHOOSE(CONTROL!$C$21, $C$9, 100%, $E$9)</f>
        <v>11.816800000000001</v>
      </c>
      <c r="I243" s="17">
        <f>CHOOSE(CONTROL!$C$42, 11.7535, 11.7535)* CHOOSE(CONTROL!$C$21, $C$9, 100%, $E$9)</f>
        <v>11.753500000000001</v>
      </c>
      <c r="J243" s="17">
        <f>CHOOSE(CONTROL!$C$42, 11.6985, 11.6985)* CHOOSE(CONTROL!$C$21, $C$9, 100%, $E$9)</f>
        <v>11.698499999999999</v>
      </c>
      <c r="K243" s="52">
        <f>CHOOSE(CONTROL!$C$42, 11.7475, 11.7475) * CHOOSE(CONTROL!$C$21, $C$9, 100%, $E$9)</f>
        <v>11.7475</v>
      </c>
      <c r="L243" s="17">
        <f>CHOOSE(CONTROL!$C$42, 12.4038, 12.4038) * CHOOSE(CONTROL!$C$21, $C$9, 100%, $E$9)</f>
        <v>12.4038</v>
      </c>
      <c r="M243" s="17">
        <f>CHOOSE(CONTROL!$C$42, 11.6003, 11.6003) * CHOOSE(CONTROL!$C$21, $C$9, 100%, $E$9)</f>
        <v>11.600300000000001</v>
      </c>
      <c r="N243" s="17">
        <f>CHOOSE(CONTROL!$C$42, 11.6164, 11.6164) * CHOOSE(CONTROL!$C$21, $C$9, 100%, $E$9)</f>
        <v>11.616400000000001</v>
      </c>
      <c r="O243" s="17">
        <f>CHOOSE(CONTROL!$C$42, 11.7176, 11.7176) * CHOOSE(CONTROL!$C$21, $C$9, 100%, $E$9)</f>
        <v>11.717599999999999</v>
      </c>
      <c r="P243" s="17">
        <f>CHOOSE(CONTROL!$C$42, 11.6545, 11.6545) * CHOOSE(CONTROL!$C$21, $C$9, 100%, $E$9)</f>
        <v>11.654500000000001</v>
      </c>
      <c r="Q243" s="17">
        <f>CHOOSE(CONTROL!$C$42, 12.3123, 12.3123) * CHOOSE(CONTROL!$C$21, $C$9, 100%, $E$9)</f>
        <v>12.3123</v>
      </c>
      <c r="R243" s="17">
        <f>CHOOSE(CONTROL!$C$42, 12.93, 12.93) * CHOOSE(CONTROL!$C$21, $C$9, 100%, $E$9)</f>
        <v>12.93</v>
      </c>
      <c r="S243" s="17">
        <f>CHOOSE(CONTROL!$C$42, 11.3285, 11.3285) * CHOOSE(CONTROL!$C$21, $C$9, 100%, $E$9)</f>
        <v>11.3285</v>
      </c>
      <c r="T24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43" s="56">
        <f>(1000*CHOOSE(CONTROL!$C$42, 695, 695)*CHOOSE(CONTROL!$C$42, 0.5599, 0.5599)*CHOOSE(CONTROL!$C$42, 31, 31))/1000000</f>
        <v>12.063045499999998</v>
      </c>
      <c r="V243" s="56">
        <f>(1000*CHOOSE(CONTROL!$C$42, 500, 500)*CHOOSE(CONTROL!$C$42, 0.275, 0.275)*CHOOSE(CONTROL!$C$42, 31, 31))/1000000</f>
        <v>4.2625000000000002</v>
      </c>
      <c r="W243" s="56">
        <f>(1000*CHOOSE(CONTROL!$C$42, 0.0916, 0.0916)*CHOOSE(CONTROL!$C$42, 121.5, 121.5)*CHOOSE(CONTROL!$C$42, 31, 31))/1000000</f>
        <v>0.34501139999999997</v>
      </c>
      <c r="X243" s="56">
        <f>(31*0.2374*100000/1000000)</f>
        <v>0.73594000000000004</v>
      </c>
      <c r="Y243" s="56"/>
      <c r="Z243" s="17"/>
      <c r="AA243" s="55"/>
      <c r="AB243" s="48">
        <f>(B243*122.58+C243*297.941+D243*89.177+E243*140.302+F243*40+G243*60+H243*0+I243*100+J243*300)/(122.58+297.941+89.177+140.302+0+40+60+100+300)</f>
        <v>11.727033553565217</v>
      </c>
      <c r="AC243" s="45">
        <f>(M243*'RAP TEMPLATE-GAS AVAILABILITY'!O242+N243*'RAP TEMPLATE-GAS AVAILABILITY'!P242+O243*'RAP TEMPLATE-GAS AVAILABILITY'!Q242+P243*'RAP TEMPLATE-GAS AVAILABILITY'!R242)/('RAP TEMPLATE-GAS AVAILABILITY'!O242+'RAP TEMPLATE-GAS AVAILABILITY'!P242+'RAP TEMPLATE-GAS AVAILABILITY'!Q242+'RAP TEMPLATE-GAS AVAILABILITY'!R242)</f>
        <v>11.662189928057554</v>
      </c>
    </row>
    <row r="244" spans="1:29" ht="15.75" x14ac:dyDescent="0.25">
      <c r="A244" s="16">
        <v>48305</v>
      </c>
      <c r="B244" s="17">
        <f>CHOOSE(CONTROL!$C$42, 11.6583, 11.6583) * CHOOSE(CONTROL!$C$21, $C$9, 100%, $E$9)</f>
        <v>11.658300000000001</v>
      </c>
      <c r="C244" s="17">
        <f>CHOOSE(CONTROL!$C$42, 11.6628, 11.6628) * CHOOSE(CONTROL!$C$21, $C$9, 100%, $E$9)</f>
        <v>11.662800000000001</v>
      </c>
      <c r="D244" s="17">
        <f>CHOOSE(CONTROL!$C$42, 11.9103, 11.9103) * CHOOSE(CONTROL!$C$21, $C$9, 100%, $E$9)</f>
        <v>11.910299999999999</v>
      </c>
      <c r="E244" s="17">
        <f>CHOOSE(CONTROL!$C$42, 11.9421, 11.9421) * CHOOSE(CONTROL!$C$21, $C$9, 100%, $E$9)</f>
        <v>11.9421</v>
      </c>
      <c r="F244" s="17">
        <f>CHOOSE(CONTROL!$C$42, 11.6699, 11.6699)*CHOOSE(CONTROL!$C$21, $C$9, 100%, $E$9)</f>
        <v>11.6699</v>
      </c>
      <c r="G244" s="17">
        <f>CHOOSE(CONTROL!$C$42, 11.6859, 11.6859)*CHOOSE(CONTROL!$C$21, $C$9, 100%, $E$9)</f>
        <v>11.6859</v>
      </c>
      <c r="H244" s="17">
        <f>CHOOSE(CONTROL!$C$42, 11.9316, 11.9316) * CHOOSE(CONTROL!$C$21, $C$9, 100%, $E$9)</f>
        <v>11.9316</v>
      </c>
      <c r="I244" s="17">
        <f>CHOOSE(CONTROL!$C$42, 11.7171, 11.7171)* CHOOSE(CONTROL!$C$21, $C$9, 100%, $E$9)</f>
        <v>11.7171</v>
      </c>
      <c r="J244" s="17">
        <f>CHOOSE(CONTROL!$C$42, 11.6625, 11.6625)* CHOOSE(CONTROL!$C$21, $C$9, 100%, $E$9)</f>
        <v>11.6625</v>
      </c>
      <c r="K244" s="52">
        <f>CHOOSE(CONTROL!$C$42, 11.7111, 11.7111) * CHOOSE(CONTROL!$C$21, $C$9, 100%, $E$9)</f>
        <v>11.7111</v>
      </c>
      <c r="L244" s="17">
        <f>CHOOSE(CONTROL!$C$42, 12.5186, 12.5186) * CHOOSE(CONTROL!$C$21, $C$9, 100%, $E$9)</f>
        <v>12.518599999999999</v>
      </c>
      <c r="M244" s="17">
        <f>CHOOSE(CONTROL!$C$42, 11.5646, 11.5646) * CHOOSE(CONTROL!$C$21, $C$9, 100%, $E$9)</f>
        <v>11.5646</v>
      </c>
      <c r="N244" s="17">
        <f>CHOOSE(CONTROL!$C$42, 11.5804, 11.5804) * CHOOSE(CONTROL!$C$21, $C$9, 100%, $E$9)</f>
        <v>11.580399999999999</v>
      </c>
      <c r="O244" s="17">
        <f>CHOOSE(CONTROL!$C$42, 11.8313, 11.8313) * CHOOSE(CONTROL!$C$21, $C$9, 100%, $E$9)</f>
        <v>11.831300000000001</v>
      </c>
      <c r="P244" s="17">
        <f>CHOOSE(CONTROL!$C$42, 11.6184, 11.6184) * CHOOSE(CONTROL!$C$21, $C$9, 100%, $E$9)</f>
        <v>11.618399999999999</v>
      </c>
      <c r="Q244" s="17">
        <f>CHOOSE(CONTROL!$C$42, 12.426, 12.426) * CHOOSE(CONTROL!$C$21, $C$9, 100%, $E$9)</f>
        <v>12.426</v>
      </c>
      <c r="R244" s="17">
        <f>CHOOSE(CONTROL!$C$42, 13.0441, 13.0441) * CHOOSE(CONTROL!$C$21, $C$9, 100%, $E$9)</f>
        <v>13.0441</v>
      </c>
      <c r="S244" s="17">
        <f>CHOOSE(CONTROL!$C$42, 11.2948, 11.2948) * CHOOSE(CONTROL!$C$21, $C$9, 100%, $E$9)</f>
        <v>11.2948</v>
      </c>
      <c r="T24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44" s="56">
        <f>(1000*CHOOSE(CONTROL!$C$42, 695, 695)*CHOOSE(CONTROL!$C$42, 0.5599, 0.5599)*CHOOSE(CONTROL!$C$42, 30, 30))/1000000</f>
        <v>11.673914999999997</v>
      </c>
      <c r="V244" s="56">
        <f>(1000*CHOOSE(CONTROL!$C$42, 500, 500)*CHOOSE(CONTROL!$C$42, 0.275, 0.275)*CHOOSE(CONTROL!$C$42, 30, 30))/1000000</f>
        <v>4.125</v>
      </c>
      <c r="W244" s="56">
        <f>(1000*CHOOSE(CONTROL!$C$42, 0.0916, 0.0916)*CHOOSE(CONTROL!$C$42, 121.5, 121.5)*CHOOSE(CONTROL!$C$42, 30, 30))/1000000</f>
        <v>0.33388200000000001</v>
      </c>
      <c r="X244" s="56">
        <f>(30*0.1790888*145000/1000000)+(30*0.2374*100000/1000000)</f>
        <v>1.4912362799999999</v>
      </c>
      <c r="Y244" s="56"/>
      <c r="Z244" s="17"/>
      <c r="AA244" s="55"/>
      <c r="AB244" s="48">
        <f>(B244*141.293+C244*267.993+D244*115.016+E244*189.698+F244*40+G244*85+H244*0+I244*100+J244*300)/(141.293+267.993+115.016+189.698+0+40+85+100+300)</f>
        <v>11.734148501129944</v>
      </c>
      <c r="AC244" s="45">
        <f>(M244*'RAP TEMPLATE-GAS AVAILABILITY'!O243+N244*'RAP TEMPLATE-GAS AVAILABILITY'!P243+O244*'RAP TEMPLATE-GAS AVAILABILITY'!Q243+P244*'RAP TEMPLATE-GAS AVAILABILITY'!R243)/('RAP TEMPLATE-GAS AVAILABILITY'!O243+'RAP TEMPLATE-GAS AVAILABILITY'!P243+'RAP TEMPLATE-GAS AVAILABILITY'!Q243+'RAP TEMPLATE-GAS AVAILABILITY'!R243)</f>
        <v>11.650807913669064</v>
      </c>
    </row>
    <row r="245" spans="1:29" ht="15.75" x14ac:dyDescent="0.25">
      <c r="A245" s="16">
        <v>48335</v>
      </c>
      <c r="B245" s="17">
        <f>CHOOSE(CONTROL!$C$42, 11.7624, 11.7624) * CHOOSE(CONTROL!$C$21, $C$9, 100%, $E$9)</f>
        <v>11.7624</v>
      </c>
      <c r="C245" s="17">
        <f>CHOOSE(CONTROL!$C$42, 11.7704, 11.7704) * CHOOSE(CONTROL!$C$21, $C$9, 100%, $E$9)</f>
        <v>11.7704</v>
      </c>
      <c r="D245" s="17">
        <f>CHOOSE(CONTROL!$C$42, 12.0149, 12.0149) * CHOOSE(CONTROL!$C$21, $C$9, 100%, $E$9)</f>
        <v>12.014900000000001</v>
      </c>
      <c r="E245" s="17">
        <f>CHOOSE(CONTROL!$C$42, 12.0461, 12.0461) * CHOOSE(CONTROL!$C$21, $C$9, 100%, $E$9)</f>
        <v>12.046099999999999</v>
      </c>
      <c r="F245" s="17">
        <f>CHOOSE(CONTROL!$C$42, 11.773, 11.773)*CHOOSE(CONTROL!$C$21, $C$9, 100%, $E$9)</f>
        <v>11.773</v>
      </c>
      <c r="G245" s="17">
        <f>CHOOSE(CONTROL!$C$42, 11.7892, 11.7892)*CHOOSE(CONTROL!$C$21, $C$9, 100%, $E$9)</f>
        <v>11.789199999999999</v>
      </c>
      <c r="H245" s="17">
        <f>CHOOSE(CONTROL!$C$42, 12.0344, 12.0344) * CHOOSE(CONTROL!$C$21, $C$9, 100%, $E$9)</f>
        <v>12.0344</v>
      </c>
      <c r="I245" s="17">
        <f>CHOOSE(CONTROL!$C$42, 11.8202, 11.8202)* CHOOSE(CONTROL!$C$21, $C$9, 100%, $E$9)</f>
        <v>11.8202</v>
      </c>
      <c r="J245" s="17">
        <f>CHOOSE(CONTROL!$C$42, 11.7656, 11.7656)* CHOOSE(CONTROL!$C$21, $C$9, 100%, $E$9)</f>
        <v>11.765599999999999</v>
      </c>
      <c r="K245" s="52">
        <f>CHOOSE(CONTROL!$C$42, 11.8142, 11.8142) * CHOOSE(CONTROL!$C$21, $C$9, 100%, $E$9)</f>
        <v>11.8142</v>
      </c>
      <c r="L245" s="17">
        <f>CHOOSE(CONTROL!$C$42, 12.6214, 12.6214) * CHOOSE(CONTROL!$C$21, $C$9, 100%, $E$9)</f>
        <v>12.6214</v>
      </c>
      <c r="M245" s="17">
        <f>CHOOSE(CONTROL!$C$42, 11.6668, 11.6668) * CHOOSE(CONTROL!$C$21, $C$9, 100%, $E$9)</f>
        <v>11.6668</v>
      </c>
      <c r="N245" s="17">
        <f>CHOOSE(CONTROL!$C$42, 11.6829, 11.6829) * CHOOSE(CONTROL!$C$21, $C$9, 100%, $E$9)</f>
        <v>11.6829</v>
      </c>
      <c r="O245" s="17">
        <f>CHOOSE(CONTROL!$C$42, 11.9332, 11.9332) * CHOOSE(CONTROL!$C$21, $C$9, 100%, $E$9)</f>
        <v>11.933199999999999</v>
      </c>
      <c r="P245" s="17">
        <f>CHOOSE(CONTROL!$C$42, 11.7206, 11.7206) * CHOOSE(CONTROL!$C$21, $C$9, 100%, $E$9)</f>
        <v>11.720599999999999</v>
      </c>
      <c r="Q245" s="17">
        <f>CHOOSE(CONTROL!$C$42, 12.5279, 12.5279) * CHOOSE(CONTROL!$C$21, $C$9, 100%, $E$9)</f>
        <v>12.527900000000001</v>
      </c>
      <c r="R245" s="17">
        <f>CHOOSE(CONTROL!$C$42, 13.1462, 13.1462) * CHOOSE(CONTROL!$C$21, $C$9, 100%, $E$9)</f>
        <v>13.1462</v>
      </c>
      <c r="S245" s="17">
        <f>CHOOSE(CONTROL!$C$42, 11.3945, 11.3945) * CHOOSE(CONTROL!$C$21, $C$9, 100%, $E$9)</f>
        <v>11.394500000000001</v>
      </c>
      <c r="T24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45" s="56">
        <f>(1000*CHOOSE(CONTROL!$C$42, 695, 695)*CHOOSE(CONTROL!$C$42, 0.5599, 0.5599)*CHOOSE(CONTROL!$C$42, 31, 31))/1000000</f>
        <v>12.063045499999998</v>
      </c>
      <c r="V245" s="56">
        <f>(1000*CHOOSE(CONTROL!$C$42, 500, 500)*CHOOSE(CONTROL!$C$42, 0.275, 0.275)*CHOOSE(CONTROL!$C$42, 31, 31))/1000000</f>
        <v>4.2625000000000002</v>
      </c>
      <c r="W245" s="56">
        <f>(1000*CHOOSE(CONTROL!$C$42, 0.0916, 0.0916)*CHOOSE(CONTROL!$C$42, 121.5, 121.5)*CHOOSE(CONTROL!$C$42, 31, 31))/1000000</f>
        <v>0.34501139999999997</v>
      </c>
      <c r="X245" s="56">
        <f>(31*0.1790888*145000/1000000)+(31*0.2374*100000/1000000)</f>
        <v>1.5409441560000001</v>
      </c>
      <c r="Y245" s="56"/>
      <c r="Z245" s="17"/>
      <c r="AA245" s="55"/>
      <c r="AB245" s="48">
        <f>(B245*194.205+C245*267.466+D245*133.845+E245*153.484+F245*40+G245*85+H245*0+I245*100+J245*300)/(194.205+267.466+133.845+153.484+0+40+85+100+300)</f>
        <v>11.832196704317113</v>
      </c>
      <c r="AC245" s="45">
        <f>(M245*'RAP TEMPLATE-GAS AVAILABILITY'!O244+N245*'RAP TEMPLATE-GAS AVAILABILITY'!P244+O245*'RAP TEMPLATE-GAS AVAILABILITY'!Q244+P245*'RAP TEMPLATE-GAS AVAILABILITY'!R244)/('RAP TEMPLATE-GAS AVAILABILITY'!O244+'RAP TEMPLATE-GAS AVAILABILITY'!P244+'RAP TEMPLATE-GAS AVAILABILITY'!Q244+'RAP TEMPLATE-GAS AVAILABILITY'!R244)</f>
        <v>11.752992805755396</v>
      </c>
    </row>
    <row r="246" spans="1:29" ht="15.75" x14ac:dyDescent="0.25">
      <c r="A246" s="16">
        <v>48366</v>
      </c>
      <c r="B246" s="17">
        <f>CHOOSE(CONTROL!$C$42, 12.0957, 12.0957) * CHOOSE(CONTROL!$C$21, $C$9, 100%, $E$9)</f>
        <v>12.095700000000001</v>
      </c>
      <c r="C246" s="17">
        <f>CHOOSE(CONTROL!$C$42, 12.1037, 12.1037) * CHOOSE(CONTROL!$C$21, $C$9, 100%, $E$9)</f>
        <v>12.1037</v>
      </c>
      <c r="D246" s="17">
        <f>CHOOSE(CONTROL!$C$42, 12.3482, 12.3482) * CHOOSE(CONTROL!$C$21, $C$9, 100%, $E$9)</f>
        <v>12.3482</v>
      </c>
      <c r="E246" s="17">
        <f>CHOOSE(CONTROL!$C$42, 12.3794, 12.3794) * CHOOSE(CONTROL!$C$21, $C$9, 100%, $E$9)</f>
        <v>12.3794</v>
      </c>
      <c r="F246" s="17">
        <f>CHOOSE(CONTROL!$C$42, 12.1066, 12.1066)*CHOOSE(CONTROL!$C$21, $C$9, 100%, $E$9)</f>
        <v>12.1066</v>
      </c>
      <c r="G246" s="17">
        <f>CHOOSE(CONTROL!$C$42, 12.1229, 12.1229)*CHOOSE(CONTROL!$C$21, $C$9, 100%, $E$9)</f>
        <v>12.1229</v>
      </c>
      <c r="H246" s="17">
        <f>CHOOSE(CONTROL!$C$42, 12.3677, 12.3677) * CHOOSE(CONTROL!$C$21, $C$9, 100%, $E$9)</f>
        <v>12.367699999999999</v>
      </c>
      <c r="I246" s="17">
        <f>CHOOSE(CONTROL!$C$42, 12.1545, 12.1545)* CHOOSE(CONTROL!$C$21, $C$9, 100%, $E$9)</f>
        <v>12.154500000000001</v>
      </c>
      <c r="J246" s="17">
        <f>CHOOSE(CONTROL!$C$42, 12.0992, 12.0992)* CHOOSE(CONTROL!$C$21, $C$9, 100%, $E$9)</f>
        <v>12.0992</v>
      </c>
      <c r="K246" s="52">
        <f>CHOOSE(CONTROL!$C$42, 12.1485, 12.1485) * CHOOSE(CONTROL!$C$21, $C$9, 100%, $E$9)</f>
        <v>12.1485</v>
      </c>
      <c r="L246" s="17">
        <f>CHOOSE(CONTROL!$C$42, 12.9547, 12.9547) * CHOOSE(CONTROL!$C$21, $C$9, 100%, $E$9)</f>
        <v>12.954700000000001</v>
      </c>
      <c r="M246" s="17">
        <f>CHOOSE(CONTROL!$C$42, 11.9974, 11.9974) * CHOOSE(CONTROL!$C$21, $C$9, 100%, $E$9)</f>
        <v>11.997400000000001</v>
      </c>
      <c r="N246" s="17">
        <f>CHOOSE(CONTROL!$C$42, 12.0136, 12.0136) * CHOOSE(CONTROL!$C$21, $C$9, 100%, $E$9)</f>
        <v>12.0136</v>
      </c>
      <c r="O246" s="17">
        <f>CHOOSE(CONTROL!$C$42, 12.2635, 12.2635) * CHOOSE(CONTROL!$C$21, $C$9, 100%, $E$9)</f>
        <v>12.263500000000001</v>
      </c>
      <c r="P246" s="17">
        <f>CHOOSE(CONTROL!$C$42, 12.0519, 12.0519) * CHOOSE(CONTROL!$C$21, $C$9, 100%, $E$9)</f>
        <v>12.0519</v>
      </c>
      <c r="Q246" s="17">
        <f>CHOOSE(CONTROL!$C$42, 12.8582, 12.8582) * CHOOSE(CONTROL!$C$21, $C$9, 100%, $E$9)</f>
        <v>12.8582</v>
      </c>
      <c r="R246" s="17">
        <f>CHOOSE(CONTROL!$C$42, 13.4773, 13.4773) * CHOOSE(CONTROL!$C$21, $C$9, 100%, $E$9)</f>
        <v>13.4773</v>
      </c>
      <c r="S246" s="17">
        <f>CHOOSE(CONTROL!$C$42, 11.7177, 11.7177) * CHOOSE(CONTROL!$C$21, $C$9, 100%, $E$9)</f>
        <v>11.717700000000001</v>
      </c>
      <c r="T24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46" s="56">
        <f>(1000*CHOOSE(CONTROL!$C$42, 695, 695)*CHOOSE(CONTROL!$C$42, 0.5599, 0.5599)*CHOOSE(CONTROL!$C$42, 30, 30))/1000000</f>
        <v>11.673914999999997</v>
      </c>
      <c r="V246" s="56">
        <f>(1000*CHOOSE(CONTROL!$C$42, 500, 500)*CHOOSE(CONTROL!$C$42, 0.275, 0.275)*CHOOSE(CONTROL!$C$42, 30, 30))/1000000</f>
        <v>4.125</v>
      </c>
      <c r="W246" s="56">
        <f>(1000*CHOOSE(CONTROL!$C$42, 0.0916, 0.0916)*CHOOSE(CONTROL!$C$42, 121.5, 121.5)*CHOOSE(CONTROL!$C$42, 30, 30))/1000000</f>
        <v>0.33388200000000001</v>
      </c>
      <c r="X246" s="56">
        <f>(30*0.1790888*145000/1000000)+(30*0.2374*100000/1000000)</f>
        <v>1.4912362799999999</v>
      </c>
      <c r="Y246" s="56"/>
      <c r="Z246" s="17"/>
      <c r="AA246" s="55"/>
      <c r="AB246" s="48">
        <f>(B246*194.205+C246*267.466+D246*133.845+E246*153.484+F246*40+G246*85+H246*0+I246*100+J246*300)/(194.205+267.466+133.845+153.484+0+40+85+100+300)</f>
        <v>12.165681947645211</v>
      </c>
      <c r="AC246" s="45">
        <f>(M246*'RAP TEMPLATE-GAS AVAILABILITY'!O245+N246*'RAP TEMPLATE-GAS AVAILABILITY'!P245+O246*'RAP TEMPLATE-GAS AVAILABILITY'!Q245+P246*'RAP TEMPLATE-GAS AVAILABILITY'!R245)/('RAP TEMPLATE-GAS AVAILABILITY'!O245+'RAP TEMPLATE-GAS AVAILABILITY'!P245+'RAP TEMPLATE-GAS AVAILABILITY'!Q245+'RAP TEMPLATE-GAS AVAILABILITY'!R245)</f>
        <v>12.08363237410072</v>
      </c>
    </row>
    <row r="247" spans="1:29" ht="15.75" x14ac:dyDescent="0.25">
      <c r="A247" s="16">
        <v>48396</v>
      </c>
      <c r="B247" s="17">
        <f>CHOOSE(CONTROL!$C$42, 11.8639, 11.8639) * CHOOSE(CONTROL!$C$21, $C$9, 100%, $E$9)</f>
        <v>11.863899999999999</v>
      </c>
      <c r="C247" s="17">
        <f>CHOOSE(CONTROL!$C$42, 11.8719, 11.8719) * CHOOSE(CONTROL!$C$21, $C$9, 100%, $E$9)</f>
        <v>11.8719</v>
      </c>
      <c r="D247" s="17">
        <f>CHOOSE(CONTROL!$C$42, 12.1164, 12.1164) * CHOOSE(CONTROL!$C$21, $C$9, 100%, $E$9)</f>
        <v>12.116400000000001</v>
      </c>
      <c r="E247" s="17">
        <f>CHOOSE(CONTROL!$C$42, 12.1476, 12.1476) * CHOOSE(CONTROL!$C$21, $C$9, 100%, $E$9)</f>
        <v>12.147600000000001</v>
      </c>
      <c r="F247" s="17">
        <f>CHOOSE(CONTROL!$C$42, 11.8753, 11.8753)*CHOOSE(CONTROL!$C$21, $C$9, 100%, $E$9)</f>
        <v>11.875299999999999</v>
      </c>
      <c r="G247" s="17">
        <f>CHOOSE(CONTROL!$C$42, 11.8917, 11.8917)*CHOOSE(CONTROL!$C$21, $C$9, 100%, $E$9)</f>
        <v>11.8917</v>
      </c>
      <c r="H247" s="17">
        <f>CHOOSE(CONTROL!$C$42, 12.1359, 12.1359) * CHOOSE(CONTROL!$C$21, $C$9, 100%, $E$9)</f>
        <v>12.135899999999999</v>
      </c>
      <c r="I247" s="17">
        <f>CHOOSE(CONTROL!$C$42, 11.922, 11.922)* CHOOSE(CONTROL!$C$21, $C$9, 100%, $E$9)</f>
        <v>11.922000000000001</v>
      </c>
      <c r="J247" s="17">
        <f>CHOOSE(CONTROL!$C$42, 11.8679, 11.8679)* CHOOSE(CONTROL!$C$21, $C$9, 100%, $E$9)</f>
        <v>11.867900000000001</v>
      </c>
      <c r="K247" s="52">
        <f>CHOOSE(CONTROL!$C$42, 11.916, 11.916) * CHOOSE(CONTROL!$C$21, $C$9, 100%, $E$9)</f>
        <v>11.916</v>
      </c>
      <c r="L247" s="17">
        <f>CHOOSE(CONTROL!$C$42, 12.7229, 12.7229) * CHOOSE(CONTROL!$C$21, $C$9, 100%, $E$9)</f>
        <v>12.722899999999999</v>
      </c>
      <c r="M247" s="17">
        <f>CHOOSE(CONTROL!$C$42, 11.7681, 11.7681) * CHOOSE(CONTROL!$C$21, $C$9, 100%, $E$9)</f>
        <v>11.7681</v>
      </c>
      <c r="N247" s="17">
        <f>CHOOSE(CONTROL!$C$42, 11.7844, 11.7844) * CHOOSE(CONTROL!$C$21, $C$9, 100%, $E$9)</f>
        <v>11.7844</v>
      </c>
      <c r="O247" s="17">
        <f>CHOOSE(CONTROL!$C$42, 12.0337, 12.0337) * CHOOSE(CONTROL!$C$21, $C$9, 100%, $E$9)</f>
        <v>12.0337</v>
      </c>
      <c r="P247" s="17">
        <f>CHOOSE(CONTROL!$C$42, 11.8215, 11.8215) * CHOOSE(CONTROL!$C$21, $C$9, 100%, $E$9)</f>
        <v>11.8215</v>
      </c>
      <c r="Q247" s="17">
        <f>CHOOSE(CONTROL!$C$42, 12.6284, 12.6284) * CHOOSE(CONTROL!$C$21, $C$9, 100%, $E$9)</f>
        <v>12.628399999999999</v>
      </c>
      <c r="R247" s="17">
        <f>CHOOSE(CONTROL!$C$42, 13.247, 13.247) * CHOOSE(CONTROL!$C$21, $C$9, 100%, $E$9)</f>
        <v>13.247</v>
      </c>
      <c r="S247" s="17">
        <f>CHOOSE(CONTROL!$C$42, 11.4929, 11.4929) * CHOOSE(CONTROL!$C$21, $C$9, 100%, $E$9)</f>
        <v>11.492900000000001</v>
      </c>
      <c r="T24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47" s="56">
        <f>(1000*CHOOSE(CONTROL!$C$42, 695, 695)*CHOOSE(CONTROL!$C$42, 0.5599, 0.5599)*CHOOSE(CONTROL!$C$42, 31, 31))/1000000</f>
        <v>12.063045499999998</v>
      </c>
      <c r="V247" s="56">
        <f>(1000*CHOOSE(CONTROL!$C$42, 500, 500)*CHOOSE(CONTROL!$C$42, 0.275, 0.275)*CHOOSE(CONTROL!$C$42, 31, 31))/1000000</f>
        <v>4.2625000000000002</v>
      </c>
      <c r="W247" s="56">
        <f>(1000*CHOOSE(CONTROL!$C$42, 0.0916, 0.0916)*CHOOSE(CONTROL!$C$42, 121.5, 121.5)*CHOOSE(CONTROL!$C$42, 31, 31))/1000000</f>
        <v>0.34501139999999997</v>
      </c>
      <c r="X247" s="56">
        <f>(31*0.1790888*145000/1000000)+(31*0.2374*100000/1000000)</f>
        <v>1.5409441560000001</v>
      </c>
      <c r="Y247" s="56"/>
      <c r="Z247" s="17"/>
      <c r="AA247" s="55"/>
      <c r="AB247" s="48">
        <f>(B247*194.205+C247*267.466+D247*133.845+E247*153.484+F247*40+G247*85+H247*0+I247*100+J247*300)/(194.205+267.466+133.845+153.484+0+40+85+100+300)</f>
        <v>11.934000471978024</v>
      </c>
      <c r="AC247" s="45">
        <f>(M247*'RAP TEMPLATE-GAS AVAILABILITY'!O246+N247*'RAP TEMPLATE-GAS AVAILABILITY'!P246+O247*'RAP TEMPLATE-GAS AVAILABILITY'!Q246+P247*'RAP TEMPLATE-GAS AVAILABILITY'!R246)/('RAP TEMPLATE-GAS AVAILABILITY'!O246+'RAP TEMPLATE-GAS AVAILABILITY'!P246+'RAP TEMPLATE-GAS AVAILABILITY'!Q246+'RAP TEMPLATE-GAS AVAILABILITY'!R246)</f>
        <v>11.854056834532374</v>
      </c>
    </row>
    <row r="248" spans="1:29" ht="15.75" x14ac:dyDescent="0.25">
      <c r="A248" s="16">
        <v>48427</v>
      </c>
      <c r="B248" s="17">
        <f>CHOOSE(CONTROL!$C$42, 11.2785, 11.2785) * CHOOSE(CONTROL!$C$21, $C$9, 100%, $E$9)</f>
        <v>11.278499999999999</v>
      </c>
      <c r="C248" s="17">
        <f>CHOOSE(CONTROL!$C$42, 11.2865, 11.2865) * CHOOSE(CONTROL!$C$21, $C$9, 100%, $E$9)</f>
        <v>11.2865</v>
      </c>
      <c r="D248" s="17">
        <f>CHOOSE(CONTROL!$C$42, 11.531, 11.531) * CHOOSE(CONTROL!$C$21, $C$9, 100%, $E$9)</f>
        <v>11.531000000000001</v>
      </c>
      <c r="E248" s="17">
        <f>CHOOSE(CONTROL!$C$42, 11.5622, 11.5622) * CHOOSE(CONTROL!$C$21, $C$9, 100%, $E$9)</f>
        <v>11.562200000000001</v>
      </c>
      <c r="F248" s="17">
        <f>CHOOSE(CONTROL!$C$42, 11.2901, 11.2901)*CHOOSE(CONTROL!$C$21, $C$9, 100%, $E$9)</f>
        <v>11.290100000000001</v>
      </c>
      <c r="G248" s="17">
        <f>CHOOSE(CONTROL!$C$42, 11.3066, 11.3066)*CHOOSE(CONTROL!$C$21, $C$9, 100%, $E$9)</f>
        <v>11.3066</v>
      </c>
      <c r="H248" s="17">
        <f>CHOOSE(CONTROL!$C$42, 11.5505, 11.5505) * CHOOSE(CONTROL!$C$21, $C$9, 100%, $E$9)</f>
        <v>11.5505</v>
      </c>
      <c r="I248" s="17">
        <f>CHOOSE(CONTROL!$C$42, 11.3348, 11.3348)* CHOOSE(CONTROL!$C$21, $C$9, 100%, $E$9)</f>
        <v>11.3348</v>
      </c>
      <c r="J248" s="17">
        <f>CHOOSE(CONTROL!$C$42, 11.2827, 11.2827)* CHOOSE(CONTROL!$C$21, $C$9, 100%, $E$9)</f>
        <v>11.2827</v>
      </c>
      <c r="K248" s="52">
        <f>CHOOSE(CONTROL!$C$42, 11.3288, 11.3288) * CHOOSE(CONTROL!$C$21, $C$9, 100%, $E$9)</f>
        <v>11.328799999999999</v>
      </c>
      <c r="L248" s="17">
        <f>CHOOSE(CONTROL!$C$42, 12.1375, 12.1375) * CHOOSE(CONTROL!$C$21, $C$9, 100%, $E$9)</f>
        <v>12.137499999999999</v>
      </c>
      <c r="M248" s="17">
        <f>CHOOSE(CONTROL!$C$42, 11.1882, 11.1882) * CHOOSE(CONTROL!$C$21, $C$9, 100%, $E$9)</f>
        <v>11.1882</v>
      </c>
      <c r="N248" s="17">
        <f>CHOOSE(CONTROL!$C$42, 11.2046, 11.2046) * CHOOSE(CONTROL!$C$21, $C$9, 100%, $E$9)</f>
        <v>11.204599999999999</v>
      </c>
      <c r="O248" s="17">
        <f>CHOOSE(CONTROL!$C$42, 11.4536, 11.4536) * CHOOSE(CONTROL!$C$21, $C$9, 100%, $E$9)</f>
        <v>11.4536</v>
      </c>
      <c r="P248" s="17">
        <f>CHOOSE(CONTROL!$C$42, 11.2396, 11.2396) * CHOOSE(CONTROL!$C$21, $C$9, 100%, $E$9)</f>
        <v>11.239599999999999</v>
      </c>
      <c r="Q248" s="17">
        <f>CHOOSE(CONTROL!$C$42, 12.0483, 12.0483) * CHOOSE(CONTROL!$C$21, $C$9, 100%, $E$9)</f>
        <v>12.048299999999999</v>
      </c>
      <c r="R248" s="17">
        <f>CHOOSE(CONTROL!$C$42, 12.6654, 12.6654) * CHOOSE(CONTROL!$C$21, $C$9, 100%, $E$9)</f>
        <v>12.6654</v>
      </c>
      <c r="S248" s="17">
        <f>CHOOSE(CONTROL!$C$42, 10.9252, 10.9252) * CHOOSE(CONTROL!$C$21, $C$9, 100%, $E$9)</f>
        <v>10.9252</v>
      </c>
      <c r="T24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48" s="56">
        <f>(1000*CHOOSE(CONTROL!$C$42, 695, 695)*CHOOSE(CONTROL!$C$42, 0.5599, 0.5599)*CHOOSE(CONTROL!$C$42, 31, 31))/1000000</f>
        <v>12.063045499999998</v>
      </c>
      <c r="V248" s="56">
        <f>(1000*CHOOSE(CONTROL!$C$42, 500, 500)*CHOOSE(CONTROL!$C$42, 0.275, 0.275)*CHOOSE(CONTROL!$C$42, 31, 31))/1000000</f>
        <v>4.2625000000000002</v>
      </c>
      <c r="W248" s="56">
        <f>(1000*CHOOSE(CONTROL!$C$42, 0.0916, 0.0916)*CHOOSE(CONTROL!$C$42, 121.5, 121.5)*CHOOSE(CONTROL!$C$42, 31, 31))/1000000</f>
        <v>0.34501139999999997</v>
      </c>
      <c r="X248" s="56">
        <f>(31*0.1790888*145000/1000000)+(31*0.2374*100000/1000000)</f>
        <v>1.5409441560000001</v>
      </c>
      <c r="Y248" s="56"/>
      <c r="Z248" s="17"/>
      <c r="AA248" s="55"/>
      <c r="AB248" s="48">
        <f>(B248*194.205+C248*267.466+D248*133.845+E248*153.484+F248*40+G248*85+H248*0+I248*100+J248*300)/(194.205+267.466+133.845+153.484+0+40+85+100+300)</f>
        <v>11.348532575588695</v>
      </c>
      <c r="AC248" s="45">
        <f>(M248*'RAP TEMPLATE-GAS AVAILABILITY'!O247+N248*'RAP TEMPLATE-GAS AVAILABILITY'!P247+O248*'RAP TEMPLATE-GAS AVAILABILITY'!Q247+P248*'RAP TEMPLATE-GAS AVAILABILITY'!R247)/('RAP TEMPLATE-GAS AVAILABILITY'!O247+'RAP TEMPLATE-GAS AVAILABILITY'!P247+'RAP TEMPLATE-GAS AVAILABILITY'!Q247+'RAP TEMPLATE-GAS AVAILABILITY'!R247)</f>
        <v>11.273835971223022</v>
      </c>
    </row>
    <row r="249" spans="1:29" ht="15.75" x14ac:dyDescent="0.25">
      <c r="A249" s="16">
        <v>48458</v>
      </c>
      <c r="B249" s="17">
        <f>CHOOSE(CONTROL!$C$42, 10.5631, 10.5631) * CHOOSE(CONTROL!$C$21, $C$9, 100%, $E$9)</f>
        <v>10.5631</v>
      </c>
      <c r="C249" s="17">
        <f>CHOOSE(CONTROL!$C$42, 10.5711, 10.5711) * CHOOSE(CONTROL!$C$21, $C$9, 100%, $E$9)</f>
        <v>10.571099999999999</v>
      </c>
      <c r="D249" s="17">
        <f>CHOOSE(CONTROL!$C$42, 10.8155, 10.8155) * CHOOSE(CONTROL!$C$21, $C$9, 100%, $E$9)</f>
        <v>10.8155</v>
      </c>
      <c r="E249" s="17">
        <f>CHOOSE(CONTROL!$C$42, 10.8467, 10.8467) * CHOOSE(CONTROL!$C$21, $C$9, 100%, $E$9)</f>
        <v>10.8467</v>
      </c>
      <c r="F249" s="17">
        <f>CHOOSE(CONTROL!$C$42, 10.5747, 10.5747)*CHOOSE(CONTROL!$C$21, $C$9, 100%, $E$9)</f>
        <v>10.5747</v>
      </c>
      <c r="G249" s="17">
        <f>CHOOSE(CONTROL!$C$42, 10.5912, 10.5912)*CHOOSE(CONTROL!$C$21, $C$9, 100%, $E$9)</f>
        <v>10.591200000000001</v>
      </c>
      <c r="H249" s="17">
        <f>CHOOSE(CONTROL!$C$42, 10.835, 10.835) * CHOOSE(CONTROL!$C$21, $C$9, 100%, $E$9)</f>
        <v>10.835000000000001</v>
      </c>
      <c r="I249" s="17">
        <f>CHOOSE(CONTROL!$C$42, 10.6171, 10.6171)* CHOOSE(CONTROL!$C$21, $C$9, 100%, $E$9)</f>
        <v>10.617100000000001</v>
      </c>
      <c r="J249" s="17">
        <f>CHOOSE(CONTROL!$C$42, 10.5673, 10.5673)* CHOOSE(CONTROL!$C$21, $C$9, 100%, $E$9)</f>
        <v>10.567299999999999</v>
      </c>
      <c r="K249" s="52">
        <f>CHOOSE(CONTROL!$C$42, 10.6111, 10.6111) * CHOOSE(CONTROL!$C$21, $C$9, 100%, $E$9)</f>
        <v>10.6111</v>
      </c>
      <c r="L249" s="17">
        <f>CHOOSE(CONTROL!$C$42, 11.422, 11.422) * CHOOSE(CONTROL!$C$21, $C$9, 100%, $E$9)</f>
        <v>11.422000000000001</v>
      </c>
      <c r="M249" s="17">
        <f>CHOOSE(CONTROL!$C$42, 10.4793, 10.4793) * CHOOSE(CONTROL!$C$21, $C$9, 100%, $E$9)</f>
        <v>10.4793</v>
      </c>
      <c r="N249" s="17">
        <f>CHOOSE(CONTROL!$C$42, 10.4956, 10.4956) * CHOOSE(CONTROL!$C$21, $C$9, 100%, $E$9)</f>
        <v>10.4956</v>
      </c>
      <c r="O249" s="17">
        <f>CHOOSE(CONTROL!$C$42, 10.7446, 10.7446) * CHOOSE(CONTROL!$C$21, $C$9, 100%, $E$9)</f>
        <v>10.7446</v>
      </c>
      <c r="P249" s="17">
        <f>CHOOSE(CONTROL!$C$42, 10.5284, 10.5284) * CHOOSE(CONTROL!$C$21, $C$9, 100%, $E$9)</f>
        <v>10.5284</v>
      </c>
      <c r="Q249" s="17">
        <f>CHOOSE(CONTROL!$C$42, 11.3393, 11.3393) * CHOOSE(CONTROL!$C$21, $C$9, 100%, $E$9)</f>
        <v>11.3393</v>
      </c>
      <c r="R249" s="17">
        <f>CHOOSE(CONTROL!$C$42, 11.9546, 11.9546) * CHOOSE(CONTROL!$C$21, $C$9, 100%, $E$9)</f>
        <v>11.954599999999999</v>
      </c>
      <c r="S249" s="17">
        <f>CHOOSE(CONTROL!$C$42, 10.2314, 10.2314) * CHOOSE(CONTROL!$C$21, $C$9, 100%, $E$9)</f>
        <v>10.231400000000001</v>
      </c>
      <c r="T24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49" s="56">
        <f>(1000*CHOOSE(CONTROL!$C$42, 695, 695)*CHOOSE(CONTROL!$C$42, 0.5599, 0.5599)*CHOOSE(CONTROL!$C$42, 30, 30))/1000000</f>
        <v>11.673914999999997</v>
      </c>
      <c r="V249" s="56">
        <f>(1000*CHOOSE(CONTROL!$C$42, 500, 500)*CHOOSE(CONTROL!$C$42, 0.275, 0.275)*CHOOSE(CONTROL!$C$42, 30, 30))/1000000</f>
        <v>4.125</v>
      </c>
      <c r="W249" s="56">
        <f>(1000*CHOOSE(CONTROL!$C$42, 0.0916, 0.0916)*CHOOSE(CONTROL!$C$42, 121.5, 121.5)*CHOOSE(CONTROL!$C$42, 30, 30))/1000000</f>
        <v>0.33388200000000001</v>
      </c>
      <c r="X249" s="56">
        <f>(30*0.1790888*145000/1000000)+(30*0.2374*100000/1000000)</f>
        <v>1.4912362799999999</v>
      </c>
      <c r="Y249" s="56"/>
      <c r="Z249" s="17"/>
      <c r="AA249" s="55"/>
      <c r="AB249" s="48">
        <f>(B249*194.205+C249*267.466+D249*133.845+E249*153.484+F249*40+G249*85+H249*0+I249*100+J249*300)/(194.205+267.466+133.845+153.484+0+40+85+100+300)</f>
        <v>10.632929488540034</v>
      </c>
      <c r="AC249" s="45">
        <f>(M249*'RAP TEMPLATE-GAS AVAILABILITY'!O248+N249*'RAP TEMPLATE-GAS AVAILABILITY'!P248+O249*'RAP TEMPLATE-GAS AVAILABILITY'!Q248+P249*'RAP TEMPLATE-GAS AVAILABILITY'!R248)/('RAP TEMPLATE-GAS AVAILABILITY'!O248+'RAP TEMPLATE-GAS AVAILABILITY'!P248+'RAP TEMPLATE-GAS AVAILABILITY'!Q248+'RAP TEMPLATE-GAS AVAILABILITY'!R248)</f>
        <v>10.564553956834532</v>
      </c>
    </row>
    <row r="250" spans="1:29" ht="15.75" x14ac:dyDescent="0.25">
      <c r="A250" s="16">
        <v>48488</v>
      </c>
      <c r="B250" s="17">
        <f>CHOOSE(CONTROL!$C$42, 10.3471, 10.3471) * CHOOSE(CONTROL!$C$21, $C$9, 100%, $E$9)</f>
        <v>10.347099999999999</v>
      </c>
      <c r="C250" s="17">
        <f>CHOOSE(CONTROL!$C$42, 10.3525, 10.3525) * CHOOSE(CONTROL!$C$21, $C$9, 100%, $E$9)</f>
        <v>10.352499999999999</v>
      </c>
      <c r="D250" s="17">
        <f>CHOOSE(CONTROL!$C$42, 10.6018, 10.6018) * CHOOSE(CONTROL!$C$21, $C$9, 100%, $E$9)</f>
        <v>10.601800000000001</v>
      </c>
      <c r="E250" s="17">
        <f>CHOOSE(CONTROL!$C$42, 10.6307, 10.6307) * CHOOSE(CONTROL!$C$21, $C$9, 100%, $E$9)</f>
        <v>10.630699999999999</v>
      </c>
      <c r="F250" s="17">
        <f>CHOOSE(CONTROL!$C$42, 10.3609, 10.3609)*CHOOSE(CONTROL!$C$21, $C$9, 100%, $E$9)</f>
        <v>10.360900000000001</v>
      </c>
      <c r="G250" s="17">
        <f>CHOOSE(CONTROL!$C$42, 10.3774, 10.3774)*CHOOSE(CONTROL!$C$21, $C$9, 100%, $E$9)</f>
        <v>10.3774</v>
      </c>
      <c r="H250" s="17">
        <f>CHOOSE(CONTROL!$C$42, 10.6208, 10.6208) * CHOOSE(CONTROL!$C$21, $C$9, 100%, $E$9)</f>
        <v>10.620799999999999</v>
      </c>
      <c r="I250" s="17">
        <f>CHOOSE(CONTROL!$C$42, 10.4022, 10.4022)* CHOOSE(CONTROL!$C$21, $C$9, 100%, $E$9)</f>
        <v>10.402200000000001</v>
      </c>
      <c r="J250" s="17">
        <f>CHOOSE(CONTROL!$C$42, 10.3535, 10.3535)* CHOOSE(CONTROL!$C$21, $C$9, 100%, $E$9)</f>
        <v>10.3535</v>
      </c>
      <c r="K250" s="52">
        <f>CHOOSE(CONTROL!$C$42, 10.3962, 10.3962) * CHOOSE(CONTROL!$C$21, $C$9, 100%, $E$9)</f>
        <v>10.3962</v>
      </c>
      <c r="L250" s="17">
        <f>CHOOSE(CONTROL!$C$42, 11.2078, 11.2078) * CHOOSE(CONTROL!$C$21, $C$9, 100%, $E$9)</f>
        <v>11.207800000000001</v>
      </c>
      <c r="M250" s="17">
        <f>CHOOSE(CONTROL!$C$42, 10.2674, 10.2674) * CHOOSE(CONTROL!$C$21, $C$9, 100%, $E$9)</f>
        <v>10.2674</v>
      </c>
      <c r="N250" s="17">
        <f>CHOOSE(CONTROL!$C$42, 10.2837, 10.2837) * CHOOSE(CONTROL!$C$21, $C$9, 100%, $E$9)</f>
        <v>10.2837</v>
      </c>
      <c r="O250" s="17">
        <f>CHOOSE(CONTROL!$C$42, 10.5323, 10.5323) * CHOOSE(CONTROL!$C$21, $C$9, 100%, $E$9)</f>
        <v>10.532299999999999</v>
      </c>
      <c r="P250" s="17">
        <f>CHOOSE(CONTROL!$C$42, 10.3155, 10.3155) * CHOOSE(CONTROL!$C$21, $C$9, 100%, $E$9)</f>
        <v>10.3155</v>
      </c>
      <c r="Q250" s="17">
        <f>CHOOSE(CONTROL!$C$42, 11.127, 11.127) * CHOOSE(CONTROL!$C$21, $C$9, 100%, $E$9)</f>
        <v>11.127000000000001</v>
      </c>
      <c r="R250" s="17">
        <f>CHOOSE(CONTROL!$C$42, 11.7418, 11.7418) * CHOOSE(CONTROL!$C$21, $C$9, 100%, $E$9)</f>
        <v>11.7418</v>
      </c>
      <c r="S250" s="17">
        <f>CHOOSE(CONTROL!$C$42, 10.0237, 10.0237) * CHOOSE(CONTROL!$C$21, $C$9, 100%, $E$9)</f>
        <v>10.0237</v>
      </c>
      <c r="T25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50" s="56">
        <f>(1000*CHOOSE(CONTROL!$C$42, 695, 695)*CHOOSE(CONTROL!$C$42, 0.5599, 0.5599)*CHOOSE(CONTROL!$C$42, 31, 31))/1000000</f>
        <v>12.063045499999998</v>
      </c>
      <c r="V250" s="56">
        <f>(1000*CHOOSE(CONTROL!$C$42, 500, 500)*CHOOSE(CONTROL!$C$42, 0.275, 0.275)*CHOOSE(CONTROL!$C$42, 31, 31))/1000000</f>
        <v>4.2625000000000002</v>
      </c>
      <c r="W250" s="56">
        <f>(1000*CHOOSE(CONTROL!$C$42, 0.0916, 0.0916)*CHOOSE(CONTROL!$C$42, 121.5, 121.5)*CHOOSE(CONTROL!$C$42, 31, 31))/1000000</f>
        <v>0.34501139999999997</v>
      </c>
      <c r="X250" s="56">
        <f>(31*0.1790888*145000/1000000)+(31*0.2374*100000/1000000)</f>
        <v>1.5409441560000001</v>
      </c>
      <c r="Y250" s="56"/>
      <c r="Z250" s="17"/>
      <c r="AA250" s="55"/>
      <c r="AB250" s="48">
        <f>(B250*131.881+C250*277.167+D250*79.08+E250*225.872+F250*40+G250*85+H250*0+I250*100+J250*300)/(131.881+277.167+79.08+225.872+0+40+85+100+300)</f>
        <v>10.424786179983856</v>
      </c>
      <c r="AC250" s="45">
        <f>(M250*'RAP TEMPLATE-GAS AVAILABILITY'!O249+N250*'RAP TEMPLATE-GAS AVAILABILITY'!P249+O250*'RAP TEMPLATE-GAS AVAILABILITY'!Q249+P250*'RAP TEMPLATE-GAS AVAILABILITY'!R249)/('RAP TEMPLATE-GAS AVAILABILITY'!O249+'RAP TEMPLATE-GAS AVAILABILITY'!P249+'RAP TEMPLATE-GAS AVAILABILITY'!Q249+'RAP TEMPLATE-GAS AVAILABILITY'!R249)</f>
        <v>10.352397841726617</v>
      </c>
    </row>
    <row r="251" spans="1:29" ht="15.75" x14ac:dyDescent="0.25">
      <c r="A251" s="16">
        <v>48519</v>
      </c>
      <c r="B251" s="17">
        <f>CHOOSE(CONTROL!$C$42, 10.619, 10.619) * CHOOSE(CONTROL!$C$21, $C$9, 100%, $E$9)</f>
        <v>10.619</v>
      </c>
      <c r="C251" s="17">
        <f>CHOOSE(CONTROL!$C$42, 10.6241, 10.6241) * CHOOSE(CONTROL!$C$21, $C$9, 100%, $E$9)</f>
        <v>10.6241</v>
      </c>
      <c r="D251" s="17">
        <f>CHOOSE(CONTROL!$C$42, 10.7055, 10.7055) * CHOOSE(CONTROL!$C$21, $C$9, 100%, $E$9)</f>
        <v>10.705500000000001</v>
      </c>
      <c r="E251" s="17">
        <f>CHOOSE(CONTROL!$C$42, 10.7392, 10.7392) * CHOOSE(CONTROL!$C$21, $C$9, 100%, $E$9)</f>
        <v>10.7392</v>
      </c>
      <c r="F251" s="17">
        <f>CHOOSE(CONTROL!$C$42, 10.637, 10.637)*CHOOSE(CONTROL!$C$21, $C$9, 100%, $E$9)</f>
        <v>10.637</v>
      </c>
      <c r="G251" s="17">
        <f>CHOOSE(CONTROL!$C$42, 10.6537, 10.6537)*CHOOSE(CONTROL!$C$21, $C$9, 100%, $E$9)</f>
        <v>10.653700000000001</v>
      </c>
      <c r="H251" s="17">
        <f>CHOOSE(CONTROL!$C$42, 10.7281, 10.7281) * CHOOSE(CONTROL!$C$21, $C$9, 100%, $E$9)</f>
        <v>10.7281</v>
      </c>
      <c r="I251" s="17">
        <f>CHOOSE(CONTROL!$C$42, 10.6769, 10.6769)* CHOOSE(CONTROL!$C$21, $C$9, 100%, $E$9)</f>
        <v>10.6769</v>
      </c>
      <c r="J251" s="17">
        <f>CHOOSE(CONTROL!$C$42, 10.6296, 10.6296)* CHOOSE(CONTROL!$C$21, $C$9, 100%, $E$9)</f>
        <v>10.6296</v>
      </c>
      <c r="K251" s="52">
        <f>CHOOSE(CONTROL!$C$42, 10.6709, 10.6709) * CHOOSE(CONTROL!$C$21, $C$9, 100%, $E$9)</f>
        <v>10.6709</v>
      </c>
      <c r="L251" s="17">
        <f>CHOOSE(CONTROL!$C$42, 11.3151, 11.3151) * CHOOSE(CONTROL!$C$21, $C$9, 100%, $E$9)</f>
        <v>11.315099999999999</v>
      </c>
      <c r="M251" s="17">
        <f>CHOOSE(CONTROL!$C$42, 10.541, 10.541) * CHOOSE(CONTROL!$C$21, $C$9, 100%, $E$9)</f>
        <v>10.541</v>
      </c>
      <c r="N251" s="17">
        <f>CHOOSE(CONTROL!$C$42, 10.5576, 10.5576) * CHOOSE(CONTROL!$C$21, $C$9, 100%, $E$9)</f>
        <v>10.557600000000001</v>
      </c>
      <c r="O251" s="17">
        <f>CHOOSE(CONTROL!$C$42, 10.6386, 10.6386) * CHOOSE(CONTROL!$C$21, $C$9, 100%, $E$9)</f>
        <v>10.6386</v>
      </c>
      <c r="P251" s="17">
        <f>CHOOSE(CONTROL!$C$42, 10.5877, 10.5877) * CHOOSE(CONTROL!$C$21, $C$9, 100%, $E$9)</f>
        <v>10.5877</v>
      </c>
      <c r="Q251" s="17">
        <f>CHOOSE(CONTROL!$C$42, 11.2333, 11.2333) * CHOOSE(CONTROL!$C$21, $C$9, 100%, $E$9)</f>
        <v>11.2333</v>
      </c>
      <c r="R251" s="17">
        <f>CHOOSE(CONTROL!$C$42, 11.8484, 11.8484) * CHOOSE(CONTROL!$C$21, $C$9, 100%, $E$9)</f>
        <v>11.8484</v>
      </c>
      <c r="S251" s="17">
        <f>CHOOSE(CONTROL!$C$42, 10.2878, 10.2878) * CHOOSE(CONTROL!$C$21, $C$9, 100%, $E$9)</f>
        <v>10.287800000000001</v>
      </c>
      <c r="T25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51" s="56">
        <f>(1000*CHOOSE(CONTROL!$C$42, 695, 695)*CHOOSE(CONTROL!$C$42, 0.5599, 0.5599)*CHOOSE(CONTROL!$C$42, 30, 30))/1000000</f>
        <v>11.673914999999997</v>
      </c>
      <c r="V251" s="56">
        <f>(1000*CHOOSE(CONTROL!$C$42, 500, 500)*CHOOSE(CONTROL!$C$42, 0.275, 0.275)*CHOOSE(CONTROL!$C$42, 30, 30))/1000000</f>
        <v>4.125</v>
      </c>
      <c r="W251" s="56">
        <f>(1000*CHOOSE(CONTROL!$C$42, 0.0916, 0.0916)*CHOOSE(CONTROL!$C$42, 121.5, 121.5)*CHOOSE(CONTROL!$C$42, 30, 30))/1000000</f>
        <v>0.33388200000000001</v>
      </c>
      <c r="X251" s="56">
        <f>(30*0.2374*100000/1000000)</f>
        <v>0.71220000000000006</v>
      </c>
      <c r="Y251" s="56"/>
      <c r="Z251" s="17"/>
      <c r="AA251" s="55"/>
      <c r="AB251" s="48">
        <f>(B251*122.58+C251*297.941+D251*89.177+E251*140.302+F251*40+G251*60+H251*0+I251*100+J251*300)/(122.58+297.941+89.177+140.302+0+40+60+100+300)</f>
        <v>10.651930095652174</v>
      </c>
      <c r="AC251" s="45">
        <f>(M251*'RAP TEMPLATE-GAS AVAILABILITY'!O250+N251*'RAP TEMPLATE-GAS AVAILABILITY'!P250+O251*'RAP TEMPLATE-GAS AVAILABILITY'!Q250+P251*'RAP TEMPLATE-GAS AVAILABILITY'!R250)/('RAP TEMPLATE-GAS AVAILABILITY'!O250+'RAP TEMPLATE-GAS AVAILABILITY'!P250+'RAP TEMPLATE-GAS AVAILABILITY'!Q250+'RAP TEMPLATE-GAS AVAILABILITY'!R250)</f>
        <v>10.592910791366906</v>
      </c>
    </row>
    <row r="252" spans="1:29" ht="15.75" x14ac:dyDescent="0.25">
      <c r="A252" s="16">
        <v>48549</v>
      </c>
      <c r="B252" s="17">
        <f>CHOOSE(CONTROL!$C$42, 11.3423, 11.3423) * CHOOSE(CONTROL!$C$21, $C$9, 100%, $E$9)</f>
        <v>11.3423</v>
      </c>
      <c r="C252" s="17">
        <f>CHOOSE(CONTROL!$C$42, 11.3474, 11.3474) * CHOOSE(CONTROL!$C$21, $C$9, 100%, $E$9)</f>
        <v>11.3474</v>
      </c>
      <c r="D252" s="17">
        <f>CHOOSE(CONTROL!$C$42, 11.4288, 11.4288) * CHOOSE(CONTROL!$C$21, $C$9, 100%, $E$9)</f>
        <v>11.428800000000001</v>
      </c>
      <c r="E252" s="17">
        <f>CHOOSE(CONTROL!$C$42, 11.4625, 11.4625) * CHOOSE(CONTROL!$C$21, $C$9, 100%, $E$9)</f>
        <v>11.4625</v>
      </c>
      <c r="F252" s="17">
        <f>CHOOSE(CONTROL!$C$42, 11.3626, 11.3626)*CHOOSE(CONTROL!$C$21, $C$9, 100%, $E$9)</f>
        <v>11.3626</v>
      </c>
      <c r="G252" s="17">
        <f>CHOOSE(CONTROL!$C$42, 11.38, 11.38)*CHOOSE(CONTROL!$C$21, $C$9, 100%, $E$9)</f>
        <v>11.38</v>
      </c>
      <c r="H252" s="17">
        <f>CHOOSE(CONTROL!$C$42, 11.4514, 11.4514) * CHOOSE(CONTROL!$C$21, $C$9, 100%, $E$9)</f>
        <v>11.4514</v>
      </c>
      <c r="I252" s="17">
        <f>CHOOSE(CONTROL!$C$42, 11.4025, 11.4025)* CHOOSE(CONTROL!$C$21, $C$9, 100%, $E$9)</f>
        <v>11.4025</v>
      </c>
      <c r="J252" s="17">
        <f>CHOOSE(CONTROL!$C$42, 11.3552, 11.3552)* CHOOSE(CONTROL!$C$21, $C$9, 100%, $E$9)</f>
        <v>11.3552</v>
      </c>
      <c r="K252" s="52">
        <f>CHOOSE(CONTROL!$C$42, 11.3964, 11.3964) * CHOOSE(CONTROL!$C$21, $C$9, 100%, $E$9)</f>
        <v>11.3964</v>
      </c>
      <c r="L252" s="17">
        <f>CHOOSE(CONTROL!$C$42, 12.0384, 12.0384) * CHOOSE(CONTROL!$C$21, $C$9, 100%, $E$9)</f>
        <v>12.038399999999999</v>
      </c>
      <c r="M252" s="17">
        <f>CHOOSE(CONTROL!$C$42, 11.2601, 11.2601) * CHOOSE(CONTROL!$C$21, $C$9, 100%, $E$9)</f>
        <v>11.2601</v>
      </c>
      <c r="N252" s="17">
        <f>CHOOSE(CONTROL!$C$42, 11.2773, 11.2773) * CHOOSE(CONTROL!$C$21, $C$9, 100%, $E$9)</f>
        <v>11.2773</v>
      </c>
      <c r="O252" s="17">
        <f>CHOOSE(CONTROL!$C$42, 11.3554, 11.3554) * CHOOSE(CONTROL!$C$21, $C$9, 100%, $E$9)</f>
        <v>11.355399999999999</v>
      </c>
      <c r="P252" s="17">
        <f>CHOOSE(CONTROL!$C$42, 11.3067, 11.3067) * CHOOSE(CONTROL!$C$21, $C$9, 100%, $E$9)</f>
        <v>11.306699999999999</v>
      </c>
      <c r="Q252" s="17">
        <f>CHOOSE(CONTROL!$C$42, 11.9501, 11.9501) * CHOOSE(CONTROL!$C$21, $C$9, 100%, $E$9)</f>
        <v>11.950100000000001</v>
      </c>
      <c r="R252" s="17">
        <f>CHOOSE(CONTROL!$C$42, 12.567, 12.567) * CHOOSE(CONTROL!$C$21, $C$9, 100%, $E$9)</f>
        <v>12.567</v>
      </c>
      <c r="S252" s="17">
        <f>CHOOSE(CONTROL!$C$42, 10.9891, 10.9891) * CHOOSE(CONTROL!$C$21, $C$9, 100%, $E$9)</f>
        <v>10.989100000000001</v>
      </c>
      <c r="T25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52" s="56">
        <f>(1000*CHOOSE(CONTROL!$C$42, 695, 695)*CHOOSE(CONTROL!$C$42, 0.5599, 0.5599)*CHOOSE(CONTROL!$C$42, 31, 31))/1000000</f>
        <v>12.063045499999998</v>
      </c>
      <c r="V252" s="56">
        <f>(1000*CHOOSE(CONTROL!$C$42, 500, 500)*CHOOSE(CONTROL!$C$42, 0.275, 0.275)*CHOOSE(CONTROL!$C$42, 31, 31))/1000000</f>
        <v>4.2625000000000002</v>
      </c>
      <c r="W252" s="56">
        <f>(1000*CHOOSE(CONTROL!$C$42, 0.0916, 0.0916)*CHOOSE(CONTROL!$C$42, 121.5, 121.5)*CHOOSE(CONTROL!$C$42, 31, 31))/1000000</f>
        <v>0.34501139999999997</v>
      </c>
      <c r="X252" s="56">
        <f>(31*0.2374*100000/1000000)</f>
        <v>0.73594000000000004</v>
      </c>
      <c r="Y252" s="56"/>
      <c r="Z252" s="17"/>
      <c r="AA252" s="55"/>
      <c r="AB252" s="48">
        <f>(B252*122.58+C252*297.941+D252*89.177+E252*140.302+F252*40+G252*60+H252*0+I252*100+J252*300)/(122.58+297.941+89.177+140.302+0+40+60+100+300)</f>
        <v>11.376266617391304</v>
      </c>
      <c r="AC252" s="45">
        <f>(M252*'RAP TEMPLATE-GAS AVAILABILITY'!O251+N252*'RAP TEMPLATE-GAS AVAILABILITY'!P251+O252*'RAP TEMPLATE-GAS AVAILABILITY'!Q251+P252*'RAP TEMPLATE-GAS AVAILABILITY'!R251)/('RAP TEMPLATE-GAS AVAILABILITY'!O251+'RAP TEMPLATE-GAS AVAILABILITY'!P251+'RAP TEMPLATE-GAS AVAILABILITY'!Q251+'RAP TEMPLATE-GAS AVAILABILITY'!R251)</f>
        <v>11.310988489208635</v>
      </c>
    </row>
    <row r="253" spans="1:29" ht="15.75" x14ac:dyDescent="0.25">
      <c r="A253" s="16">
        <v>48580</v>
      </c>
      <c r="B253" s="17">
        <f>CHOOSE(CONTROL!$C$42, 12.2817, 12.2817) * CHOOSE(CONTROL!$C$21, $C$9, 100%, $E$9)</f>
        <v>12.281700000000001</v>
      </c>
      <c r="C253" s="17">
        <f>CHOOSE(CONTROL!$C$42, 12.2868, 12.2868) * CHOOSE(CONTROL!$C$21, $C$9, 100%, $E$9)</f>
        <v>12.286799999999999</v>
      </c>
      <c r="D253" s="17">
        <f>CHOOSE(CONTROL!$C$42, 12.3837, 12.3837) * CHOOSE(CONTROL!$C$21, $C$9, 100%, $E$9)</f>
        <v>12.383699999999999</v>
      </c>
      <c r="E253" s="17">
        <f>CHOOSE(CONTROL!$C$42, 12.4174, 12.4174) * CHOOSE(CONTROL!$C$21, $C$9, 100%, $E$9)</f>
        <v>12.417400000000001</v>
      </c>
      <c r="F253" s="17">
        <f>CHOOSE(CONTROL!$C$42, 12.296, 12.296)*CHOOSE(CONTROL!$C$21, $C$9, 100%, $E$9)</f>
        <v>12.295999999999999</v>
      </c>
      <c r="G253" s="17">
        <f>CHOOSE(CONTROL!$C$42, 12.3124, 12.3124)*CHOOSE(CONTROL!$C$21, $C$9, 100%, $E$9)</f>
        <v>12.3124</v>
      </c>
      <c r="H253" s="17">
        <f>CHOOSE(CONTROL!$C$42, 12.4063, 12.4063) * CHOOSE(CONTROL!$C$21, $C$9, 100%, $E$9)</f>
        <v>12.4063</v>
      </c>
      <c r="I253" s="17">
        <f>CHOOSE(CONTROL!$C$42, 12.3448, 12.3448)* CHOOSE(CONTROL!$C$21, $C$9, 100%, $E$9)</f>
        <v>12.344799999999999</v>
      </c>
      <c r="J253" s="17">
        <f>CHOOSE(CONTROL!$C$42, 12.2886, 12.2886)* CHOOSE(CONTROL!$C$21, $C$9, 100%, $E$9)</f>
        <v>12.288600000000001</v>
      </c>
      <c r="K253" s="52">
        <f>CHOOSE(CONTROL!$C$42, 12.3388, 12.3388) * CHOOSE(CONTROL!$C$21, $C$9, 100%, $E$9)</f>
        <v>12.338800000000001</v>
      </c>
      <c r="L253" s="17">
        <f>CHOOSE(CONTROL!$C$42, 12.9933, 12.9933) * CHOOSE(CONTROL!$C$21, $C$9, 100%, $E$9)</f>
        <v>12.9933</v>
      </c>
      <c r="M253" s="17">
        <f>CHOOSE(CONTROL!$C$42, 12.1851, 12.1851) * CHOOSE(CONTROL!$C$21, $C$9, 100%, $E$9)</f>
        <v>12.1851</v>
      </c>
      <c r="N253" s="17">
        <f>CHOOSE(CONTROL!$C$42, 12.2014, 12.2014) * CHOOSE(CONTROL!$C$21, $C$9, 100%, $E$9)</f>
        <v>12.2014</v>
      </c>
      <c r="O253" s="17">
        <f>CHOOSE(CONTROL!$C$42, 12.3017, 12.3017) * CHOOSE(CONTROL!$C$21, $C$9, 100%, $E$9)</f>
        <v>12.3017</v>
      </c>
      <c r="P253" s="17">
        <f>CHOOSE(CONTROL!$C$42, 12.2405, 12.2405) * CHOOSE(CONTROL!$C$21, $C$9, 100%, $E$9)</f>
        <v>12.240500000000001</v>
      </c>
      <c r="Q253" s="17">
        <f>CHOOSE(CONTROL!$C$42, 12.8964, 12.8964) * CHOOSE(CONTROL!$C$21, $C$9, 100%, $E$9)</f>
        <v>12.8964</v>
      </c>
      <c r="R253" s="17">
        <f>CHOOSE(CONTROL!$C$42, 13.5157, 13.5157) * CHOOSE(CONTROL!$C$21, $C$9, 100%, $E$9)</f>
        <v>13.515700000000001</v>
      </c>
      <c r="S253" s="17">
        <f>CHOOSE(CONTROL!$C$42, 11.9001, 11.9001) * CHOOSE(CONTROL!$C$21, $C$9, 100%, $E$9)</f>
        <v>11.9001</v>
      </c>
      <c r="T25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53" s="56">
        <f>(1000*CHOOSE(CONTROL!$C$42, 695, 695)*CHOOSE(CONTROL!$C$42, 0.5599, 0.5599)*CHOOSE(CONTROL!$C$42, 31, 31))/1000000</f>
        <v>12.063045499999998</v>
      </c>
      <c r="V253" s="56">
        <f>(1000*CHOOSE(CONTROL!$C$42, 500, 500)*CHOOSE(CONTROL!$C$42, 0.275, 0.275)*CHOOSE(CONTROL!$C$42, 31, 31))/1000000</f>
        <v>4.2625000000000002</v>
      </c>
      <c r="W253" s="56">
        <f>(1000*CHOOSE(CONTROL!$C$42, 0.0916, 0.0916)*CHOOSE(CONTROL!$C$42, 121.5, 121.5)*CHOOSE(CONTROL!$C$42, 31, 31))/1000000</f>
        <v>0.34501139999999997</v>
      </c>
      <c r="X253" s="56">
        <f>(31*0.2374*100000/1000000)</f>
        <v>0.73594000000000004</v>
      </c>
      <c r="Y253" s="56"/>
      <c r="Z253" s="17"/>
      <c r="AA253" s="55"/>
      <c r="AB253" s="48">
        <f>(B253*122.58+C253*297.941+D253*89.177+E253*140.302+F253*40+G253*60+H253*0+I253*100+J253*300)/(122.58+297.941+89.177+140.302+0+40+60+100+300)</f>
        <v>12.316872638695653</v>
      </c>
      <c r="AC253" s="45">
        <f>(M253*'RAP TEMPLATE-GAS AVAILABILITY'!O252+N253*'RAP TEMPLATE-GAS AVAILABILITY'!P252+O253*'RAP TEMPLATE-GAS AVAILABILITY'!Q252+P253*'RAP TEMPLATE-GAS AVAILABILITY'!R252)/('RAP TEMPLATE-GAS AVAILABILITY'!O252+'RAP TEMPLATE-GAS AVAILABILITY'!P252+'RAP TEMPLATE-GAS AVAILABILITY'!Q252+'RAP TEMPLATE-GAS AVAILABILITY'!R252)</f>
        <v>12.246856834532375</v>
      </c>
    </row>
    <row r="254" spans="1:29" ht="15.75" x14ac:dyDescent="0.25">
      <c r="A254" s="16">
        <v>48611</v>
      </c>
      <c r="B254" s="17">
        <f>CHOOSE(CONTROL!$C$42, 12.5002, 12.5002) * CHOOSE(CONTROL!$C$21, $C$9, 100%, $E$9)</f>
        <v>12.5002</v>
      </c>
      <c r="C254" s="17">
        <f>CHOOSE(CONTROL!$C$42, 12.5053, 12.5053) * CHOOSE(CONTROL!$C$21, $C$9, 100%, $E$9)</f>
        <v>12.5053</v>
      </c>
      <c r="D254" s="17">
        <f>CHOOSE(CONTROL!$C$42, 12.6021, 12.6021) * CHOOSE(CONTROL!$C$21, $C$9, 100%, $E$9)</f>
        <v>12.6021</v>
      </c>
      <c r="E254" s="17">
        <f>CHOOSE(CONTROL!$C$42, 12.6359, 12.6359) * CHOOSE(CONTROL!$C$21, $C$9, 100%, $E$9)</f>
        <v>12.635899999999999</v>
      </c>
      <c r="F254" s="17">
        <f>CHOOSE(CONTROL!$C$42, 12.5144, 12.5144)*CHOOSE(CONTROL!$C$21, $C$9, 100%, $E$9)</f>
        <v>12.5144</v>
      </c>
      <c r="G254" s="17">
        <f>CHOOSE(CONTROL!$C$42, 12.5309, 12.5309)*CHOOSE(CONTROL!$C$21, $C$9, 100%, $E$9)</f>
        <v>12.530900000000001</v>
      </c>
      <c r="H254" s="17">
        <f>CHOOSE(CONTROL!$C$42, 12.6247, 12.6247) * CHOOSE(CONTROL!$C$21, $C$9, 100%, $E$9)</f>
        <v>12.624700000000001</v>
      </c>
      <c r="I254" s="17">
        <f>CHOOSE(CONTROL!$C$42, 12.5639, 12.5639)* CHOOSE(CONTROL!$C$21, $C$9, 100%, $E$9)</f>
        <v>12.5639</v>
      </c>
      <c r="J254" s="17">
        <f>CHOOSE(CONTROL!$C$42, 12.507, 12.507)* CHOOSE(CONTROL!$C$21, $C$9, 100%, $E$9)</f>
        <v>12.507</v>
      </c>
      <c r="K254" s="52">
        <f>CHOOSE(CONTROL!$C$42, 12.5579, 12.5579) * CHOOSE(CONTROL!$C$21, $C$9, 100%, $E$9)</f>
        <v>12.5579</v>
      </c>
      <c r="L254" s="17">
        <f>CHOOSE(CONTROL!$C$42, 13.2117, 13.2117) * CHOOSE(CONTROL!$C$21, $C$9, 100%, $E$9)</f>
        <v>13.2117</v>
      </c>
      <c r="M254" s="17">
        <f>CHOOSE(CONTROL!$C$42, 12.4016, 12.4016) * CHOOSE(CONTROL!$C$21, $C$9, 100%, $E$9)</f>
        <v>12.4016</v>
      </c>
      <c r="N254" s="17">
        <f>CHOOSE(CONTROL!$C$42, 12.4178, 12.4178) * CHOOSE(CONTROL!$C$21, $C$9, 100%, $E$9)</f>
        <v>12.4178</v>
      </c>
      <c r="O254" s="17">
        <f>CHOOSE(CONTROL!$C$42, 12.5182, 12.5182) * CHOOSE(CONTROL!$C$21, $C$9, 100%, $E$9)</f>
        <v>12.5182</v>
      </c>
      <c r="P254" s="17">
        <f>CHOOSE(CONTROL!$C$42, 12.4576, 12.4576) * CHOOSE(CONTROL!$C$21, $C$9, 100%, $E$9)</f>
        <v>12.457599999999999</v>
      </c>
      <c r="Q254" s="17">
        <f>CHOOSE(CONTROL!$C$42, 13.1129, 13.1129) * CHOOSE(CONTROL!$C$21, $C$9, 100%, $E$9)</f>
        <v>13.1129</v>
      </c>
      <c r="R254" s="17">
        <f>CHOOSE(CONTROL!$C$42, 13.7327, 13.7327) * CHOOSE(CONTROL!$C$21, $C$9, 100%, $E$9)</f>
        <v>13.732699999999999</v>
      </c>
      <c r="S254" s="17">
        <f>CHOOSE(CONTROL!$C$42, 12.1119, 12.1119) * CHOOSE(CONTROL!$C$21, $C$9, 100%, $E$9)</f>
        <v>12.1119</v>
      </c>
      <c r="T25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54" s="56">
        <f>(1000*CHOOSE(CONTROL!$C$42, 695, 695)*CHOOSE(CONTROL!$C$42, 0.5599, 0.5599)*CHOOSE(CONTROL!$C$42, 28, 28))/1000000</f>
        <v>10.895653999999999</v>
      </c>
      <c r="V254" s="56">
        <f>(1000*CHOOSE(CONTROL!$C$42, 500, 500)*CHOOSE(CONTROL!$C$42, 0.275, 0.275)*CHOOSE(CONTROL!$C$42, 28, 28))/1000000</f>
        <v>3.85</v>
      </c>
      <c r="W254" s="56">
        <f>(1000*CHOOSE(CONTROL!$C$42, 0.0916, 0.0916)*CHOOSE(CONTROL!$C$42, 121.5, 121.5)*CHOOSE(CONTROL!$C$42, 28, 28))/1000000</f>
        <v>0.31162319999999999</v>
      </c>
      <c r="X254" s="56">
        <f>(28*0.2374*100000/1000000)</f>
        <v>0.66471999999999998</v>
      </c>
      <c r="Y254" s="56"/>
      <c r="Z254" s="17"/>
      <c r="AA254" s="55"/>
      <c r="AB254" s="48">
        <f>(B254*122.58+C254*297.941+D254*89.177+E254*140.302+F254*40+G254*60+H254*0+I254*100+J254*300)/(122.58+297.941+89.177+140.302+0+40+60+100+300)</f>
        <v>12.535387492869564</v>
      </c>
      <c r="AC254" s="45">
        <f>(M254*'RAP TEMPLATE-GAS AVAILABILITY'!O253+N254*'RAP TEMPLATE-GAS AVAILABILITY'!P253+O254*'RAP TEMPLATE-GAS AVAILABILITY'!Q253+P254*'RAP TEMPLATE-GAS AVAILABILITY'!R253)/('RAP TEMPLATE-GAS AVAILABILITY'!O253+'RAP TEMPLATE-GAS AVAILABILITY'!P253+'RAP TEMPLATE-GAS AVAILABILITY'!Q253+'RAP TEMPLATE-GAS AVAILABILITY'!R253)</f>
        <v>12.463437410071942</v>
      </c>
    </row>
    <row r="255" spans="1:29" ht="15.75" x14ac:dyDescent="0.25">
      <c r="A255" s="16">
        <v>48639</v>
      </c>
      <c r="B255" s="17">
        <f>CHOOSE(CONTROL!$C$42, 12.1456, 12.1456) * CHOOSE(CONTROL!$C$21, $C$9, 100%, $E$9)</f>
        <v>12.1456</v>
      </c>
      <c r="C255" s="17">
        <f>CHOOSE(CONTROL!$C$42, 12.1507, 12.1507) * CHOOSE(CONTROL!$C$21, $C$9, 100%, $E$9)</f>
        <v>12.150700000000001</v>
      </c>
      <c r="D255" s="17">
        <f>CHOOSE(CONTROL!$C$42, 12.2475, 12.2475) * CHOOSE(CONTROL!$C$21, $C$9, 100%, $E$9)</f>
        <v>12.2475</v>
      </c>
      <c r="E255" s="17">
        <f>CHOOSE(CONTROL!$C$42, 12.2813, 12.2813) * CHOOSE(CONTROL!$C$21, $C$9, 100%, $E$9)</f>
        <v>12.2813</v>
      </c>
      <c r="F255" s="17">
        <f>CHOOSE(CONTROL!$C$42, 12.1592, 12.1592)*CHOOSE(CONTROL!$C$21, $C$9, 100%, $E$9)</f>
        <v>12.1592</v>
      </c>
      <c r="G255" s="17">
        <f>CHOOSE(CONTROL!$C$42, 12.1755, 12.1755)*CHOOSE(CONTROL!$C$21, $C$9, 100%, $E$9)</f>
        <v>12.1755</v>
      </c>
      <c r="H255" s="17">
        <f>CHOOSE(CONTROL!$C$42, 12.2701, 12.2701) * CHOOSE(CONTROL!$C$21, $C$9, 100%, $E$9)</f>
        <v>12.270099999999999</v>
      </c>
      <c r="I255" s="17">
        <f>CHOOSE(CONTROL!$C$42, 12.2082, 12.2082)* CHOOSE(CONTROL!$C$21, $C$9, 100%, $E$9)</f>
        <v>12.2082</v>
      </c>
      <c r="J255" s="17">
        <f>CHOOSE(CONTROL!$C$42, 12.1518, 12.1518)* CHOOSE(CONTROL!$C$21, $C$9, 100%, $E$9)</f>
        <v>12.1518</v>
      </c>
      <c r="K255" s="52">
        <f>CHOOSE(CONTROL!$C$42, 12.2022, 12.2022) * CHOOSE(CONTROL!$C$21, $C$9, 100%, $E$9)</f>
        <v>12.202199999999999</v>
      </c>
      <c r="L255" s="17">
        <f>CHOOSE(CONTROL!$C$42, 12.8571, 12.8571) * CHOOSE(CONTROL!$C$21, $C$9, 100%, $E$9)</f>
        <v>12.857100000000001</v>
      </c>
      <c r="M255" s="17">
        <f>CHOOSE(CONTROL!$C$42, 12.0495, 12.0495) * CHOOSE(CONTROL!$C$21, $C$9, 100%, $E$9)</f>
        <v>12.0495</v>
      </c>
      <c r="N255" s="17">
        <f>CHOOSE(CONTROL!$C$42, 12.0656, 12.0656) * CHOOSE(CONTROL!$C$21, $C$9, 100%, $E$9)</f>
        <v>12.0656</v>
      </c>
      <c r="O255" s="17">
        <f>CHOOSE(CONTROL!$C$42, 12.1668, 12.1668) * CHOOSE(CONTROL!$C$21, $C$9, 100%, $E$9)</f>
        <v>12.1668</v>
      </c>
      <c r="P255" s="17">
        <f>CHOOSE(CONTROL!$C$42, 12.1052, 12.1052) * CHOOSE(CONTROL!$C$21, $C$9, 100%, $E$9)</f>
        <v>12.1052</v>
      </c>
      <c r="Q255" s="17">
        <f>CHOOSE(CONTROL!$C$42, 12.7615, 12.7615) * CHOOSE(CONTROL!$C$21, $C$9, 100%, $E$9)</f>
        <v>12.7615</v>
      </c>
      <c r="R255" s="17">
        <f>CHOOSE(CONTROL!$C$42, 13.3804, 13.3804) * CHOOSE(CONTROL!$C$21, $C$9, 100%, $E$9)</f>
        <v>13.3804</v>
      </c>
      <c r="S255" s="17">
        <f>CHOOSE(CONTROL!$C$42, 11.7681, 11.7681) * CHOOSE(CONTROL!$C$21, $C$9, 100%, $E$9)</f>
        <v>11.7681</v>
      </c>
      <c r="T25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55" s="56">
        <f>(1000*CHOOSE(CONTROL!$C$42, 695, 695)*CHOOSE(CONTROL!$C$42, 0.5599, 0.5599)*CHOOSE(CONTROL!$C$42, 31, 31))/1000000</f>
        <v>12.063045499999998</v>
      </c>
      <c r="V255" s="56">
        <f>(1000*CHOOSE(CONTROL!$C$42, 500, 500)*CHOOSE(CONTROL!$C$42, 0.275, 0.275)*CHOOSE(CONTROL!$C$42, 31, 31))/1000000</f>
        <v>4.2625000000000002</v>
      </c>
      <c r="W255" s="56">
        <f>(1000*CHOOSE(CONTROL!$C$42, 0.0916, 0.0916)*CHOOSE(CONTROL!$C$42, 121.5, 121.5)*CHOOSE(CONTROL!$C$42, 31, 31))/1000000</f>
        <v>0.34501139999999997</v>
      </c>
      <c r="X255" s="56">
        <f>(31*0.2374*100000/1000000)</f>
        <v>0.73594000000000004</v>
      </c>
      <c r="Y255" s="56"/>
      <c r="Z255" s="17"/>
      <c r="AA255" s="55"/>
      <c r="AB255" s="48">
        <f>(B255*122.58+C255*297.941+D255*89.177+E255*140.302+F255*40+G255*60+H255*0+I255*100+J255*300)/(122.58+297.941+89.177+140.302+0+40+60+100+300)</f>
        <v>12.180472710260871</v>
      </c>
      <c r="AC255" s="45">
        <f>(M255*'RAP TEMPLATE-GAS AVAILABILITY'!O254+N255*'RAP TEMPLATE-GAS AVAILABILITY'!P254+O255*'RAP TEMPLATE-GAS AVAILABILITY'!Q254+P255*'RAP TEMPLATE-GAS AVAILABILITY'!R254)/('RAP TEMPLATE-GAS AVAILABILITY'!O254+'RAP TEMPLATE-GAS AVAILABILITY'!P254+'RAP TEMPLATE-GAS AVAILABILITY'!Q254+'RAP TEMPLATE-GAS AVAILABILITY'!R254)</f>
        <v>12.111605755395685</v>
      </c>
    </row>
    <row r="256" spans="1:29" ht="15.75" x14ac:dyDescent="0.25">
      <c r="A256" s="16">
        <v>48670</v>
      </c>
      <c r="B256" s="17">
        <f>CHOOSE(CONTROL!$C$42, 12.1103, 12.1103) * CHOOSE(CONTROL!$C$21, $C$9, 100%, $E$9)</f>
        <v>12.110300000000001</v>
      </c>
      <c r="C256" s="17">
        <f>CHOOSE(CONTROL!$C$42, 12.1148, 12.1148) * CHOOSE(CONTROL!$C$21, $C$9, 100%, $E$9)</f>
        <v>12.114800000000001</v>
      </c>
      <c r="D256" s="17">
        <f>CHOOSE(CONTROL!$C$42, 12.3623, 12.3623) * CHOOSE(CONTROL!$C$21, $C$9, 100%, $E$9)</f>
        <v>12.362299999999999</v>
      </c>
      <c r="E256" s="17">
        <f>CHOOSE(CONTROL!$C$42, 12.3941, 12.3941) * CHOOSE(CONTROL!$C$21, $C$9, 100%, $E$9)</f>
        <v>12.3941</v>
      </c>
      <c r="F256" s="17">
        <f>CHOOSE(CONTROL!$C$42, 12.1219, 12.1219)*CHOOSE(CONTROL!$C$21, $C$9, 100%, $E$9)</f>
        <v>12.1219</v>
      </c>
      <c r="G256" s="17">
        <f>CHOOSE(CONTROL!$C$42, 12.1378, 12.1378)*CHOOSE(CONTROL!$C$21, $C$9, 100%, $E$9)</f>
        <v>12.1378</v>
      </c>
      <c r="H256" s="17">
        <f>CHOOSE(CONTROL!$C$42, 12.3836, 12.3836) * CHOOSE(CONTROL!$C$21, $C$9, 100%, $E$9)</f>
        <v>12.383599999999999</v>
      </c>
      <c r="I256" s="17">
        <f>CHOOSE(CONTROL!$C$42, 12.1705, 12.1705)* CHOOSE(CONTROL!$C$21, $C$9, 100%, $E$9)</f>
        <v>12.170500000000001</v>
      </c>
      <c r="J256" s="17">
        <f>CHOOSE(CONTROL!$C$42, 12.1145, 12.1145)* CHOOSE(CONTROL!$C$21, $C$9, 100%, $E$9)</f>
        <v>12.1145</v>
      </c>
      <c r="K256" s="52">
        <f>CHOOSE(CONTROL!$C$42, 12.1644, 12.1644) * CHOOSE(CONTROL!$C$21, $C$9, 100%, $E$9)</f>
        <v>12.164400000000001</v>
      </c>
      <c r="L256" s="17">
        <f>CHOOSE(CONTROL!$C$42, 12.9706, 12.9706) * CHOOSE(CONTROL!$C$21, $C$9, 100%, $E$9)</f>
        <v>12.970599999999999</v>
      </c>
      <c r="M256" s="17">
        <f>CHOOSE(CONTROL!$C$42, 12.0125, 12.0125) * CHOOSE(CONTROL!$C$21, $C$9, 100%, $E$9)</f>
        <v>12.012499999999999</v>
      </c>
      <c r="N256" s="17">
        <f>CHOOSE(CONTROL!$C$42, 12.0283, 12.0283) * CHOOSE(CONTROL!$C$21, $C$9, 100%, $E$9)</f>
        <v>12.0283</v>
      </c>
      <c r="O256" s="17">
        <f>CHOOSE(CONTROL!$C$42, 12.2792, 12.2792) * CHOOSE(CONTROL!$C$21, $C$9, 100%, $E$9)</f>
        <v>12.279199999999999</v>
      </c>
      <c r="P256" s="17">
        <f>CHOOSE(CONTROL!$C$42, 12.0677, 12.0677) * CHOOSE(CONTROL!$C$21, $C$9, 100%, $E$9)</f>
        <v>12.0677</v>
      </c>
      <c r="Q256" s="17">
        <f>CHOOSE(CONTROL!$C$42, 12.8739, 12.8739) * CHOOSE(CONTROL!$C$21, $C$9, 100%, $E$9)</f>
        <v>12.873900000000001</v>
      </c>
      <c r="R256" s="17">
        <f>CHOOSE(CONTROL!$C$42, 13.4931, 13.4931) * CHOOSE(CONTROL!$C$21, $C$9, 100%, $E$9)</f>
        <v>13.4931</v>
      </c>
      <c r="S256" s="17">
        <f>CHOOSE(CONTROL!$C$42, 11.7331, 11.7331) * CHOOSE(CONTROL!$C$21, $C$9, 100%, $E$9)</f>
        <v>11.7331</v>
      </c>
      <c r="T25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56" s="56">
        <f>(1000*CHOOSE(CONTROL!$C$42, 695, 695)*CHOOSE(CONTROL!$C$42, 0.5599, 0.5599)*CHOOSE(CONTROL!$C$42, 30, 30))/1000000</f>
        <v>11.673914999999997</v>
      </c>
      <c r="V256" s="56">
        <f>(1000*CHOOSE(CONTROL!$C$42, 500, 500)*CHOOSE(CONTROL!$C$42, 0.275, 0.275)*CHOOSE(CONTROL!$C$42, 30, 30))/1000000</f>
        <v>4.125</v>
      </c>
      <c r="W256" s="56">
        <f>(1000*CHOOSE(CONTROL!$C$42, 0.0916, 0.0916)*CHOOSE(CONTROL!$C$42, 121.5, 121.5)*CHOOSE(CONTROL!$C$42, 30, 30))/1000000</f>
        <v>0.33388200000000001</v>
      </c>
      <c r="X256" s="56">
        <f>(30*0.1790888*145000/1000000)+(30*0.2374*100000/1000000)</f>
        <v>1.4912362799999999</v>
      </c>
      <c r="Y256" s="56"/>
      <c r="Z256" s="17"/>
      <c r="AA256" s="55"/>
      <c r="AB256" s="48">
        <f>(B256*141.293+C256*267.993+D256*115.016+E256*189.698+F256*40+G256*85+H256*0+I256*100+J256*300)/(141.293+267.993+115.016+189.698+0+40+85+100+300)</f>
        <v>12.186254635108959</v>
      </c>
      <c r="AC256" s="45">
        <f>(M256*'RAP TEMPLATE-GAS AVAILABILITY'!O255+N256*'RAP TEMPLATE-GAS AVAILABILITY'!P255+O256*'RAP TEMPLATE-GAS AVAILABILITY'!Q255+P256*'RAP TEMPLATE-GAS AVAILABILITY'!R255)/('RAP TEMPLATE-GAS AVAILABILITY'!O255+'RAP TEMPLATE-GAS AVAILABILITY'!P255+'RAP TEMPLATE-GAS AVAILABILITY'!Q255+'RAP TEMPLATE-GAS AVAILABILITY'!R255)</f>
        <v>12.098909352517985</v>
      </c>
    </row>
    <row r="257" spans="1:29" ht="15.75" x14ac:dyDescent="0.25">
      <c r="A257" s="16">
        <v>48700</v>
      </c>
      <c r="B257" s="17">
        <f>CHOOSE(CONTROL!$C$42, 12.2184, 12.2184) * CHOOSE(CONTROL!$C$21, $C$9, 100%, $E$9)</f>
        <v>12.218400000000001</v>
      </c>
      <c r="C257" s="17">
        <f>CHOOSE(CONTROL!$C$42, 12.2264, 12.2264) * CHOOSE(CONTROL!$C$21, $C$9, 100%, $E$9)</f>
        <v>12.2264</v>
      </c>
      <c r="D257" s="17">
        <f>CHOOSE(CONTROL!$C$42, 12.4709, 12.4709) * CHOOSE(CONTROL!$C$21, $C$9, 100%, $E$9)</f>
        <v>12.4709</v>
      </c>
      <c r="E257" s="17">
        <f>CHOOSE(CONTROL!$C$42, 12.502, 12.502) * CHOOSE(CONTROL!$C$21, $C$9, 100%, $E$9)</f>
        <v>12.502000000000001</v>
      </c>
      <c r="F257" s="17">
        <f>CHOOSE(CONTROL!$C$42, 12.2289, 12.2289)*CHOOSE(CONTROL!$C$21, $C$9, 100%, $E$9)</f>
        <v>12.228899999999999</v>
      </c>
      <c r="G257" s="17">
        <f>CHOOSE(CONTROL!$C$42, 12.2452, 12.2452)*CHOOSE(CONTROL!$C$21, $C$9, 100%, $E$9)</f>
        <v>12.245200000000001</v>
      </c>
      <c r="H257" s="17">
        <f>CHOOSE(CONTROL!$C$42, 12.4904, 12.4904) * CHOOSE(CONTROL!$C$21, $C$9, 100%, $E$9)</f>
        <v>12.490399999999999</v>
      </c>
      <c r="I257" s="17">
        <f>CHOOSE(CONTROL!$C$42, 12.2776, 12.2776)* CHOOSE(CONTROL!$C$21, $C$9, 100%, $E$9)</f>
        <v>12.2776</v>
      </c>
      <c r="J257" s="17">
        <f>CHOOSE(CONTROL!$C$42, 12.2215, 12.2215)* CHOOSE(CONTROL!$C$21, $C$9, 100%, $E$9)</f>
        <v>12.221500000000001</v>
      </c>
      <c r="K257" s="52">
        <f>CHOOSE(CONTROL!$C$42, 12.2715, 12.2715) * CHOOSE(CONTROL!$C$21, $C$9, 100%, $E$9)</f>
        <v>12.2715</v>
      </c>
      <c r="L257" s="17">
        <f>CHOOSE(CONTROL!$C$42, 13.0774, 13.0774) * CHOOSE(CONTROL!$C$21, $C$9, 100%, $E$9)</f>
        <v>13.077400000000001</v>
      </c>
      <c r="M257" s="17">
        <f>CHOOSE(CONTROL!$C$42, 12.1186, 12.1186) * CHOOSE(CONTROL!$C$21, $C$9, 100%, $E$9)</f>
        <v>12.118600000000001</v>
      </c>
      <c r="N257" s="17">
        <f>CHOOSE(CONTROL!$C$42, 12.1347, 12.1347) * CHOOSE(CONTROL!$C$21, $C$9, 100%, $E$9)</f>
        <v>12.1347</v>
      </c>
      <c r="O257" s="17">
        <f>CHOOSE(CONTROL!$C$42, 12.385, 12.385) * CHOOSE(CONTROL!$C$21, $C$9, 100%, $E$9)</f>
        <v>12.385</v>
      </c>
      <c r="P257" s="17">
        <f>CHOOSE(CONTROL!$C$42, 12.1739, 12.1739) * CHOOSE(CONTROL!$C$21, $C$9, 100%, $E$9)</f>
        <v>12.1739</v>
      </c>
      <c r="Q257" s="17">
        <f>CHOOSE(CONTROL!$C$42, 12.9797, 12.9797) * CHOOSE(CONTROL!$C$21, $C$9, 100%, $E$9)</f>
        <v>12.979699999999999</v>
      </c>
      <c r="R257" s="17">
        <f>CHOOSE(CONTROL!$C$42, 13.5992, 13.5992) * CHOOSE(CONTROL!$C$21, $C$9, 100%, $E$9)</f>
        <v>13.5992</v>
      </c>
      <c r="S257" s="17">
        <f>CHOOSE(CONTROL!$C$42, 11.8366, 11.8366) * CHOOSE(CONTROL!$C$21, $C$9, 100%, $E$9)</f>
        <v>11.836600000000001</v>
      </c>
      <c r="T25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57" s="56">
        <f>(1000*CHOOSE(CONTROL!$C$42, 695, 695)*CHOOSE(CONTROL!$C$42, 0.5599, 0.5599)*CHOOSE(CONTROL!$C$42, 31, 31))/1000000</f>
        <v>12.063045499999998</v>
      </c>
      <c r="V257" s="56">
        <f>(1000*CHOOSE(CONTROL!$C$42, 500, 500)*CHOOSE(CONTROL!$C$42, 0.275, 0.275)*CHOOSE(CONTROL!$C$42, 31, 31))/1000000</f>
        <v>4.2625000000000002</v>
      </c>
      <c r="W257" s="56">
        <f>(1000*CHOOSE(CONTROL!$C$42, 0.0916, 0.0916)*CHOOSE(CONTROL!$C$42, 121.5, 121.5)*CHOOSE(CONTROL!$C$42, 31, 31))/1000000</f>
        <v>0.34501139999999997</v>
      </c>
      <c r="X257" s="56">
        <f>(31*0.1790888*145000/1000000)+(31*0.2374*100000/1000000)</f>
        <v>1.5409441560000001</v>
      </c>
      <c r="Y257" s="56"/>
      <c r="Z257" s="17"/>
      <c r="AA257" s="55"/>
      <c r="AB257" s="48">
        <f>(B257*194.205+C257*267.466+D257*133.845+E257*153.484+F257*40+G257*85+H257*0+I257*100+J257*300)/(194.205+267.466+133.845+153.484+0+40+85+100+300)</f>
        <v>12.288267859419156</v>
      </c>
      <c r="AC257" s="45">
        <f>(M257*'RAP TEMPLATE-GAS AVAILABILITY'!O256+N257*'RAP TEMPLATE-GAS AVAILABILITY'!P256+O257*'RAP TEMPLATE-GAS AVAILABILITY'!Q256+P257*'RAP TEMPLATE-GAS AVAILABILITY'!R256)/('RAP TEMPLATE-GAS AVAILABILITY'!O256+'RAP TEMPLATE-GAS AVAILABILITY'!P256+'RAP TEMPLATE-GAS AVAILABILITY'!Q256+'RAP TEMPLATE-GAS AVAILABILITY'!R256)</f>
        <v>12.205008633093525</v>
      </c>
    </row>
    <row r="258" spans="1:29" ht="15.75" x14ac:dyDescent="0.25">
      <c r="A258" s="16">
        <v>48731</v>
      </c>
      <c r="B258" s="17">
        <f>CHOOSE(CONTROL!$C$42, 12.5646, 12.5646) * CHOOSE(CONTROL!$C$21, $C$9, 100%, $E$9)</f>
        <v>12.5646</v>
      </c>
      <c r="C258" s="17">
        <f>CHOOSE(CONTROL!$C$42, 12.5726, 12.5726) * CHOOSE(CONTROL!$C$21, $C$9, 100%, $E$9)</f>
        <v>12.5726</v>
      </c>
      <c r="D258" s="17">
        <f>CHOOSE(CONTROL!$C$42, 12.8171, 12.8171) * CHOOSE(CONTROL!$C$21, $C$9, 100%, $E$9)</f>
        <v>12.8171</v>
      </c>
      <c r="E258" s="17">
        <f>CHOOSE(CONTROL!$C$42, 12.8483, 12.8483) * CHOOSE(CONTROL!$C$21, $C$9, 100%, $E$9)</f>
        <v>12.8483</v>
      </c>
      <c r="F258" s="17">
        <f>CHOOSE(CONTROL!$C$42, 12.5755, 12.5755)*CHOOSE(CONTROL!$C$21, $C$9, 100%, $E$9)</f>
        <v>12.5755</v>
      </c>
      <c r="G258" s="17">
        <f>CHOOSE(CONTROL!$C$42, 12.5918, 12.5918)*CHOOSE(CONTROL!$C$21, $C$9, 100%, $E$9)</f>
        <v>12.591799999999999</v>
      </c>
      <c r="H258" s="17">
        <f>CHOOSE(CONTROL!$C$42, 12.8366, 12.8366) * CHOOSE(CONTROL!$C$21, $C$9, 100%, $E$9)</f>
        <v>12.836600000000001</v>
      </c>
      <c r="I258" s="17">
        <f>CHOOSE(CONTROL!$C$42, 12.6249, 12.6249)* CHOOSE(CONTROL!$C$21, $C$9, 100%, $E$9)</f>
        <v>12.6249</v>
      </c>
      <c r="J258" s="17">
        <f>CHOOSE(CONTROL!$C$42, 12.5681, 12.5681)* CHOOSE(CONTROL!$C$21, $C$9, 100%, $E$9)</f>
        <v>12.568099999999999</v>
      </c>
      <c r="K258" s="52">
        <f>CHOOSE(CONTROL!$C$42, 12.6188, 12.6188) * CHOOSE(CONTROL!$C$21, $C$9, 100%, $E$9)</f>
        <v>12.6188</v>
      </c>
      <c r="L258" s="17">
        <f>CHOOSE(CONTROL!$C$42, 13.4236, 13.4236) * CHOOSE(CONTROL!$C$21, $C$9, 100%, $E$9)</f>
        <v>13.4236</v>
      </c>
      <c r="M258" s="17">
        <f>CHOOSE(CONTROL!$C$42, 12.4621, 12.4621) * CHOOSE(CONTROL!$C$21, $C$9, 100%, $E$9)</f>
        <v>12.4621</v>
      </c>
      <c r="N258" s="17">
        <f>CHOOSE(CONTROL!$C$42, 12.4782, 12.4782) * CHOOSE(CONTROL!$C$21, $C$9, 100%, $E$9)</f>
        <v>12.478199999999999</v>
      </c>
      <c r="O258" s="17">
        <f>CHOOSE(CONTROL!$C$42, 12.7281, 12.7281) * CHOOSE(CONTROL!$C$21, $C$9, 100%, $E$9)</f>
        <v>12.7281</v>
      </c>
      <c r="P258" s="17">
        <f>CHOOSE(CONTROL!$C$42, 12.5181, 12.5181) * CHOOSE(CONTROL!$C$21, $C$9, 100%, $E$9)</f>
        <v>12.5181</v>
      </c>
      <c r="Q258" s="17">
        <f>CHOOSE(CONTROL!$C$42, 13.3228, 13.3228) * CHOOSE(CONTROL!$C$21, $C$9, 100%, $E$9)</f>
        <v>13.322800000000001</v>
      </c>
      <c r="R258" s="17">
        <f>CHOOSE(CONTROL!$C$42, 13.9432, 13.9432) * CHOOSE(CONTROL!$C$21, $C$9, 100%, $E$9)</f>
        <v>13.943199999999999</v>
      </c>
      <c r="S258" s="17">
        <f>CHOOSE(CONTROL!$C$42, 12.1723, 12.1723) * CHOOSE(CONTROL!$C$21, $C$9, 100%, $E$9)</f>
        <v>12.1723</v>
      </c>
      <c r="T25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58" s="56">
        <f>(1000*CHOOSE(CONTROL!$C$42, 695, 695)*CHOOSE(CONTROL!$C$42, 0.5599, 0.5599)*CHOOSE(CONTROL!$C$42, 30, 30))/1000000</f>
        <v>11.673914999999997</v>
      </c>
      <c r="V258" s="56">
        <f>(1000*CHOOSE(CONTROL!$C$42, 500, 500)*CHOOSE(CONTROL!$C$42, 0.275, 0.275)*CHOOSE(CONTROL!$C$42, 30, 30))/1000000</f>
        <v>4.125</v>
      </c>
      <c r="W258" s="56">
        <f>(1000*CHOOSE(CONTROL!$C$42, 0.0916, 0.0916)*CHOOSE(CONTROL!$C$42, 121.5, 121.5)*CHOOSE(CONTROL!$C$42, 30, 30))/1000000</f>
        <v>0.33388200000000001</v>
      </c>
      <c r="X258" s="56">
        <f>(30*0.1790888*145000/1000000)+(30*0.2374*100000/1000000)</f>
        <v>1.4912362799999999</v>
      </c>
      <c r="Y258" s="56"/>
      <c r="Z258" s="17"/>
      <c r="AA258" s="55"/>
      <c r="AB258" s="48">
        <f>(B258*194.205+C258*267.466+D258*133.845+E258*153.484+F258*40+G258*85+H258*0+I258*100+J258*300)/(194.205+267.466+133.845+153.484+0+40+85+100+300)</f>
        <v>12.634699687048666</v>
      </c>
      <c r="AC258" s="45">
        <f>(M258*'RAP TEMPLATE-GAS AVAILABILITY'!O257+N258*'RAP TEMPLATE-GAS AVAILABILITY'!P257+O258*'RAP TEMPLATE-GAS AVAILABILITY'!Q257+P258*'RAP TEMPLATE-GAS AVAILABILITY'!R257)/('RAP TEMPLATE-GAS AVAILABILITY'!O257+'RAP TEMPLATE-GAS AVAILABILITY'!P257+'RAP TEMPLATE-GAS AVAILABILITY'!Q257+'RAP TEMPLATE-GAS AVAILABILITY'!R257)</f>
        <v>12.548497122302159</v>
      </c>
    </row>
    <row r="259" spans="1:29" ht="15.75" x14ac:dyDescent="0.25">
      <c r="A259" s="16">
        <v>48761</v>
      </c>
      <c r="B259" s="17">
        <f>CHOOSE(CONTROL!$C$42, 12.3238, 12.3238) * CHOOSE(CONTROL!$C$21, $C$9, 100%, $E$9)</f>
        <v>12.3238</v>
      </c>
      <c r="C259" s="17">
        <f>CHOOSE(CONTROL!$C$42, 12.3318, 12.3318) * CHOOSE(CONTROL!$C$21, $C$9, 100%, $E$9)</f>
        <v>12.331799999999999</v>
      </c>
      <c r="D259" s="17">
        <f>CHOOSE(CONTROL!$C$42, 12.5763, 12.5763) * CHOOSE(CONTROL!$C$21, $C$9, 100%, $E$9)</f>
        <v>12.5763</v>
      </c>
      <c r="E259" s="17">
        <f>CHOOSE(CONTROL!$C$42, 12.6075, 12.6075) * CHOOSE(CONTROL!$C$21, $C$9, 100%, $E$9)</f>
        <v>12.6075</v>
      </c>
      <c r="F259" s="17">
        <f>CHOOSE(CONTROL!$C$42, 12.3352, 12.3352)*CHOOSE(CONTROL!$C$21, $C$9, 100%, $E$9)</f>
        <v>12.3352</v>
      </c>
      <c r="G259" s="17">
        <f>CHOOSE(CONTROL!$C$42, 12.3516, 12.3516)*CHOOSE(CONTROL!$C$21, $C$9, 100%, $E$9)</f>
        <v>12.351599999999999</v>
      </c>
      <c r="H259" s="17">
        <f>CHOOSE(CONTROL!$C$42, 12.5958, 12.5958) * CHOOSE(CONTROL!$C$21, $C$9, 100%, $E$9)</f>
        <v>12.595800000000001</v>
      </c>
      <c r="I259" s="17">
        <f>CHOOSE(CONTROL!$C$42, 12.3833, 12.3833)* CHOOSE(CONTROL!$C$21, $C$9, 100%, $E$9)</f>
        <v>12.3833</v>
      </c>
      <c r="J259" s="17">
        <f>CHOOSE(CONTROL!$C$42, 12.3278, 12.3278)* CHOOSE(CONTROL!$C$21, $C$9, 100%, $E$9)</f>
        <v>12.3278</v>
      </c>
      <c r="K259" s="52">
        <f>CHOOSE(CONTROL!$C$42, 12.3773, 12.3773) * CHOOSE(CONTROL!$C$21, $C$9, 100%, $E$9)</f>
        <v>12.3773</v>
      </c>
      <c r="L259" s="17">
        <f>CHOOSE(CONTROL!$C$42, 13.1828, 13.1828) * CHOOSE(CONTROL!$C$21, $C$9, 100%, $E$9)</f>
        <v>13.1828</v>
      </c>
      <c r="M259" s="17">
        <f>CHOOSE(CONTROL!$C$42, 12.2239, 12.2239) * CHOOSE(CONTROL!$C$21, $C$9, 100%, $E$9)</f>
        <v>12.2239</v>
      </c>
      <c r="N259" s="17">
        <f>CHOOSE(CONTROL!$C$42, 12.2402, 12.2402) * CHOOSE(CONTROL!$C$21, $C$9, 100%, $E$9)</f>
        <v>12.2402</v>
      </c>
      <c r="O259" s="17">
        <f>CHOOSE(CONTROL!$C$42, 12.4895, 12.4895) * CHOOSE(CONTROL!$C$21, $C$9, 100%, $E$9)</f>
        <v>12.4895</v>
      </c>
      <c r="P259" s="17">
        <f>CHOOSE(CONTROL!$C$42, 12.2787, 12.2787) * CHOOSE(CONTROL!$C$21, $C$9, 100%, $E$9)</f>
        <v>12.278700000000001</v>
      </c>
      <c r="Q259" s="17">
        <f>CHOOSE(CONTROL!$C$42, 13.0842, 13.0842) * CHOOSE(CONTROL!$C$21, $C$9, 100%, $E$9)</f>
        <v>13.084199999999999</v>
      </c>
      <c r="R259" s="17">
        <f>CHOOSE(CONTROL!$C$42, 13.7039, 13.7039) * CHOOSE(CONTROL!$C$21, $C$9, 100%, $E$9)</f>
        <v>13.703900000000001</v>
      </c>
      <c r="S259" s="17">
        <f>CHOOSE(CONTROL!$C$42, 11.9388, 11.9388) * CHOOSE(CONTROL!$C$21, $C$9, 100%, $E$9)</f>
        <v>11.938800000000001</v>
      </c>
      <c r="T25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59" s="56">
        <f>(1000*CHOOSE(CONTROL!$C$42, 695, 695)*CHOOSE(CONTROL!$C$42, 0.5599, 0.5599)*CHOOSE(CONTROL!$C$42, 31, 31))/1000000</f>
        <v>12.063045499999998</v>
      </c>
      <c r="V259" s="56">
        <f>(1000*CHOOSE(CONTROL!$C$42, 500, 500)*CHOOSE(CONTROL!$C$42, 0.275, 0.275)*CHOOSE(CONTROL!$C$42, 31, 31))/1000000</f>
        <v>4.2625000000000002</v>
      </c>
      <c r="W259" s="56">
        <f>(1000*CHOOSE(CONTROL!$C$42, 0.0916, 0.0916)*CHOOSE(CONTROL!$C$42, 121.5, 121.5)*CHOOSE(CONTROL!$C$42, 31, 31))/1000000</f>
        <v>0.34501139999999997</v>
      </c>
      <c r="X259" s="56">
        <f>(31*0.1790888*145000/1000000)+(31*0.2374*100000/1000000)</f>
        <v>1.5409441560000001</v>
      </c>
      <c r="Y259" s="56"/>
      <c r="Z259" s="17"/>
      <c r="AA259" s="55"/>
      <c r="AB259" s="48">
        <f>(B259*194.205+C259*267.466+D259*133.845+E259*153.484+F259*40+G259*85+H259*0+I259*100+J259*300)/(194.205+267.466+133.845+153.484+0+40+85+100+300)</f>
        <v>12.394010362087913</v>
      </c>
      <c r="AC259" s="45">
        <f>(M259*'RAP TEMPLATE-GAS AVAILABILITY'!O258+N259*'RAP TEMPLATE-GAS AVAILABILITY'!P258+O259*'RAP TEMPLATE-GAS AVAILABILITY'!Q258+P259*'RAP TEMPLATE-GAS AVAILABILITY'!R258)/('RAP TEMPLATE-GAS AVAILABILITY'!O258+'RAP TEMPLATE-GAS AVAILABILITY'!P258+'RAP TEMPLATE-GAS AVAILABILITY'!Q258+'RAP TEMPLATE-GAS AVAILABILITY'!R258)</f>
        <v>12.310058273381294</v>
      </c>
    </row>
    <row r="260" spans="1:29" ht="15.75" x14ac:dyDescent="0.25">
      <c r="A260" s="16">
        <v>48792</v>
      </c>
      <c r="B260" s="17">
        <f>CHOOSE(CONTROL!$C$42, 11.7157, 11.7157) * CHOOSE(CONTROL!$C$21, $C$9, 100%, $E$9)</f>
        <v>11.7157</v>
      </c>
      <c r="C260" s="17">
        <f>CHOOSE(CONTROL!$C$42, 11.7237, 11.7237) * CHOOSE(CONTROL!$C$21, $C$9, 100%, $E$9)</f>
        <v>11.723699999999999</v>
      </c>
      <c r="D260" s="17">
        <f>CHOOSE(CONTROL!$C$42, 11.9682, 11.9682) * CHOOSE(CONTROL!$C$21, $C$9, 100%, $E$9)</f>
        <v>11.9682</v>
      </c>
      <c r="E260" s="17">
        <f>CHOOSE(CONTROL!$C$42, 11.9994, 11.9994) * CHOOSE(CONTROL!$C$21, $C$9, 100%, $E$9)</f>
        <v>11.9994</v>
      </c>
      <c r="F260" s="17">
        <f>CHOOSE(CONTROL!$C$42, 11.7273, 11.7273)*CHOOSE(CONTROL!$C$21, $C$9, 100%, $E$9)</f>
        <v>11.7273</v>
      </c>
      <c r="G260" s="17">
        <f>CHOOSE(CONTROL!$C$42, 11.7438, 11.7438)*CHOOSE(CONTROL!$C$21, $C$9, 100%, $E$9)</f>
        <v>11.7438</v>
      </c>
      <c r="H260" s="17">
        <f>CHOOSE(CONTROL!$C$42, 11.9877, 11.9877) * CHOOSE(CONTROL!$C$21, $C$9, 100%, $E$9)</f>
        <v>11.9877</v>
      </c>
      <c r="I260" s="17">
        <f>CHOOSE(CONTROL!$C$42, 11.7733, 11.7733)* CHOOSE(CONTROL!$C$21, $C$9, 100%, $E$9)</f>
        <v>11.773300000000001</v>
      </c>
      <c r="J260" s="17">
        <f>CHOOSE(CONTROL!$C$42, 11.7199, 11.7199)* CHOOSE(CONTROL!$C$21, $C$9, 100%, $E$9)</f>
        <v>11.719900000000001</v>
      </c>
      <c r="K260" s="52">
        <f>CHOOSE(CONTROL!$C$42, 11.7673, 11.7673) * CHOOSE(CONTROL!$C$21, $C$9, 100%, $E$9)</f>
        <v>11.767300000000001</v>
      </c>
      <c r="L260" s="17">
        <f>CHOOSE(CONTROL!$C$42, 12.5747, 12.5747) * CHOOSE(CONTROL!$C$21, $C$9, 100%, $E$9)</f>
        <v>12.5747</v>
      </c>
      <c r="M260" s="17">
        <f>CHOOSE(CONTROL!$C$42, 11.6215, 11.6215) * CHOOSE(CONTROL!$C$21, $C$9, 100%, $E$9)</f>
        <v>11.621499999999999</v>
      </c>
      <c r="N260" s="17">
        <f>CHOOSE(CONTROL!$C$42, 11.6378, 11.6378) * CHOOSE(CONTROL!$C$21, $C$9, 100%, $E$9)</f>
        <v>11.6378</v>
      </c>
      <c r="O260" s="17">
        <f>CHOOSE(CONTROL!$C$42, 11.8869, 11.8869) * CHOOSE(CONTROL!$C$21, $C$9, 100%, $E$9)</f>
        <v>11.886900000000001</v>
      </c>
      <c r="P260" s="17">
        <f>CHOOSE(CONTROL!$C$42, 11.6742, 11.6742) * CHOOSE(CONTROL!$C$21, $C$9, 100%, $E$9)</f>
        <v>11.674200000000001</v>
      </c>
      <c r="Q260" s="17">
        <f>CHOOSE(CONTROL!$C$42, 12.4816, 12.4816) * CHOOSE(CONTROL!$C$21, $C$9, 100%, $E$9)</f>
        <v>12.4816</v>
      </c>
      <c r="R260" s="17">
        <f>CHOOSE(CONTROL!$C$42, 13.0998, 13.0998) * CHOOSE(CONTROL!$C$21, $C$9, 100%, $E$9)</f>
        <v>13.0998</v>
      </c>
      <c r="S260" s="17">
        <f>CHOOSE(CONTROL!$C$42, 11.3492, 11.3492) * CHOOSE(CONTROL!$C$21, $C$9, 100%, $E$9)</f>
        <v>11.3492</v>
      </c>
      <c r="T26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60" s="56">
        <f>(1000*CHOOSE(CONTROL!$C$42, 695, 695)*CHOOSE(CONTROL!$C$42, 0.5599, 0.5599)*CHOOSE(CONTROL!$C$42, 31, 31))/1000000</f>
        <v>12.063045499999998</v>
      </c>
      <c r="V260" s="56">
        <f>(1000*CHOOSE(CONTROL!$C$42, 500, 500)*CHOOSE(CONTROL!$C$42, 0.275, 0.275)*CHOOSE(CONTROL!$C$42, 31, 31))/1000000</f>
        <v>4.2625000000000002</v>
      </c>
      <c r="W260" s="56">
        <f>(1000*CHOOSE(CONTROL!$C$42, 0.0916, 0.0916)*CHOOSE(CONTROL!$C$42, 121.5, 121.5)*CHOOSE(CONTROL!$C$42, 31, 31))/1000000</f>
        <v>0.34501139999999997</v>
      </c>
      <c r="X260" s="56">
        <f>(31*0.1790888*145000/1000000)+(31*0.2374*100000/1000000)</f>
        <v>1.5409441560000001</v>
      </c>
      <c r="Y260" s="56"/>
      <c r="Z260" s="17"/>
      <c r="AA260" s="55"/>
      <c r="AB260" s="48">
        <f>(B260*194.205+C260*267.466+D260*133.845+E260*153.484+F260*40+G260*85+H260*0+I260*100+J260*300)/(194.205+267.466+133.845+153.484+0+40+85+100+300)</f>
        <v>11.785834616405024</v>
      </c>
      <c r="AC260" s="45">
        <f>(M260*'RAP TEMPLATE-GAS AVAILABILITY'!O259+N260*'RAP TEMPLATE-GAS AVAILABILITY'!P259+O260*'RAP TEMPLATE-GAS AVAILABILITY'!Q259+P260*'RAP TEMPLATE-GAS AVAILABILITY'!R259)/('RAP TEMPLATE-GAS AVAILABILITY'!O259+'RAP TEMPLATE-GAS AVAILABILITY'!P259+'RAP TEMPLATE-GAS AVAILABILITY'!Q259+'RAP TEMPLATE-GAS AVAILABILITY'!R259)</f>
        <v>11.7073</v>
      </c>
    </row>
    <row r="261" spans="1:29" ht="15.75" x14ac:dyDescent="0.25">
      <c r="A261" s="16">
        <v>48823</v>
      </c>
      <c r="B261" s="17">
        <f>CHOOSE(CONTROL!$C$42, 10.9725, 10.9725) * CHOOSE(CONTROL!$C$21, $C$9, 100%, $E$9)</f>
        <v>10.9725</v>
      </c>
      <c r="C261" s="17">
        <f>CHOOSE(CONTROL!$C$42, 10.9805, 10.9805) * CHOOSE(CONTROL!$C$21, $C$9, 100%, $E$9)</f>
        <v>10.980499999999999</v>
      </c>
      <c r="D261" s="17">
        <f>CHOOSE(CONTROL!$C$42, 11.225, 11.225) * CHOOSE(CONTROL!$C$21, $C$9, 100%, $E$9)</f>
        <v>11.225</v>
      </c>
      <c r="E261" s="17">
        <f>CHOOSE(CONTROL!$C$42, 11.2561, 11.2561) * CHOOSE(CONTROL!$C$21, $C$9, 100%, $E$9)</f>
        <v>11.2561</v>
      </c>
      <c r="F261" s="17">
        <f>CHOOSE(CONTROL!$C$42, 10.9841, 10.9841)*CHOOSE(CONTROL!$C$21, $C$9, 100%, $E$9)</f>
        <v>10.9841</v>
      </c>
      <c r="G261" s="17">
        <f>CHOOSE(CONTROL!$C$42, 11.0006, 11.0006)*CHOOSE(CONTROL!$C$21, $C$9, 100%, $E$9)</f>
        <v>11.0006</v>
      </c>
      <c r="H261" s="17">
        <f>CHOOSE(CONTROL!$C$42, 11.2445, 11.2445) * CHOOSE(CONTROL!$C$21, $C$9, 100%, $E$9)</f>
        <v>11.2445</v>
      </c>
      <c r="I261" s="17">
        <f>CHOOSE(CONTROL!$C$42, 11.0278, 11.0278)* CHOOSE(CONTROL!$C$21, $C$9, 100%, $E$9)</f>
        <v>11.027799999999999</v>
      </c>
      <c r="J261" s="17">
        <f>CHOOSE(CONTROL!$C$42, 10.9767, 10.9767)* CHOOSE(CONTROL!$C$21, $C$9, 100%, $E$9)</f>
        <v>10.976699999999999</v>
      </c>
      <c r="K261" s="52">
        <f>CHOOSE(CONTROL!$C$42, 11.0218, 11.0218) * CHOOSE(CONTROL!$C$21, $C$9, 100%, $E$9)</f>
        <v>11.021800000000001</v>
      </c>
      <c r="L261" s="17">
        <f>CHOOSE(CONTROL!$C$42, 11.8315, 11.8315) * CHOOSE(CONTROL!$C$21, $C$9, 100%, $E$9)</f>
        <v>11.8315</v>
      </c>
      <c r="M261" s="17">
        <f>CHOOSE(CONTROL!$C$42, 10.885, 10.885) * CHOOSE(CONTROL!$C$21, $C$9, 100%, $E$9)</f>
        <v>10.885</v>
      </c>
      <c r="N261" s="17">
        <f>CHOOSE(CONTROL!$C$42, 10.9014, 10.9014) * CHOOSE(CONTROL!$C$21, $C$9, 100%, $E$9)</f>
        <v>10.901400000000001</v>
      </c>
      <c r="O261" s="17">
        <f>CHOOSE(CONTROL!$C$42, 11.1503, 11.1503) * CHOOSE(CONTROL!$C$21, $C$9, 100%, $E$9)</f>
        <v>11.1503</v>
      </c>
      <c r="P261" s="17">
        <f>CHOOSE(CONTROL!$C$42, 10.9354, 10.9354) * CHOOSE(CONTROL!$C$21, $C$9, 100%, $E$9)</f>
        <v>10.9354</v>
      </c>
      <c r="Q261" s="17">
        <f>CHOOSE(CONTROL!$C$42, 11.745, 11.745) * CHOOSE(CONTROL!$C$21, $C$9, 100%, $E$9)</f>
        <v>11.744999999999999</v>
      </c>
      <c r="R261" s="17">
        <f>CHOOSE(CONTROL!$C$42, 12.3614, 12.3614) * CHOOSE(CONTROL!$C$21, $C$9, 100%, $E$9)</f>
        <v>12.3614</v>
      </c>
      <c r="S261" s="17">
        <f>CHOOSE(CONTROL!$C$42, 10.6285, 10.6285) * CHOOSE(CONTROL!$C$21, $C$9, 100%, $E$9)</f>
        <v>10.628500000000001</v>
      </c>
      <c r="T26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61" s="56">
        <f>(1000*CHOOSE(CONTROL!$C$42, 695, 695)*CHOOSE(CONTROL!$C$42, 0.5599, 0.5599)*CHOOSE(CONTROL!$C$42, 30, 30))/1000000</f>
        <v>11.673914999999997</v>
      </c>
      <c r="V261" s="56">
        <f>(1000*CHOOSE(CONTROL!$C$42, 500, 500)*CHOOSE(CONTROL!$C$42, 0.275, 0.275)*CHOOSE(CONTROL!$C$42, 30, 30))/1000000</f>
        <v>4.125</v>
      </c>
      <c r="W261" s="56">
        <f>(1000*CHOOSE(CONTROL!$C$42, 0.0916, 0.0916)*CHOOSE(CONTROL!$C$42, 121.5, 121.5)*CHOOSE(CONTROL!$C$42, 30, 30))/1000000</f>
        <v>0.33388200000000001</v>
      </c>
      <c r="X261" s="56">
        <f>(30*0.1790888*145000/1000000)+(30*0.2374*100000/1000000)</f>
        <v>1.4912362799999999</v>
      </c>
      <c r="Y261" s="56"/>
      <c r="Z261" s="17"/>
      <c r="AA261" s="55"/>
      <c r="AB261" s="48">
        <f>(B261*194.205+C261*267.466+D261*133.845+E261*153.484+F261*40+G261*85+H261*0+I261*100+J261*300)/(194.205+267.466+133.845+153.484+0+40+85+100+300)</f>
        <v>11.042442035243328</v>
      </c>
      <c r="AC261" s="45">
        <f>(M261*'RAP TEMPLATE-GAS AVAILABILITY'!O260+N261*'RAP TEMPLATE-GAS AVAILABILITY'!P260+O261*'RAP TEMPLATE-GAS AVAILABILITY'!Q260+P261*'RAP TEMPLATE-GAS AVAILABILITY'!R260)/('RAP TEMPLATE-GAS AVAILABILITY'!O260+'RAP TEMPLATE-GAS AVAILABILITY'!P260+'RAP TEMPLATE-GAS AVAILABILITY'!Q260+'RAP TEMPLATE-GAS AVAILABILITY'!R260)</f>
        <v>10.970464028776979</v>
      </c>
    </row>
    <row r="262" spans="1:29" ht="15.75" x14ac:dyDescent="0.25">
      <c r="A262" s="16">
        <v>48853</v>
      </c>
      <c r="B262" s="17">
        <f>CHOOSE(CONTROL!$C$42, 10.7483, 10.7483) * CHOOSE(CONTROL!$C$21, $C$9, 100%, $E$9)</f>
        <v>10.7483</v>
      </c>
      <c r="C262" s="17">
        <f>CHOOSE(CONTROL!$C$42, 10.7536, 10.7536) * CHOOSE(CONTROL!$C$21, $C$9, 100%, $E$9)</f>
        <v>10.7536</v>
      </c>
      <c r="D262" s="17">
        <f>CHOOSE(CONTROL!$C$42, 11.0029, 11.0029) * CHOOSE(CONTROL!$C$21, $C$9, 100%, $E$9)</f>
        <v>11.0029</v>
      </c>
      <c r="E262" s="17">
        <f>CHOOSE(CONTROL!$C$42, 11.0318, 11.0318) * CHOOSE(CONTROL!$C$21, $C$9, 100%, $E$9)</f>
        <v>11.0318</v>
      </c>
      <c r="F262" s="17">
        <f>CHOOSE(CONTROL!$C$42, 10.7621, 10.7621)*CHOOSE(CONTROL!$C$21, $C$9, 100%, $E$9)</f>
        <v>10.7621</v>
      </c>
      <c r="G262" s="17">
        <f>CHOOSE(CONTROL!$C$42, 10.7785, 10.7785)*CHOOSE(CONTROL!$C$21, $C$9, 100%, $E$9)</f>
        <v>10.778499999999999</v>
      </c>
      <c r="H262" s="17">
        <f>CHOOSE(CONTROL!$C$42, 11.0219, 11.0219) * CHOOSE(CONTROL!$C$21, $C$9, 100%, $E$9)</f>
        <v>11.0219</v>
      </c>
      <c r="I262" s="17">
        <f>CHOOSE(CONTROL!$C$42, 10.8046, 10.8046)* CHOOSE(CONTROL!$C$21, $C$9, 100%, $E$9)</f>
        <v>10.804600000000001</v>
      </c>
      <c r="J262" s="17">
        <f>CHOOSE(CONTROL!$C$42, 10.7547, 10.7547)* CHOOSE(CONTROL!$C$21, $C$9, 100%, $E$9)</f>
        <v>10.7547</v>
      </c>
      <c r="K262" s="52">
        <f>CHOOSE(CONTROL!$C$42, 10.7986, 10.7986) * CHOOSE(CONTROL!$C$21, $C$9, 100%, $E$9)</f>
        <v>10.7986</v>
      </c>
      <c r="L262" s="17">
        <f>CHOOSE(CONTROL!$C$42, 11.6089, 11.6089) * CHOOSE(CONTROL!$C$21, $C$9, 100%, $E$9)</f>
        <v>11.6089</v>
      </c>
      <c r="M262" s="17">
        <f>CHOOSE(CONTROL!$C$42, 10.6649, 10.6649) * CHOOSE(CONTROL!$C$21, $C$9, 100%, $E$9)</f>
        <v>10.664899999999999</v>
      </c>
      <c r="N262" s="17">
        <f>CHOOSE(CONTROL!$C$42, 10.6812, 10.6812) * CHOOSE(CONTROL!$C$21, $C$9, 100%, $E$9)</f>
        <v>10.6812</v>
      </c>
      <c r="O262" s="17">
        <f>CHOOSE(CONTROL!$C$42, 10.9298, 10.9298) * CHOOSE(CONTROL!$C$21, $C$9, 100%, $E$9)</f>
        <v>10.9298</v>
      </c>
      <c r="P262" s="17">
        <f>CHOOSE(CONTROL!$C$42, 10.7142, 10.7142) * CHOOSE(CONTROL!$C$21, $C$9, 100%, $E$9)</f>
        <v>10.7142</v>
      </c>
      <c r="Q262" s="17">
        <f>CHOOSE(CONTROL!$C$42, 11.5245, 11.5245) * CHOOSE(CONTROL!$C$21, $C$9, 100%, $E$9)</f>
        <v>11.5245</v>
      </c>
      <c r="R262" s="17">
        <f>CHOOSE(CONTROL!$C$42, 12.1403, 12.1403) * CHOOSE(CONTROL!$C$21, $C$9, 100%, $E$9)</f>
        <v>12.1403</v>
      </c>
      <c r="S262" s="17">
        <f>CHOOSE(CONTROL!$C$42, 10.4127, 10.4127) * CHOOSE(CONTROL!$C$21, $C$9, 100%, $E$9)</f>
        <v>10.412699999999999</v>
      </c>
      <c r="T26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62" s="56">
        <f>(1000*CHOOSE(CONTROL!$C$42, 695, 695)*CHOOSE(CONTROL!$C$42, 0.5599, 0.5599)*CHOOSE(CONTROL!$C$42, 31, 31))/1000000</f>
        <v>12.063045499999998</v>
      </c>
      <c r="V262" s="56">
        <f>(1000*CHOOSE(CONTROL!$C$42, 500, 500)*CHOOSE(CONTROL!$C$42, 0.275, 0.275)*CHOOSE(CONTROL!$C$42, 31, 31))/1000000</f>
        <v>4.2625000000000002</v>
      </c>
      <c r="W262" s="56">
        <f>(1000*CHOOSE(CONTROL!$C$42, 0.0916, 0.0916)*CHOOSE(CONTROL!$C$42, 121.5, 121.5)*CHOOSE(CONTROL!$C$42, 31, 31))/1000000</f>
        <v>0.34501139999999997</v>
      </c>
      <c r="X262" s="56">
        <f>(31*0.1790888*145000/1000000)+(31*0.2374*100000/1000000)</f>
        <v>1.5409441560000001</v>
      </c>
      <c r="Y262" s="56"/>
      <c r="Z262" s="17"/>
      <c r="AA262" s="55"/>
      <c r="AB262" s="48">
        <f>(B262*131.881+C262*277.167+D262*79.08+E262*225.872+F262*40+G262*85+H262*0+I262*100+J262*300)/(131.881+277.167+79.08+225.872+0+40+85+100+300)</f>
        <v>10.826029188942695</v>
      </c>
      <c r="AC262" s="45">
        <f>(M262*'RAP TEMPLATE-GAS AVAILABILITY'!O261+N262*'RAP TEMPLATE-GAS AVAILABILITY'!P261+O262*'RAP TEMPLATE-GAS AVAILABILITY'!Q261+P262*'RAP TEMPLATE-GAS AVAILABILITY'!R261)/('RAP TEMPLATE-GAS AVAILABILITY'!O261+'RAP TEMPLATE-GAS AVAILABILITY'!P261+'RAP TEMPLATE-GAS AVAILABILITY'!Q261+'RAP TEMPLATE-GAS AVAILABILITY'!R261)</f>
        <v>10.750070503597124</v>
      </c>
    </row>
    <row r="263" spans="1:29" ht="15.75" x14ac:dyDescent="0.25">
      <c r="A263" s="16">
        <v>48884</v>
      </c>
      <c r="B263" s="17">
        <f>CHOOSE(CONTROL!$C$42, 11.0307, 11.0307) * CHOOSE(CONTROL!$C$21, $C$9, 100%, $E$9)</f>
        <v>11.0307</v>
      </c>
      <c r="C263" s="17">
        <f>CHOOSE(CONTROL!$C$42, 11.0358, 11.0358) * CHOOSE(CONTROL!$C$21, $C$9, 100%, $E$9)</f>
        <v>11.0358</v>
      </c>
      <c r="D263" s="17">
        <f>CHOOSE(CONTROL!$C$42, 11.1172, 11.1172) * CHOOSE(CONTROL!$C$21, $C$9, 100%, $E$9)</f>
        <v>11.1172</v>
      </c>
      <c r="E263" s="17">
        <f>CHOOSE(CONTROL!$C$42, 11.1509, 11.1509) * CHOOSE(CONTROL!$C$21, $C$9, 100%, $E$9)</f>
        <v>11.1509</v>
      </c>
      <c r="F263" s="17">
        <f>CHOOSE(CONTROL!$C$42, 11.0487, 11.0487)*CHOOSE(CONTROL!$C$21, $C$9, 100%, $E$9)</f>
        <v>11.0487</v>
      </c>
      <c r="G263" s="17">
        <f>CHOOSE(CONTROL!$C$42, 11.0654, 11.0654)*CHOOSE(CONTROL!$C$21, $C$9, 100%, $E$9)</f>
        <v>11.0654</v>
      </c>
      <c r="H263" s="17">
        <f>CHOOSE(CONTROL!$C$42, 11.1398, 11.1398) * CHOOSE(CONTROL!$C$21, $C$9, 100%, $E$9)</f>
        <v>11.139799999999999</v>
      </c>
      <c r="I263" s="17">
        <f>CHOOSE(CONTROL!$C$42, 11.0899, 11.0899)* CHOOSE(CONTROL!$C$21, $C$9, 100%, $E$9)</f>
        <v>11.0899</v>
      </c>
      <c r="J263" s="17">
        <f>CHOOSE(CONTROL!$C$42, 11.0413, 11.0413)* CHOOSE(CONTROL!$C$21, $C$9, 100%, $E$9)</f>
        <v>11.0413</v>
      </c>
      <c r="K263" s="52">
        <f>CHOOSE(CONTROL!$C$42, 11.0839, 11.0839) * CHOOSE(CONTROL!$C$21, $C$9, 100%, $E$9)</f>
        <v>11.0839</v>
      </c>
      <c r="L263" s="17">
        <f>CHOOSE(CONTROL!$C$42, 11.7268, 11.7268) * CHOOSE(CONTROL!$C$21, $C$9, 100%, $E$9)</f>
        <v>11.726800000000001</v>
      </c>
      <c r="M263" s="17">
        <f>CHOOSE(CONTROL!$C$42, 10.949, 10.949) * CHOOSE(CONTROL!$C$21, $C$9, 100%, $E$9)</f>
        <v>10.949</v>
      </c>
      <c r="N263" s="17">
        <f>CHOOSE(CONTROL!$C$42, 10.9655, 10.9655) * CHOOSE(CONTROL!$C$21, $C$9, 100%, $E$9)</f>
        <v>10.9655</v>
      </c>
      <c r="O263" s="17">
        <f>CHOOSE(CONTROL!$C$42, 11.0466, 11.0466) * CHOOSE(CONTROL!$C$21, $C$9, 100%, $E$9)</f>
        <v>11.0466</v>
      </c>
      <c r="P263" s="17">
        <f>CHOOSE(CONTROL!$C$42, 10.9969, 10.9969) * CHOOSE(CONTROL!$C$21, $C$9, 100%, $E$9)</f>
        <v>10.9969</v>
      </c>
      <c r="Q263" s="17">
        <f>CHOOSE(CONTROL!$C$42, 11.6413, 11.6413) * CHOOSE(CONTROL!$C$21, $C$9, 100%, $E$9)</f>
        <v>11.641299999999999</v>
      </c>
      <c r="R263" s="17">
        <f>CHOOSE(CONTROL!$C$42, 12.2574, 12.2574) * CHOOSE(CONTROL!$C$21, $C$9, 100%, $E$9)</f>
        <v>12.257400000000001</v>
      </c>
      <c r="S263" s="17">
        <f>CHOOSE(CONTROL!$C$42, 10.687, 10.687) * CHOOSE(CONTROL!$C$21, $C$9, 100%, $E$9)</f>
        <v>10.686999999999999</v>
      </c>
      <c r="T26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63" s="56">
        <f>(1000*CHOOSE(CONTROL!$C$42, 695, 695)*CHOOSE(CONTROL!$C$42, 0.5599, 0.5599)*CHOOSE(CONTROL!$C$42, 30, 30))/1000000</f>
        <v>11.673914999999997</v>
      </c>
      <c r="V263" s="56">
        <f>(1000*CHOOSE(CONTROL!$C$42, 500, 500)*CHOOSE(CONTROL!$C$42, 0.275, 0.275)*CHOOSE(CONTROL!$C$42, 30, 30))/1000000</f>
        <v>4.125</v>
      </c>
      <c r="W263" s="56">
        <f>(1000*CHOOSE(CONTROL!$C$42, 0.0916, 0.0916)*CHOOSE(CONTROL!$C$42, 121.5, 121.5)*CHOOSE(CONTROL!$C$42, 30, 30))/1000000</f>
        <v>0.33388200000000001</v>
      </c>
      <c r="X263" s="56">
        <f>(30*0.2374*100000/1000000)</f>
        <v>0.71220000000000006</v>
      </c>
      <c r="Y263" s="56"/>
      <c r="Z263" s="17"/>
      <c r="AA263" s="55"/>
      <c r="AB263" s="48">
        <f>(B263*122.58+C263*297.941+D263*89.177+E263*140.302+F263*40+G263*60+H263*0+I263*100+J263*300)/(122.58+297.941+89.177+140.302+0+40+60+100+300)</f>
        <v>11.063743139130434</v>
      </c>
      <c r="AC263" s="45">
        <f>(M263*'RAP TEMPLATE-GAS AVAILABILITY'!O262+N263*'RAP TEMPLATE-GAS AVAILABILITY'!P262+O263*'RAP TEMPLATE-GAS AVAILABILITY'!Q262+P263*'RAP TEMPLATE-GAS AVAILABILITY'!R262)/('RAP TEMPLATE-GAS AVAILABILITY'!O262+'RAP TEMPLATE-GAS AVAILABILITY'!P262+'RAP TEMPLATE-GAS AVAILABILITY'!Q262+'RAP TEMPLATE-GAS AVAILABILITY'!R262)</f>
        <v>11.001077697841726</v>
      </c>
    </row>
    <row r="264" spans="1:29" ht="15.75" x14ac:dyDescent="0.25">
      <c r="A264" s="16">
        <v>48914</v>
      </c>
      <c r="B264" s="17">
        <f>CHOOSE(CONTROL!$C$42, 11.7821, 11.7821) * CHOOSE(CONTROL!$C$21, $C$9, 100%, $E$9)</f>
        <v>11.7821</v>
      </c>
      <c r="C264" s="17">
        <f>CHOOSE(CONTROL!$C$42, 11.7872, 11.7872) * CHOOSE(CONTROL!$C$21, $C$9, 100%, $E$9)</f>
        <v>11.7872</v>
      </c>
      <c r="D264" s="17">
        <f>CHOOSE(CONTROL!$C$42, 11.8685, 11.8685) * CHOOSE(CONTROL!$C$21, $C$9, 100%, $E$9)</f>
        <v>11.868499999999999</v>
      </c>
      <c r="E264" s="17">
        <f>CHOOSE(CONTROL!$C$42, 11.9023, 11.9023) * CHOOSE(CONTROL!$C$21, $C$9, 100%, $E$9)</f>
        <v>11.9023</v>
      </c>
      <c r="F264" s="17">
        <f>CHOOSE(CONTROL!$C$42, 11.8024, 11.8024)*CHOOSE(CONTROL!$C$21, $C$9, 100%, $E$9)</f>
        <v>11.8024</v>
      </c>
      <c r="G264" s="17">
        <f>CHOOSE(CONTROL!$C$42, 11.8197, 11.8197)*CHOOSE(CONTROL!$C$21, $C$9, 100%, $E$9)</f>
        <v>11.819699999999999</v>
      </c>
      <c r="H264" s="17">
        <f>CHOOSE(CONTROL!$C$42, 11.8912, 11.8912) * CHOOSE(CONTROL!$C$21, $C$9, 100%, $E$9)</f>
        <v>11.8912</v>
      </c>
      <c r="I264" s="17">
        <f>CHOOSE(CONTROL!$C$42, 11.8436, 11.8436)* CHOOSE(CONTROL!$C$21, $C$9, 100%, $E$9)</f>
        <v>11.8436</v>
      </c>
      <c r="J264" s="17">
        <f>CHOOSE(CONTROL!$C$42, 11.795, 11.795)* CHOOSE(CONTROL!$C$21, $C$9, 100%, $E$9)</f>
        <v>11.795</v>
      </c>
      <c r="K264" s="52">
        <f>CHOOSE(CONTROL!$C$42, 11.8375, 11.8375) * CHOOSE(CONTROL!$C$21, $C$9, 100%, $E$9)</f>
        <v>11.8375</v>
      </c>
      <c r="L264" s="17">
        <f>CHOOSE(CONTROL!$C$42, 12.4782, 12.4782) * CHOOSE(CONTROL!$C$21, $C$9, 100%, $E$9)</f>
        <v>12.478199999999999</v>
      </c>
      <c r="M264" s="17">
        <f>CHOOSE(CONTROL!$C$42, 11.6959, 11.6959) * CHOOSE(CONTROL!$C$21, $C$9, 100%, $E$9)</f>
        <v>11.6959</v>
      </c>
      <c r="N264" s="17">
        <f>CHOOSE(CONTROL!$C$42, 11.7131, 11.7131) * CHOOSE(CONTROL!$C$21, $C$9, 100%, $E$9)</f>
        <v>11.713100000000001</v>
      </c>
      <c r="O264" s="17">
        <f>CHOOSE(CONTROL!$C$42, 11.7912, 11.7912) * CHOOSE(CONTROL!$C$21, $C$9, 100%, $E$9)</f>
        <v>11.7912</v>
      </c>
      <c r="P264" s="17">
        <f>CHOOSE(CONTROL!$C$42, 11.7438, 11.7438) * CHOOSE(CONTROL!$C$21, $C$9, 100%, $E$9)</f>
        <v>11.7438</v>
      </c>
      <c r="Q264" s="17">
        <f>CHOOSE(CONTROL!$C$42, 12.3859, 12.3859) * CHOOSE(CONTROL!$C$21, $C$9, 100%, $E$9)</f>
        <v>12.385899999999999</v>
      </c>
      <c r="R264" s="17">
        <f>CHOOSE(CONTROL!$C$42, 13.0039, 13.0039) * CHOOSE(CONTROL!$C$21, $C$9, 100%, $E$9)</f>
        <v>13.0039</v>
      </c>
      <c r="S264" s="17">
        <f>CHOOSE(CONTROL!$C$42, 11.4156, 11.4156) * CHOOSE(CONTROL!$C$21, $C$9, 100%, $E$9)</f>
        <v>11.4156</v>
      </c>
      <c r="T26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64" s="56">
        <f>(1000*CHOOSE(CONTROL!$C$42, 695, 695)*CHOOSE(CONTROL!$C$42, 0.5599, 0.5599)*CHOOSE(CONTROL!$C$42, 31, 31))/1000000</f>
        <v>12.063045499999998</v>
      </c>
      <c r="V264" s="56">
        <f>(1000*CHOOSE(CONTROL!$C$42, 500, 500)*CHOOSE(CONTROL!$C$42, 0.275, 0.275)*CHOOSE(CONTROL!$C$42, 31, 31))/1000000</f>
        <v>4.2625000000000002</v>
      </c>
      <c r="W264" s="56">
        <f>(1000*CHOOSE(CONTROL!$C$42, 0.0916, 0.0916)*CHOOSE(CONTROL!$C$42, 121.5, 121.5)*CHOOSE(CONTROL!$C$42, 31, 31))/1000000</f>
        <v>0.34501139999999997</v>
      </c>
      <c r="X264" s="56">
        <f>(31*0.2374*100000/1000000)</f>
        <v>0.73594000000000004</v>
      </c>
      <c r="Y264" s="56"/>
      <c r="Z264" s="17"/>
      <c r="AA264" s="55"/>
      <c r="AB264" s="48">
        <f>(B264*122.58+C264*297.941+D264*89.177+E264*140.302+F264*40+G264*60+H264*0+I264*100+J264*300)/(122.58+297.941+89.177+140.302+0+40+60+100+300)</f>
        <v>11.816166688956523</v>
      </c>
      <c r="AC264" s="45">
        <f>(M264*'RAP TEMPLATE-GAS AVAILABILITY'!O263+N264*'RAP TEMPLATE-GAS AVAILABILITY'!P263+O264*'RAP TEMPLATE-GAS AVAILABILITY'!Q263+P264*'RAP TEMPLATE-GAS AVAILABILITY'!R263)/('RAP TEMPLATE-GAS AVAILABILITY'!O263+'RAP TEMPLATE-GAS AVAILABILITY'!P263+'RAP TEMPLATE-GAS AVAILABILITY'!Q263+'RAP TEMPLATE-GAS AVAILABILITY'!R263)</f>
        <v>11.746975539568346</v>
      </c>
    </row>
    <row r="265" spans="1:29" ht="15.75" x14ac:dyDescent="0.25">
      <c r="A265" s="16">
        <v>48945</v>
      </c>
      <c r="B265" s="17">
        <f>CHOOSE(CONTROL!$C$42, 12.7579, 12.7579) * CHOOSE(CONTROL!$C$21, $C$9, 100%, $E$9)</f>
        <v>12.757899999999999</v>
      </c>
      <c r="C265" s="17">
        <f>CHOOSE(CONTROL!$C$42, 12.763, 12.763) * CHOOSE(CONTROL!$C$21, $C$9, 100%, $E$9)</f>
        <v>12.763</v>
      </c>
      <c r="D265" s="17">
        <f>CHOOSE(CONTROL!$C$42, 12.8599, 12.8599) * CHOOSE(CONTROL!$C$21, $C$9, 100%, $E$9)</f>
        <v>12.8599</v>
      </c>
      <c r="E265" s="17">
        <f>CHOOSE(CONTROL!$C$42, 12.8936, 12.8936) * CHOOSE(CONTROL!$C$21, $C$9, 100%, $E$9)</f>
        <v>12.893599999999999</v>
      </c>
      <c r="F265" s="17">
        <f>CHOOSE(CONTROL!$C$42, 12.7722, 12.7722)*CHOOSE(CONTROL!$C$21, $C$9, 100%, $E$9)</f>
        <v>12.7722</v>
      </c>
      <c r="G265" s="17">
        <f>CHOOSE(CONTROL!$C$42, 12.7886, 12.7886)*CHOOSE(CONTROL!$C$21, $C$9, 100%, $E$9)</f>
        <v>12.788600000000001</v>
      </c>
      <c r="H265" s="17">
        <f>CHOOSE(CONTROL!$C$42, 12.8825, 12.8825) * CHOOSE(CONTROL!$C$21, $C$9, 100%, $E$9)</f>
        <v>12.8825</v>
      </c>
      <c r="I265" s="17">
        <f>CHOOSE(CONTROL!$C$42, 12.8225, 12.8225)* CHOOSE(CONTROL!$C$21, $C$9, 100%, $E$9)</f>
        <v>12.8225</v>
      </c>
      <c r="J265" s="17">
        <f>CHOOSE(CONTROL!$C$42, 12.7648, 12.7648)* CHOOSE(CONTROL!$C$21, $C$9, 100%, $E$9)</f>
        <v>12.764799999999999</v>
      </c>
      <c r="K265" s="52">
        <f>CHOOSE(CONTROL!$C$42, 12.8164, 12.8164) * CHOOSE(CONTROL!$C$21, $C$9, 100%, $E$9)</f>
        <v>12.8164</v>
      </c>
      <c r="L265" s="17">
        <f>CHOOSE(CONTROL!$C$42, 13.4695, 13.4695) * CHOOSE(CONTROL!$C$21, $C$9, 100%, $E$9)</f>
        <v>13.4695</v>
      </c>
      <c r="M265" s="17">
        <f>CHOOSE(CONTROL!$C$42, 12.657, 12.657) * CHOOSE(CONTROL!$C$21, $C$9, 100%, $E$9)</f>
        <v>12.657</v>
      </c>
      <c r="N265" s="17">
        <f>CHOOSE(CONTROL!$C$42, 12.6733, 12.6733) * CHOOSE(CONTROL!$C$21, $C$9, 100%, $E$9)</f>
        <v>12.673299999999999</v>
      </c>
      <c r="O265" s="17">
        <f>CHOOSE(CONTROL!$C$42, 12.7736, 12.7736) * CHOOSE(CONTROL!$C$21, $C$9, 100%, $E$9)</f>
        <v>12.7736</v>
      </c>
      <c r="P265" s="17">
        <f>CHOOSE(CONTROL!$C$42, 12.7139, 12.7139) * CHOOSE(CONTROL!$C$21, $C$9, 100%, $E$9)</f>
        <v>12.713900000000001</v>
      </c>
      <c r="Q265" s="17">
        <f>CHOOSE(CONTROL!$C$42, 13.3683, 13.3683) * CHOOSE(CONTROL!$C$21, $C$9, 100%, $E$9)</f>
        <v>13.3683</v>
      </c>
      <c r="R265" s="17">
        <f>CHOOSE(CONTROL!$C$42, 13.9888, 13.9888) * CHOOSE(CONTROL!$C$21, $C$9, 100%, $E$9)</f>
        <v>13.988799999999999</v>
      </c>
      <c r="S265" s="17">
        <f>CHOOSE(CONTROL!$C$42, 12.3619, 12.3619) * CHOOSE(CONTROL!$C$21, $C$9, 100%, $E$9)</f>
        <v>12.3619</v>
      </c>
      <c r="T26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65" s="56">
        <f>(1000*CHOOSE(CONTROL!$C$42, 695, 695)*CHOOSE(CONTROL!$C$42, 0.5599, 0.5599)*CHOOSE(CONTROL!$C$42, 31, 31))/1000000</f>
        <v>12.063045499999998</v>
      </c>
      <c r="V265" s="56">
        <f>(1000*CHOOSE(CONTROL!$C$42, 500, 500)*CHOOSE(CONTROL!$C$42, 0.275, 0.275)*CHOOSE(CONTROL!$C$42, 31, 31))/1000000</f>
        <v>4.2625000000000002</v>
      </c>
      <c r="W265" s="56">
        <f>(1000*CHOOSE(CONTROL!$C$42, 0.0916, 0.0916)*CHOOSE(CONTROL!$C$42, 121.5, 121.5)*CHOOSE(CONTROL!$C$42, 31, 31))/1000000</f>
        <v>0.34501139999999997</v>
      </c>
      <c r="X265" s="56">
        <f>(31*0.2374*100000/1000000)</f>
        <v>0.73594000000000004</v>
      </c>
      <c r="Y265" s="56"/>
      <c r="Z265" s="17"/>
      <c r="AA265" s="55"/>
      <c r="AB265" s="48">
        <f>(B265*122.58+C265*297.941+D265*89.177+E265*140.302+F265*40+G265*60+H265*0+I265*100+J265*300)/(122.58+297.941+89.177+140.302+0+40+60+100+300)</f>
        <v>12.79320307347826</v>
      </c>
      <c r="AC265" s="45">
        <f>(M265*'RAP TEMPLATE-GAS AVAILABILITY'!O264+N265*'RAP TEMPLATE-GAS AVAILABILITY'!P264+O265*'RAP TEMPLATE-GAS AVAILABILITY'!Q264+P265*'RAP TEMPLATE-GAS AVAILABILITY'!R264)/('RAP TEMPLATE-GAS AVAILABILITY'!O264+'RAP TEMPLATE-GAS AVAILABILITY'!P264+'RAP TEMPLATE-GAS AVAILABILITY'!Q264+'RAP TEMPLATE-GAS AVAILABILITY'!R264)</f>
        <v>12.718972661870502</v>
      </c>
    </row>
    <row r="266" spans="1:29" ht="15.75" x14ac:dyDescent="0.25">
      <c r="A266" s="16">
        <v>48976</v>
      </c>
      <c r="B266" s="17">
        <f>CHOOSE(CONTROL!$C$42, 12.9849, 12.9849) * CHOOSE(CONTROL!$C$21, $C$9, 100%, $E$9)</f>
        <v>12.9849</v>
      </c>
      <c r="C266" s="17">
        <f>CHOOSE(CONTROL!$C$42, 12.99, 12.99) * CHOOSE(CONTROL!$C$21, $C$9, 100%, $E$9)</f>
        <v>12.99</v>
      </c>
      <c r="D266" s="17">
        <f>CHOOSE(CONTROL!$C$42, 13.0868, 13.0868) * CHOOSE(CONTROL!$C$21, $C$9, 100%, $E$9)</f>
        <v>13.0868</v>
      </c>
      <c r="E266" s="17">
        <f>CHOOSE(CONTROL!$C$42, 13.1205, 13.1205) * CHOOSE(CONTROL!$C$21, $C$9, 100%, $E$9)</f>
        <v>13.1205</v>
      </c>
      <c r="F266" s="17">
        <f>CHOOSE(CONTROL!$C$42, 12.9991, 12.9991)*CHOOSE(CONTROL!$C$21, $C$9, 100%, $E$9)</f>
        <v>12.9991</v>
      </c>
      <c r="G266" s="17">
        <f>CHOOSE(CONTROL!$C$42, 13.0155, 13.0155)*CHOOSE(CONTROL!$C$21, $C$9, 100%, $E$9)</f>
        <v>13.015499999999999</v>
      </c>
      <c r="H266" s="17">
        <f>CHOOSE(CONTROL!$C$42, 13.1094, 13.1094) * CHOOSE(CONTROL!$C$21, $C$9, 100%, $E$9)</f>
        <v>13.109400000000001</v>
      </c>
      <c r="I266" s="17">
        <f>CHOOSE(CONTROL!$C$42, 13.0501, 13.0501)* CHOOSE(CONTROL!$C$21, $C$9, 100%, $E$9)</f>
        <v>13.0501</v>
      </c>
      <c r="J266" s="17">
        <f>CHOOSE(CONTROL!$C$42, 12.9917, 12.9917)* CHOOSE(CONTROL!$C$21, $C$9, 100%, $E$9)</f>
        <v>12.9917</v>
      </c>
      <c r="K266" s="52">
        <f>CHOOSE(CONTROL!$C$42, 13.0441, 13.0441) * CHOOSE(CONTROL!$C$21, $C$9, 100%, $E$9)</f>
        <v>13.0441</v>
      </c>
      <c r="L266" s="17">
        <f>CHOOSE(CONTROL!$C$42, 13.6964, 13.6964) * CHOOSE(CONTROL!$C$21, $C$9, 100%, $E$9)</f>
        <v>13.696400000000001</v>
      </c>
      <c r="M266" s="17">
        <f>CHOOSE(CONTROL!$C$42, 12.8819, 12.8819) * CHOOSE(CONTROL!$C$21, $C$9, 100%, $E$9)</f>
        <v>12.8819</v>
      </c>
      <c r="N266" s="17">
        <f>CHOOSE(CONTROL!$C$42, 12.8982, 12.8982) * CHOOSE(CONTROL!$C$21, $C$9, 100%, $E$9)</f>
        <v>12.898199999999999</v>
      </c>
      <c r="O266" s="17">
        <f>CHOOSE(CONTROL!$C$42, 12.9985, 12.9985) * CHOOSE(CONTROL!$C$21, $C$9, 100%, $E$9)</f>
        <v>12.9985</v>
      </c>
      <c r="P266" s="17">
        <f>CHOOSE(CONTROL!$C$42, 12.9394, 12.9394) * CHOOSE(CONTROL!$C$21, $C$9, 100%, $E$9)</f>
        <v>12.939399999999999</v>
      </c>
      <c r="Q266" s="17">
        <f>CHOOSE(CONTROL!$C$42, 13.5932, 13.5932) * CHOOSE(CONTROL!$C$21, $C$9, 100%, $E$9)</f>
        <v>13.5932</v>
      </c>
      <c r="R266" s="17">
        <f>CHOOSE(CONTROL!$C$42, 14.2142, 14.2142) * CHOOSE(CONTROL!$C$21, $C$9, 100%, $E$9)</f>
        <v>14.2142</v>
      </c>
      <c r="S266" s="17">
        <f>CHOOSE(CONTROL!$C$42, 12.5819, 12.5819) * CHOOSE(CONTROL!$C$21, $C$9, 100%, $E$9)</f>
        <v>12.581899999999999</v>
      </c>
      <c r="T26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66" s="56">
        <f>(1000*CHOOSE(CONTROL!$C$42, 695, 695)*CHOOSE(CONTROL!$C$42, 0.5599, 0.5599)*CHOOSE(CONTROL!$C$42, 28, 28))/1000000</f>
        <v>10.895653999999999</v>
      </c>
      <c r="V266" s="56">
        <f>(1000*CHOOSE(CONTROL!$C$42, 500, 500)*CHOOSE(CONTROL!$C$42, 0.275, 0.275)*CHOOSE(CONTROL!$C$42, 28, 28))/1000000</f>
        <v>3.85</v>
      </c>
      <c r="W266" s="56">
        <f>(1000*CHOOSE(CONTROL!$C$42, 0.0916, 0.0916)*CHOOSE(CONTROL!$C$42, 121.5, 121.5)*CHOOSE(CONTROL!$C$42, 28, 28))/1000000</f>
        <v>0.31162319999999999</v>
      </c>
      <c r="X266" s="56">
        <f>(28*0.2374*100000/1000000)</f>
        <v>0.66471999999999998</v>
      </c>
      <c r="Y266" s="56"/>
      <c r="Z266" s="17"/>
      <c r="AA266" s="55"/>
      <c r="AB266" s="48">
        <f>(B266*122.58+C266*297.941+D266*89.177+E266*140.302+F266*40+G266*60+H266*0+I266*100+J266*300)/(122.58+297.941+89.177+140.302+0+40+60+100+300)</f>
        <v>13.020200510086957</v>
      </c>
      <c r="AC266" s="45">
        <f>(M266*'RAP TEMPLATE-GAS AVAILABILITY'!O265+N266*'RAP TEMPLATE-GAS AVAILABILITY'!P265+O266*'RAP TEMPLATE-GAS AVAILABILITY'!Q265+P266*'RAP TEMPLATE-GAS AVAILABILITY'!R265)/('RAP TEMPLATE-GAS AVAILABILITY'!O265+'RAP TEMPLATE-GAS AVAILABILITY'!P265+'RAP TEMPLATE-GAS AVAILABILITY'!Q265+'RAP TEMPLATE-GAS AVAILABILITY'!R265)</f>
        <v>12.943958992805754</v>
      </c>
    </row>
    <row r="267" spans="1:29" ht="15.75" x14ac:dyDescent="0.25">
      <c r="A267" s="16">
        <v>49004</v>
      </c>
      <c r="B267" s="17">
        <f>CHOOSE(CONTROL!$C$42, 12.6165, 12.6165) * CHOOSE(CONTROL!$C$21, $C$9, 100%, $E$9)</f>
        <v>12.6165</v>
      </c>
      <c r="C267" s="17">
        <f>CHOOSE(CONTROL!$C$42, 12.6216, 12.6216) * CHOOSE(CONTROL!$C$21, $C$9, 100%, $E$9)</f>
        <v>12.621600000000001</v>
      </c>
      <c r="D267" s="17">
        <f>CHOOSE(CONTROL!$C$42, 12.7184, 12.7184) * CHOOSE(CONTROL!$C$21, $C$9, 100%, $E$9)</f>
        <v>12.718400000000001</v>
      </c>
      <c r="E267" s="17">
        <f>CHOOSE(CONTROL!$C$42, 12.7522, 12.7522) * CHOOSE(CONTROL!$C$21, $C$9, 100%, $E$9)</f>
        <v>12.7522</v>
      </c>
      <c r="F267" s="17">
        <f>CHOOSE(CONTROL!$C$42, 12.6301, 12.6301)*CHOOSE(CONTROL!$C$21, $C$9, 100%, $E$9)</f>
        <v>12.630100000000001</v>
      </c>
      <c r="G267" s="17">
        <f>CHOOSE(CONTROL!$C$42, 12.6464, 12.6464)*CHOOSE(CONTROL!$C$21, $C$9, 100%, $E$9)</f>
        <v>12.6464</v>
      </c>
      <c r="H267" s="17">
        <f>CHOOSE(CONTROL!$C$42, 12.7411, 12.7411) * CHOOSE(CONTROL!$C$21, $C$9, 100%, $E$9)</f>
        <v>12.741099999999999</v>
      </c>
      <c r="I267" s="17">
        <f>CHOOSE(CONTROL!$C$42, 12.6806, 12.6806)* CHOOSE(CONTROL!$C$21, $C$9, 100%, $E$9)</f>
        <v>12.6806</v>
      </c>
      <c r="J267" s="17">
        <f>CHOOSE(CONTROL!$C$42, 12.6227, 12.6227)* CHOOSE(CONTROL!$C$21, $C$9, 100%, $E$9)</f>
        <v>12.6227</v>
      </c>
      <c r="K267" s="52">
        <f>CHOOSE(CONTROL!$C$42, 12.6746, 12.6746) * CHOOSE(CONTROL!$C$21, $C$9, 100%, $E$9)</f>
        <v>12.6746</v>
      </c>
      <c r="L267" s="17">
        <f>CHOOSE(CONTROL!$C$42, 13.3281, 13.3281) * CHOOSE(CONTROL!$C$21, $C$9, 100%, $E$9)</f>
        <v>13.328099999999999</v>
      </c>
      <c r="M267" s="17">
        <f>CHOOSE(CONTROL!$C$42, 12.5162, 12.5162) * CHOOSE(CONTROL!$C$21, $C$9, 100%, $E$9)</f>
        <v>12.5162</v>
      </c>
      <c r="N267" s="17">
        <f>CHOOSE(CONTROL!$C$42, 12.5323, 12.5323) * CHOOSE(CONTROL!$C$21, $C$9, 100%, $E$9)</f>
        <v>12.532299999999999</v>
      </c>
      <c r="O267" s="17">
        <f>CHOOSE(CONTROL!$C$42, 12.6335, 12.6335) * CHOOSE(CONTROL!$C$21, $C$9, 100%, $E$9)</f>
        <v>12.6335</v>
      </c>
      <c r="P267" s="17">
        <f>CHOOSE(CONTROL!$C$42, 12.5733, 12.5733) * CHOOSE(CONTROL!$C$21, $C$9, 100%, $E$9)</f>
        <v>12.5733</v>
      </c>
      <c r="Q267" s="17">
        <f>CHOOSE(CONTROL!$C$42, 13.2282, 13.2282) * CHOOSE(CONTROL!$C$21, $C$9, 100%, $E$9)</f>
        <v>13.228199999999999</v>
      </c>
      <c r="R267" s="17">
        <f>CHOOSE(CONTROL!$C$42, 13.8483, 13.8483) * CHOOSE(CONTROL!$C$21, $C$9, 100%, $E$9)</f>
        <v>13.8483</v>
      </c>
      <c r="S267" s="17">
        <f>CHOOSE(CONTROL!$C$42, 12.2247, 12.2247) * CHOOSE(CONTROL!$C$21, $C$9, 100%, $E$9)</f>
        <v>12.2247</v>
      </c>
      <c r="T26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67" s="56">
        <f>(1000*CHOOSE(CONTROL!$C$42, 695, 695)*CHOOSE(CONTROL!$C$42, 0.5599, 0.5599)*CHOOSE(CONTROL!$C$42, 31, 31))/1000000</f>
        <v>12.063045499999998</v>
      </c>
      <c r="V267" s="56">
        <f>(1000*CHOOSE(CONTROL!$C$42, 500, 500)*CHOOSE(CONTROL!$C$42, 0.275, 0.275)*CHOOSE(CONTROL!$C$42, 31, 31))/1000000</f>
        <v>4.2625000000000002</v>
      </c>
      <c r="W267" s="56">
        <f>(1000*CHOOSE(CONTROL!$C$42, 0.0916, 0.0916)*CHOOSE(CONTROL!$C$42, 121.5, 121.5)*CHOOSE(CONTROL!$C$42, 31, 31))/1000000</f>
        <v>0.34501139999999997</v>
      </c>
      <c r="X267" s="56">
        <f>(31*0.2374*100000/1000000)</f>
        <v>0.73594000000000004</v>
      </c>
      <c r="Y267" s="56"/>
      <c r="Z267" s="17"/>
      <c r="AA267" s="55"/>
      <c r="AB267" s="48">
        <f>(B267*122.58+C267*297.941+D267*89.177+E267*140.302+F267*40+G267*60+H267*0+I267*100+J267*300)/(122.58+297.941+89.177+140.302+0+40+60+100+300)</f>
        <v>12.651503145043476</v>
      </c>
      <c r="AC267" s="45">
        <f>(M267*'RAP TEMPLATE-GAS AVAILABILITY'!O266+N267*'RAP TEMPLATE-GAS AVAILABILITY'!P266+O267*'RAP TEMPLATE-GAS AVAILABILITY'!Q266+P267*'RAP TEMPLATE-GAS AVAILABILITY'!R266)/('RAP TEMPLATE-GAS AVAILABILITY'!O266+'RAP TEMPLATE-GAS AVAILABILITY'!P266+'RAP TEMPLATE-GAS AVAILABILITY'!Q266+'RAP TEMPLATE-GAS AVAILABILITY'!R266)</f>
        <v>12.578507194244605</v>
      </c>
    </row>
    <row r="268" spans="1:29" ht="15.75" x14ac:dyDescent="0.25">
      <c r="A268" s="16">
        <v>49035</v>
      </c>
      <c r="B268" s="17">
        <f>CHOOSE(CONTROL!$C$42, 12.5798, 12.5798) * CHOOSE(CONTROL!$C$21, $C$9, 100%, $E$9)</f>
        <v>12.579800000000001</v>
      </c>
      <c r="C268" s="17">
        <f>CHOOSE(CONTROL!$C$42, 12.5843, 12.5843) * CHOOSE(CONTROL!$C$21, $C$9, 100%, $E$9)</f>
        <v>12.584300000000001</v>
      </c>
      <c r="D268" s="17">
        <f>CHOOSE(CONTROL!$C$42, 12.8318, 12.8318) * CHOOSE(CONTROL!$C$21, $C$9, 100%, $E$9)</f>
        <v>12.831799999999999</v>
      </c>
      <c r="E268" s="17">
        <f>CHOOSE(CONTROL!$C$42, 12.8636, 12.8636) * CHOOSE(CONTROL!$C$21, $C$9, 100%, $E$9)</f>
        <v>12.8636</v>
      </c>
      <c r="F268" s="17">
        <f>CHOOSE(CONTROL!$C$42, 12.5914, 12.5914)*CHOOSE(CONTROL!$C$21, $C$9, 100%, $E$9)</f>
        <v>12.5914</v>
      </c>
      <c r="G268" s="17">
        <f>CHOOSE(CONTROL!$C$42, 12.6073, 12.6073)*CHOOSE(CONTROL!$C$21, $C$9, 100%, $E$9)</f>
        <v>12.6073</v>
      </c>
      <c r="H268" s="17">
        <f>CHOOSE(CONTROL!$C$42, 12.8531, 12.8531) * CHOOSE(CONTROL!$C$21, $C$9, 100%, $E$9)</f>
        <v>12.8531</v>
      </c>
      <c r="I268" s="17">
        <f>CHOOSE(CONTROL!$C$42, 12.6414, 12.6414)* CHOOSE(CONTROL!$C$21, $C$9, 100%, $E$9)</f>
        <v>12.641400000000001</v>
      </c>
      <c r="J268" s="17">
        <f>CHOOSE(CONTROL!$C$42, 12.584, 12.584)* CHOOSE(CONTROL!$C$21, $C$9, 100%, $E$9)</f>
        <v>12.584</v>
      </c>
      <c r="K268" s="52">
        <f>CHOOSE(CONTROL!$C$42, 12.6354, 12.6354) * CHOOSE(CONTROL!$C$21, $C$9, 100%, $E$9)</f>
        <v>12.635400000000001</v>
      </c>
      <c r="L268" s="17">
        <f>CHOOSE(CONTROL!$C$42, 13.4401, 13.4401) * CHOOSE(CONTROL!$C$21, $C$9, 100%, $E$9)</f>
        <v>13.440099999999999</v>
      </c>
      <c r="M268" s="17">
        <f>CHOOSE(CONTROL!$C$42, 12.4778, 12.4778) * CHOOSE(CONTROL!$C$21, $C$9, 100%, $E$9)</f>
        <v>12.4778</v>
      </c>
      <c r="N268" s="17">
        <f>CHOOSE(CONTROL!$C$42, 12.4936, 12.4936) * CHOOSE(CONTROL!$C$21, $C$9, 100%, $E$9)</f>
        <v>12.493600000000001</v>
      </c>
      <c r="O268" s="17">
        <f>CHOOSE(CONTROL!$C$42, 12.7445, 12.7445) * CHOOSE(CONTROL!$C$21, $C$9, 100%, $E$9)</f>
        <v>12.7445</v>
      </c>
      <c r="P268" s="17">
        <f>CHOOSE(CONTROL!$C$42, 12.5344, 12.5344) * CHOOSE(CONTROL!$C$21, $C$9, 100%, $E$9)</f>
        <v>12.5344</v>
      </c>
      <c r="Q268" s="17">
        <f>CHOOSE(CONTROL!$C$42, 13.3392, 13.3392) * CHOOSE(CONTROL!$C$21, $C$9, 100%, $E$9)</f>
        <v>13.3392</v>
      </c>
      <c r="R268" s="17">
        <f>CHOOSE(CONTROL!$C$42, 13.9595, 13.9595) * CHOOSE(CONTROL!$C$21, $C$9, 100%, $E$9)</f>
        <v>13.9595</v>
      </c>
      <c r="S268" s="17">
        <f>CHOOSE(CONTROL!$C$42, 12.1883, 12.1883) * CHOOSE(CONTROL!$C$21, $C$9, 100%, $E$9)</f>
        <v>12.1883</v>
      </c>
      <c r="T26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68" s="56">
        <f>(1000*CHOOSE(CONTROL!$C$42, 695, 695)*CHOOSE(CONTROL!$C$42, 0.5599, 0.5599)*CHOOSE(CONTROL!$C$42, 30, 30))/1000000</f>
        <v>11.673914999999997</v>
      </c>
      <c r="V268" s="56">
        <f>(1000*CHOOSE(CONTROL!$C$42, 500, 500)*CHOOSE(CONTROL!$C$42, 0.275, 0.275)*CHOOSE(CONTROL!$C$42, 30, 30))/1000000</f>
        <v>4.125</v>
      </c>
      <c r="W268" s="56">
        <f>(1000*CHOOSE(CONTROL!$C$42, 0.0916, 0.0916)*CHOOSE(CONTROL!$C$42, 121.5, 121.5)*CHOOSE(CONTROL!$C$42, 30, 30))/1000000</f>
        <v>0.33388200000000001</v>
      </c>
      <c r="X268" s="56">
        <f>(30*0.1790888*145000/1000000)+(30*0.2374*100000/1000000)</f>
        <v>1.4912362799999999</v>
      </c>
      <c r="Y268" s="56"/>
      <c r="Z268" s="17"/>
      <c r="AA268" s="55"/>
      <c r="AB268" s="48">
        <f>(B268*141.293+C268*267.993+D268*115.016+E268*189.698+F268*40+G268*85+H268*0+I268*100+J268*300)/(141.293+267.993+115.016+189.698+0+40+85+100+300)</f>
        <v>12.655867629459244</v>
      </c>
      <c r="AC268" s="45">
        <f>(M268*'RAP TEMPLATE-GAS AVAILABILITY'!O267+N268*'RAP TEMPLATE-GAS AVAILABILITY'!P267+O268*'RAP TEMPLATE-GAS AVAILABILITY'!Q267+P268*'RAP TEMPLATE-GAS AVAILABILITY'!R267)/('RAP TEMPLATE-GAS AVAILABILITY'!O267+'RAP TEMPLATE-GAS AVAILABILITY'!P267+'RAP TEMPLATE-GAS AVAILABILITY'!Q267+'RAP TEMPLATE-GAS AVAILABILITY'!R267)</f>
        <v>12.564410791366909</v>
      </c>
    </row>
    <row r="269" spans="1:29" ht="15.75" x14ac:dyDescent="0.25">
      <c r="A269" s="16">
        <v>49065</v>
      </c>
      <c r="B269" s="17">
        <f>CHOOSE(CONTROL!$C$42, 12.6921, 12.6921) * CHOOSE(CONTROL!$C$21, $C$9, 100%, $E$9)</f>
        <v>12.6921</v>
      </c>
      <c r="C269" s="17">
        <f>CHOOSE(CONTROL!$C$42, 12.7, 12.7) * CHOOSE(CONTROL!$C$21, $C$9, 100%, $E$9)</f>
        <v>12.7</v>
      </c>
      <c r="D269" s="17">
        <f>CHOOSE(CONTROL!$C$42, 12.9445, 12.9445) * CHOOSE(CONTROL!$C$21, $C$9, 100%, $E$9)</f>
        <v>12.9445</v>
      </c>
      <c r="E269" s="17">
        <f>CHOOSE(CONTROL!$C$42, 12.9757, 12.9757) * CHOOSE(CONTROL!$C$21, $C$9, 100%, $E$9)</f>
        <v>12.9757</v>
      </c>
      <c r="F269" s="17">
        <f>CHOOSE(CONTROL!$C$42, 12.7026, 12.7026)*CHOOSE(CONTROL!$C$21, $C$9, 100%, $E$9)</f>
        <v>12.7026</v>
      </c>
      <c r="G269" s="17">
        <f>CHOOSE(CONTROL!$C$42, 12.7188, 12.7188)*CHOOSE(CONTROL!$C$21, $C$9, 100%, $E$9)</f>
        <v>12.7188</v>
      </c>
      <c r="H269" s="17">
        <f>CHOOSE(CONTROL!$C$42, 12.964, 12.964) * CHOOSE(CONTROL!$C$21, $C$9, 100%, $E$9)</f>
        <v>12.964</v>
      </c>
      <c r="I269" s="17">
        <f>CHOOSE(CONTROL!$C$42, 12.7527, 12.7527)* CHOOSE(CONTROL!$C$21, $C$9, 100%, $E$9)</f>
        <v>12.752700000000001</v>
      </c>
      <c r="J269" s="17">
        <f>CHOOSE(CONTROL!$C$42, 12.6952, 12.6952)* CHOOSE(CONTROL!$C$21, $C$9, 100%, $E$9)</f>
        <v>12.6952</v>
      </c>
      <c r="K269" s="52">
        <f>CHOOSE(CONTROL!$C$42, 12.7467, 12.7467) * CHOOSE(CONTROL!$C$21, $C$9, 100%, $E$9)</f>
        <v>12.746700000000001</v>
      </c>
      <c r="L269" s="17">
        <f>CHOOSE(CONTROL!$C$42, 13.551, 13.551) * CHOOSE(CONTROL!$C$21, $C$9, 100%, $E$9)</f>
        <v>13.551</v>
      </c>
      <c r="M269" s="17">
        <f>CHOOSE(CONTROL!$C$42, 12.588, 12.588) * CHOOSE(CONTROL!$C$21, $C$9, 100%, $E$9)</f>
        <v>12.587999999999999</v>
      </c>
      <c r="N269" s="17">
        <f>CHOOSE(CONTROL!$C$42, 12.6041, 12.6041) * CHOOSE(CONTROL!$C$21, $C$9, 100%, $E$9)</f>
        <v>12.604100000000001</v>
      </c>
      <c r="O269" s="17">
        <f>CHOOSE(CONTROL!$C$42, 12.8544, 12.8544) * CHOOSE(CONTROL!$C$21, $C$9, 100%, $E$9)</f>
        <v>12.8544</v>
      </c>
      <c r="P269" s="17">
        <f>CHOOSE(CONTROL!$C$42, 12.6447, 12.6447) * CHOOSE(CONTROL!$C$21, $C$9, 100%, $E$9)</f>
        <v>12.6447</v>
      </c>
      <c r="Q269" s="17">
        <f>CHOOSE(CONTROL!$C$42, 13.4491, 13.4491) * CHOOSE(CONTROL!$C$21, $C$9, 100%, $E$9)</f>
        <v>13.4491</v>
      </c>
      <c r="R269" s="17">
        <f>CHOOSE(CONTROL!$C$42, 14.0697, 14.0697) * CHOOSE(CONTROL!$C$21, $C$9, 100%, $E$9)</f>
        <v>14.069699999999999</v>
      </c>
      <c r="S269" s="17">
        <f>CHOOSE(CONTROL!$C$42, 12.2959, 12.2959) * CHOOSE(CONTROL!$C$21, $C$9, 100%, $E$9)</f>
        <v>12.2959</v>
      </c>
      <c r="T26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69" s="56">
        <f>(1000*CHOOSE(CONTROL!$C$42, 695, 695)*CHOOSE(CONTROL!$C$42, 0.5599, 0.5599)*CHOOSE(CONTROL!$C$42, 31, 31))/1000000</f>
        <v>12.063045499999998</v>
      </c>
      <c r="V269" s="56">
        <f>(1000*CHOOSE(CONTROL!$C$42, 500, 500)*CHOOSE(CONTROL!$C$42, 0.275, 0.275)*CHOOSE(CONTROL!$C$42, 31, 31))/1000000</f>
        <v>4.2625000000000002</v>
      </c>
      <c r="W269" s="56">
        <f>(1000*CHOOSE(CONTROL!$C$42, 0.0916, 0.0916)*CHOOSE(CONTROL!$C$42, 121.5, 121.5)*CHOOSE(CONTROL!$C$42, 31, 31))/1000000</f>
        <v>0.34501139999999997</v>
      </c>
      <c r="X269" s="56">
        <f>(31*0.1790888*145000/1000000)+(31*0.2374*100000/1000000)</f>
        <v>1.5409441560000001</v>
      </c>
      <c r="Y269" s="56"/>
      <c r="Z269" s="17"/>
      <c r="AA269" s="55"/>
      <c r="AB269" s="48">
        <f>(B269*194.205+C269*267.466+D269*133.845+E269*153.484+F269*40+G269*85+H269*0+I269*100+J269*300)/(194.205+267.466+133.845+153.484+0+40+85+100+300)</f>
        <v>12.76203957755102</v>
      </c>
      <c r="AC269" s="45">
        <f>(M269*'RAP TEMPLATE-GAS AVAILABILITY'!O268+N269*'RAP TEMPLATE-GAS AVAILABILITY'!P268+O269*'RAP TEMPLATE-GAS AVAILABILITY'!Q268+P269*'RAP TEMPLATE-GAS AVAILABILITY'!R268)/('RAP TEMPLATE-GAS AVAILABILITY'!O268+'RAP TEMPLATE-GAS AVAILABILITY'!P268+'RAP TEMPLATE-GAS AVAILABILITY'!Q268+'RAP TEMPLATE-GAS AVAILABILITY'!R268)</f>
        <v>12.674610071942444</v>
      </c>
    </row>
    <row r="270" spans="1:29" ht="15.75" x14ac:dyDescent="0.25">
      <c r="A270" s="16">
        <v>49096</v>
      </c>
      <c r="B270" s="17">
        <f>CHOOSE(CONTROL!$C$42, 13.0517, 13.0517) * CHOOSE(CONTROL!$C$21, $C$9, 100%, $E$9)</f>
        <v>13.0517</v>
      </c>
      <c r="C270" s="17">
        <f>CHOOSE(CONTROL!$C$42, 13.0597, 13.0597) * CHOOSE(CONTROL!$C$21, $C$9, 100%, $E$9)</f>
        <v>13.059699999999999</v>
      </c>
      <c r="D270" s="17">
        <f>CHOOSE(CONTROL!$C$42, 13.3042, 13.3042) * CHOOSE(CONTROL!$C$21, $C$9, 100%, $E$9)</f>
        <v>13.3042</v>
      </c>
      <c r="E270" s="17">
        <f>CHOOSE(CONTROL!$C$42, 13.3353, 13.3353) * CHOOSE(CONTROL!$C$21, $C$9, 100%, $E$9)</f>
        <v>13.3353</v>
      </c>
      <c r="F270" s="17">
        <f>CHOOSE(CONTROL!$C$42, 13.0626, 13.0626)*CHOOSE(CONTROL!$C$21, $C$9, 100%, $E$9)</f>
        <v>13.0626</v>
      </c>
      <c r="G270" s="17">
        <f>CHOOSE(CONTROL!$C$42, 13.0789, 13.0789)*CHOOSE(CONTROL!$C$21, $C$9, 100%, $E$9)</f>
        <v>13.078900000000001</v>
      </c>
      <c r="H270" s="17">
        <f>CHOOSE(CONTROL!$C$42, 13.3237, 13.3237) * CHOOSE(CONTROL!$C$21, $C$9, 100%, $E$9)</f>
        <v>13.323700000000001</v>
      </c>
      <c r="I270" s="17">
        <f>CHOOSE(CONTROL!$C$42, 13.1135, 13.1135)* CHOOSE(CONTROL!$C$21, $C$9, 100%, $E$9)</f>
        <v>13.1135</v>
      </c>
      <c r="J270" s="17">
        <f>CHOOSE(CONTROL!$C$42, 13.0552, 13.0552)* CHOOSE(CONTROL!$C$21, $C$9, 100%, $E$9)</f>
        <v>13.055199999999999</v>
      </c>
      <c r="K270" s="52">
        <f>CHOOSE(CONTROL!$C$42, 13.1074, 13.1074) * CHOOSE(CONTROL!$C$21, $C$9, 100%, $E$9)</f>
        <v>13.1074</v>
      </c>
      <c r="L270" s="17">
        <f>CHOOSE(CONTROL!$C$42, 13.9107, 13.9107) * CHOOSE(CONTROL!$C$21, $C$9, 100%, $E$9)</f>
        <v>13.9107</v>
      </c>
      <c r="M270" s="17">
        <f>CHOOSE(CONTROL!$C$42, 12.9448, 12.9448) * CHOOSE(CONTROL!$C$21, $C$9, 100%, $E$9)</f>
        <v>12.944800000000001</v>
      </c>
      <c r="N270" s="17">
        <f>CHOOSE(CONTROL!$C$42, 12.961, 12.961) * CHOOSE(CONTROL!$C$21, $C$9, 100%, $E$9)</f>
        <v>12.961</v>
      </c>
      <c r="O270" s="17">
        <f>CHOOSE(CONTROL!$C$42, 13.2109, 13.2109) * CHOOSE(CONTROL!$C$21, $C$9, 100%, $E$9)</f>
        <v>13.210900000000001</v>
      </c>
      <c r="P270" s="17">
        <f>CHOOSE(CONTROL!$C$42, 13.0022, 13.0022) * CHOOSE(CONTROL!$C$21, $C$9, 100%, $E$9)</f>
        <v>13.0022</v>
      </c>
      <c r="Q270" s="17">
        <f>CHOOSE(CONTROL!$C$42, 13.8056, 13.8056) * CHOOSE(CONTROL!$C$21, $C$9, 100%, $E$9)</f>
        <v>13.8056</v>
      </c>
      <c r="R270" s="17">
        <f>CHOOSE(CONTROL!$C$42, 14.4271, 14.4271) * CHOOSE(CONTROL!$C$21, $C$9, 100%, $E$9)</f>
        <v>14.427099999999999</v>
      </c>
      <c r="S270" s="17">
        <f>CHOOSE(CONTROL!$C$42, 12.6447, 12.6447) * CHOOSE(CONTROL!$C$21, $C$9, 100%, $E$9)</f>
        <v>12.6447</v>
      </c>
      <c r="T27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70" s="56">
        <f>(1000*CHOOSE(CONTROL!$C$42, 695, 695)*CHOOSE(CONTROL!$C$42, 0.5599, 0.5599)*CHOOSE(CONTROL!$C$42, 30, 30))/1000000</f>
        <v>11.673914999999997</v>
      </c>
      <c r="V270" s="56">
        <f>(1000*CHOOSE(CONTROL!$C$42, 500, 500)*CHOOSE(CONTROL!$C$42, 0.275, 0.275)*CHOOSE(CONTROL!$C$42, 30, 30))/1000000</f>
        <v>4.125</v>
      </c>
      <c r="W270" s="56">
        <f>(1000*CHOOSE(CONTROL!$C$42, 0.0916, 0.0916)*CHOOSE(CONTROL!$C$42, 121.5, 121.5)*CHOOSE(CONTROL!$C$42, 30, 30))/1000000</f>
        <v>0.33388200000000001</v>
      </c>
      <c r="X270" s="56">
        <f>(30*0.1790888*145000/1000000)+(30*0.2374*100000/1000000)</f>
        <v>1.4912362799999999</v>
      </c>
      <c r="Y270" s="56"/>
      <c r="Z270" s="17"/>
      <c r="AA270" s="55"/>
      <c r="AB270" s="48">
        <f>(B270*194.205+C270*267.466+D270*133.845+E270*153.484+F270*40+G270*85+H270*0+I270*100+J270*300)/(194.205+267.466+133.845+153.484+0+40+85+100+300)</f>
        <v>13.121905379042387</v>
      </c>
      <c r="AC270" s="45">
        <f>(M270*'RAP TEMPLATE-GAS AVAILABILITY'!O269+N270*'RAP TEMPLATE-GAS AVAILABILITY'!P269+O270*'RAP TEMPLATE-GAS AVAILABILITY'!Q269+P270*'RAP TEMPLATE-GAS AVAILABILITY'!R269)/('RAP TEMPLATE-GAS AVAILABILITY'!O269+'RAP TEMPLATE-GAS AVAILABILITY'!P269+'RAP TEMPLATE-GAS AVAILABILITY'!Q269+'RAP TEMPLATE-GAS AVAILABILITY'!R269)</f>
        <v>13.03144964028777</v>
      </c>
    </row>
    <row r="271" spans="1:29" ht="15.75" x14ac:dyDescent="0.25">
      <c r="A271" s="16">
        <v>49126</v>
      </c>
      <c r="B271" s="17">
        <f>CHOOSE(CONTROL!$C$42, 12.8016, 12.8016) * CHOOSE(CONTROL!$C$21, $C$9, 100%, $E$9)</f>
        <v>12.801600000000001</v>
      </c>
      <c r="C271" s="17">
        <f>CHOOSE(CONTROL!$C$42, 12.8096, 12.8096) * CHOOSE(CONTROL!$C$21, $C$9, 100%, $E$9)</f>
        <v>12.8096</v>
      </c>
      <c r="D271" s="17">
        <f>CHOOSE(CONTROL!$C$42, 13.054, 13.054) * CHOOSE(CONTROL!$C$21, $C$9, 100%, $E$9)</f>
        <v>13.054</v>
      </c>
      <c r="E271" s="17">
        <f>CHOOSE(CONTROL!$C$42, 13.0852, 13.0852) * CHOOSE(CONTROL!$C$21, $C$9, 100%, $E$9)</f>
        <v>13.0852</v>
      </c>
      <c r="F271" s="17">
        <f>CHOOSE(CONTROL!$C$42, 12.8129, 12.8129)*CHOOSE(CONTROL!$C$21, $C$9, 100%, $E$9)</f>
        <v>12.812900000000001</v>
      </c>
      <c r="G271" s="17">
        <f>CHOOSE(CONTROL!$C$42, 12.8293, 12.8293)*CHOOSE(CONTROL!$C$21, $C$9, 100%, $E$9)</f>
        <v>12.8293</v>
      </c>
      <c r="H271" s="17">
        <f>CHOOSE(CONTROL!$C$42, 13.0735, 13.0735) * CHOOSE(CONTROL!$C$21, $C$9, 100%, $E$9)</f>
        <v>13.073499999999999</v>
      </c>
      <c r="I271" s="17">
        <f>CHOOSE(CONTROL!$C$42, 12.8626, 12.8626)* CHOOSE(CONTROL!$C$21, $C$9, 100%, $E$9)</f>
        <v>12.8626</v>
      </c>
      <c r="J271" s="17">
        <f>CHOOSE(CONTROL!$C$42, 12.8055, 12.8055)* CHOOSE(CONTROL!$C$21, $C$9, 100%, $E$9)</f>
        <v>12.8055</v>
      </c>
      <c r="K271" s="52">
        <f>CHOOSE(CONTROL!$C$42, 12.8565, 12.8565) * CHOOSE(CONTROL!$C$21, $C$9, 100%, $E$9)</f>
        <v>12.8565</v>
      </c>
      <c r="L271" s="17">
        <f>CHOOSE(CONTROL!$C$42, 13.6605, 13.6605) * CHOOSE(CONTROL!$C$21, $C$9, 100%, $E$9)</f>
        <v>13.660500000000001</v>
      </c>
      <c r="M271" s="17">
        <f>CHOOSE(CONTROL!$C$42, 12.6973, 12.6973) * CHOOSE(CONTROL!$C$21, $C$9, 100%, $E$9)</f>
        <v>12.6973</v>
      </c>
      <c r="N271" s="17">
        <f>CHOOSE(CONTROL!$C$42, 12.7136, 12.7136) * CHOOSE(CONTROL!$C$21, $C$9, 100%, $E$9)</f>
        <v>12.7136</v>
      </c>
      <c r="O271" s="17">
        <f>CHOOSE(CONTROL!$C$42, 12.963, 12.963) * CHOOSE(CONTROL!$C$21, $C$9, 100%, $E$9)</f>
        <v>12.962999999999999</v>
      </c>
      <c r="P271" s="17">
        <f>CHOOSE(CONTROL!$C$42, 12.7536, 12.7536) * CHOOSE(CONTROL!$C$21, $C$9, 100%, $E$9)</f>
        <v>12.7536</v>
      </c>
      <c r="Q271" s="17">
        <f>CHOOSE(CONTROL!$C$42, 13.5577, 13.5577) * CHOOSE(CONTROL!$C$21, $C$9, 100%, $E$9)</f>
        <v>13.557700000000001</v>
      </c>
      <c r="R271" s="17">
        <f>CHOOSE(CONTROL!$C$42, 14.1785, 14.1785) * CHOOSE(CONTROL!$C$21, $C$9, 100%, $E$9)</f>
        <v>14.1785</v>
      </c>
      <c r="S271" s="17">
        <f>CHOOSE(CONTROL!$C$42, 12.4021, 12.4021) * CHOOSE(CONTROL!$C$21, $C$9, 100%, $E$9)</f>
        <v>12.402100000000001</v>
      </c>
      <c r="T27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71" s="56">
        <f>(1000*CHOOSE(CONTROL!$C$42, 695, 695)*CHOOSE(CONTROL!$C$42, 0.5599, 0.5599)*CHOOSE(CONTROL!$C$42, 31, 31))/1000000</f>
        <v>12.063045499999998</v>
      </c>
      <c r="V271" s="56">
        <f>(1000*CHOOSE(CONTROL!$C$42, 500, 500)*CHOOSE(CONTROL!$C$42, 0.275, 0.275)*CHOOSE(CONTROL!$C$42, 31, 31))/1000000</f>
        <v>4.2625000000000002</v>
      </c>
      <c r="W271" s="56">
        <f>(1000*CHOOSE(CONTROL!$C$42, 0.0916, 0.0916)*CHOOSE(CONTROL!$C$42, 121.5, 121.5)*CHOOSE(CONTROL!$C$42, 31, 31))/1000000</f>
        <v>0.34501139999999997</v>
      </c>
      <c r="X271" s="56">
        <f>(31*0.1790888*145000/1000000)+(31*0.2374*100000/1000000)</f>
        <v>1.5409441560000001</v>
      </c>
      <c r="Y271" s="56"/>
      <c r="Z271" s="17"/>
      <c r="AA271" s="55"/>
      <c r="AB271" s="48">
        <f>(B271*194.205+C271*267.466+D271*133.845+E271*153.484+F271*40+G271*85+H271*0+I271*100+J271*300)/(194.205+267.466+133.845+153.484+0+40+85+100+300)</f>
        <v>12.871872188697019</v>
      </c>
      <c r="AC271" s="45">
        <f>(M271*'RAP TEMPLATE-GAS AVAILABILITY'!O270+N271*'RAP TEMPLATE-GAS AVAILABILITY'!P270+O271*'RAP TEMPLATE-GAS AVAILABILITY'!Q270+P271*'RAP TEMPLATE-GAS AVAILABILITY'!R270)/('RAP TEMPLATE-GAS AVAILABILITY'!O270+'RAP TEMPLATE-GAS AVAILABILITY'!P270+'RAP TEMPLATE-GAS AVAILABILITY'!Q270+'RAP TEMPLATE-GAS AVAILABILITY'!R270)</f>
        <v>12.783702158273382</v>
      </c>
    </row>
    <row r="272" spans="1:29" ht="15.75" x14ac:dyDescent="0.25">
      <c r="A272" s="16">
        <v>49157</v>
      </c>
      <c r="B272" s="17">
        <f>CHOOSE(CONTROL!$C$42, 12.1699, 12.1699) * CHOOSE(CONTROL!$C$21, $C$9, 100%, $E$9)</f>
        <v>12.1699</v>
      </c>
      <c r="C272" s="17">
        <f>CHOOSE(CONTROL!$C$42, 12.1779, 12.1779) * CHOOSE(CONTROL!$C$21, $C$9, 100%, $E$9)</f>
        <v>12.177899999999999</v>
      </c>
      <c r="D272" s="17">
        <f>CHOOSE(CONTROL!$C$42, 12.4223, 12.4223) * CHOOSE(CONTROL!$C$21, $C$9, 100%, $E$9)</f>
        <v>12.4223</v>
      </c>
      <c r="E272" s="17">
        <f>CHOOSE(CONTROL!$C$42, 12.4535, 12.4535) * CHOOSE(CONTROL!$C$21, $C$9, 100%, $E$9)</f>
        <v>12.4535</v>
      </c>
      <c r="F272" s="17">
        <f>CHOOSE(CONTROL!$C$42, 12.1814, 12.1814)*CHOOSE(CONTROL!$C$21, $C$9, 100%, $E$9)</f>
        <v>12.1814</v>
      </c>
      <c r="G272" s="17">
        <f>CHOOSE(CONTROL!$C$42, 12.1979, 12.1979)*CHOOSE(CONTROL!$C$21, $C$9, 100%, $E$9)</f>
        <v>12.197900000000001</v>
      </c>
      <c r="H272" s="17">
        <f>CHOOSE(CONTROL!$C$42, 12.4418, 12.4418) * CHOOSE(CONTROL!$C$21, $C$9, 100%, $E$9)</f>
        <v>12.441800000000001</v>
      </c>
      <c r="I272" s="17">
        <f>CHOOSE(CONTROL!$C$42, 12.2289, 12.2289)* CHOOSE(CONTROL!$C$21, $C$9, 100%, $E$9)</f>
        <v>12.228899999999999</v>
      </c>
      <c r="J272" s="17">
        <f>CHOOSE(CONTROL!$C$42, 12.174, 12.174)* CHOOSE(CONTROL!$C$21, $C$9, 100%, $E$9)</f>
        <v>12.173999999999999</v>
      </c>
      <c r="K272" s="52">
        <f>CHOOSE(CONTROL!$C$42, 12.2229, 12.2229) * CHOOSE(CONTROL!$C$21, $C$9, 100%, $E$9)</f>
        <v>12.222899999999999</v>
      </c>
      <c r="L272" s="17">
        <f>CHOOSE(CONTROL!$C$42, 13.0288, 13.0288) * CHOOSE(CONTROL!$C$21, $C$9, 100%, $E$9)</f>
        <v>13.0288</v>
      </c>
      <c r="M272" s="17">
        <f>CHOOSE(CONTROL!$C$42, 12.0715, 12.0715) * CHOOSE(CONTROL!$C$21, $C$9, 100%, $E$9)</f>
        <v>12.0715</v>
      </c>
      <c r="N272" s="17">
        <f>CHOOSE(CONTROL!$C$42, 12.0879, 12.0879) * CHOOSE(CONTROL!$C$21, $C$9, 100%, $E$9)</f>
        <v>12.087899999999999</v>
      </c>
      <c r="O272" s="17">
        <f>CHOOSE(CONTROL!$C$42, 12.3369, 12.3369) * CHOOSE(CONTROL!$C$21, $C$9, 100%, $E$9)</f>
        <v>12.3369</v>
      </c>
      <c r="P272" s="17">
        <f>CHOOSE(CONTROL!$C$42, 12.1256, 12.1256) * CHOOSE(CONTROL!$C$21, $C$9, 100%, $E$9)</f>
        <v>12.1256</v>
      </c>
      <c r="Q272" s="17">
        <f>CHOOSE(CONTROL!$C$42, 12.9316, 12.9316) * CHOOSE(CONTROL!$C$21, $C$9, 100%, $E$9)</f>
        <v>12.9316</v>
      </c>
      <c r="R272" s="17">
        <f>CHOOSE(CONTROL!$C$42, 13.551, 13.551) * CHOOSE(CONTROL!$C$21, $C$9, 100%, $E$9)</f>
        <v>13.551</v>
      </c>
      <c r="S272" s="17">
        <f>CHOOSE(CONTROL!$C$42, 11.7895, 11.7895) * CHOOSE(CONTROL!$C$21, $C$9, 100%, $E$9)</f>
        <v>11.7895</v>
      </c>
      <c r="T27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72" s="56">
        <f>(1000*CHOOSE(CONTROL!$C$42, 695, 695)*CHOOSE(CONTROL!$C$42, 0.5599, 0.5599)*CHOOSE(CONTROL!$C$42, 31, 31))/1000000</f>
        <v>12.063045499999998</v>
      </c>
      <c r="V272" s="56">
        <f>(1000*CHOOSE(CONTROL!$C$42, 500, 500)*CHOOSE(CONTROL!$C$42, 0.275, 0.275)*CHOOSE(CONTROL!$C$42, 31, 31))/1000000</f>
        <v>4.2625000000000002</v>
      </c>
      <c r="W272" s="56">
        <f>(1000*CHOOSE(CONTROL!$C$42, 0.0916, 0.0916)*CHOOSE(CONTROL!$C$42, 121.5, 121.5)*CHOOSE(CONTROL!$C$42, 31, 31))/1000000</f>
        <v>0.34501139999999997</v>
      </c>
      <c r="X272" s="56">
        <f>(31*0.1790888*145000/1000000)+(31*0.2374*100000/1000000)</f>
        <v>1.5409441560000001</v>
      </c>
      <c r="Y272" s="56"/>
      <c r="Z272" s="17"/>
      <c r="AA272" s="55"/>
      <c r="AB272" s="48">
        <f>(B272*194.205+C272*267.466+D272*133.845+E272*153.484+F272*40+G272*85+H272*0+I272*100+J272*300)/(194.205+267.466+133.845+153.484+0+40+85+100+300)</f>
        <v>12.240088593720564</v>
      </c>
      <c r="AC272" s="45">
        <f>(M272*'RAP TEMPLATE-GAS AVAILABILITY'!O271+N272*'RAP TEMPLATE-GAS AVAILABILITY'!P271+O272*'RAP TEMPLATE-GAS AVAILABILITY'!Q271+P272*'RAP TEMPLATE-GAS AVAILABILITY'!R271)/('RAP TEMPLATE-GAS AVAILABILITY'!O271+'RAP TEMPLATE-GAS AVAILABILITY'!P271+'RAP TEMPLATE-GAS AVAILABILITY'!Q271+'RAP TEMPLATE-GAS AVAILABILITY'!R271)</f>
        <v>12.157524460431654</v>
      </c>
    </row>
    <row r="273" spans="1:29" ht="15.75" x14ac:dyDescent="0.25">
      <c r="A273" s="16">
        <v>49188</v>
      </c>
      <c r="B273" s="17">
        <f>CHOOSE(CONTROL!$C$42, 11.3978, 11.3978) * CHOOSE(CONTROL!$C$21, $C$9, 100%, $E$9)</f>
        <v>11.3978</v>
      </c>
      <c r="C273" s="17">
        <f>CHOOSE(CONTROL!$C$42, 11.4058, 11.4058) * CHOOSE(CONTROL!$C$21, $C$9, 100%, $E$9)</f>
        <v>11.405799999999999</v>
      </c>
      <c r="D273" s="17">
        <f>CHOOSE(CONTROL!$C$42, 11.6503, 11.6503) * CHOOSE(CONTROL!$C$21, $C$9, 100%, $E$9)</f>
        <v>11.6503</v>
      </c>
      <c r="E273" s="17">
        <f>CHOOSE(CONTROL!$C$42, 11.6814, 11.6814) * CHOOSE(CONTROL!$C$21, $C$9, 100%, $E$9)</f>
        <v>11.6814</v>
      </c>
      <c r="F273" s="17">
        <f>CHOOSE(CONTROL!$C$42, 11.4094, 11.4094)*CHOOSE(CONTROL!$C$21, $C$9, 100%, $E$9)</f>
        <v>11.4094</v>
      </c>
      <c r="G273" s="17">
        <f>CHOOSE(CONTROL!$C$42, 11.426, 11.426)*CHOOSE(CONTROL!$C$21, $C$9, 100%, $E$9)</f>
        <v>11.426</v>
      </c>
      <c r="H273" s="17">
        <f>CHOOSE(CONTROL!$C$42, 11.6698, 11.6698) * CHOOSE(CONTROL!$C$21, $C$9, 100%, $E$9)</f>
        <v>11.6698</v>
      </c>
      <c r="I273" s="17">
        <f>CHOOSE(CONTROL!$C$42, 11.4545, 11.4545)* CHOOSE(CONTROL!$C$21, $C$9, 100%, $E$9)</f>
        <v>11.454499999999999</v>
      </c>
      <c r="J273" s="17">
        <f>CHOOSE(CONTROL!$C$42, 11.402, 11.402)* CHOOSE(CONTROL!$C$21, $C$9, 100%, $E$9)</f>
        <v>11.401999999999999</v>
      </c>
      <c r="K273" s="52">
        <f>CHOOSE(CONTROL!$C$42, 11.4484, 11.4484) * CHOOSE(CONTROL!$C$21, $C$9, 100%, $E$9)</f>
        <v>11.448399999999999</v>
      </c>
      <c r="L273" s="17">
        <f>CHOOSE(CONTROL!$C$42, 12.2568, 12.2568) * CHOOSE(CONTROL!$C$21, $C$9, 100%, $E$9)</f>
        <v>12.2568</v>
      </c>
      <c r="M273" s="17">
        <f>CHOOSE(CONTROL!$C$42, 11.3065, 11.3065) * CHOOSE(CONTROL!$C$21, $C$9, 100%, $E$9)</f>
        <v>11.3065</v>
      </c>
      <c r="N273" s="17">
        <f>CHOOSE(CONTROL!$C$42, 11.3229, 11.3229) * CHOOSE(CONTROL!$C$21, $C$9, 100%, $E$9)</f>
        <v>11.322900000000001</v>
      </c>
      <c r="O273" s="17">
        <f>CHOOSE(CONTROL!$C$42, 11.5718, 11.5718) * CHOOSE(CONTROL!$C$21, $C$9, 100%, $E$9)</f>
        <v>11.5718</v>
      </c>
      <c r="P273" s="17">
        <f>CHOOSE(CONTROL!$C$42, 11.3582, 11.3582) * CHOOSE(CONTROL!$C$21, $C$9, 100%, $E$9)</f>
        <v>11.3582</v>
      </c>
      <c r="Q273" s="17">
        <f>CHOOSE(CONTROL!$C$42, 12.1665, 12.1665) * CHOOSE(CONTROL!$C$21, $C$9, 100%, $E$9)</f>
        <v>12.166499999999999</v>
      </c>
      <c r="R273" s="17">
        <f>CHOOSE(CONTROL!$C$42, 12.7839, 12.7839) * CHOOSE(CONTROL!$C$21, $C$9, 100%, $E$9)</f>
        <v>12.783899999999999</v>
      </c>
      <c r="S273" s="17">
        <f>CHOOSE(CONTROL!$C$42, 11.0409, 11.0409) * CHOOSE(CONTROL!$C$21, $C$9, 100%, $E$9)</f>
        <v>11.040900000000001</v>
      </c>
      <c r="T27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73" s="56">
        <f>(1000*CHOOSE(CONTROL!$C$42, 695, 695)*CHOOSE(CONTROL!$C$42, 0.5599, 0.5599)*CHOOSE(CONTROL!$C$42, 30, 30))/1000000</f>
        <v>11.673914999999997</v>
      </c>
      <c r="V273" s="56">
        <f>(1000*CHOOSE(CONTROL!$C$42, 500, 500)*CHOOSE(CONTROL!$C$42, 0.275, 0.275)*CHOOSE(CONTROL!$C$42, 30, 30))/1000000</f>
        <v>4.125</v>
      </c>
      <c r="W273" s="56">
        <f>(1000*CHOOSE(CONTROL!$C$42, 0.0916, 0.0916)*CHOOSE(CONTROL!$C$42, 121.5, 121.5)*CHOOSE(CONTROL!$C$42, 30, 30))/1000000</f>
        <v>0.33388200000000001</v>
      </c>
      <c r="X273" s="56">
        <f>(30*0.1790888*145000/1000000)+(30*0.2374*100000/1000000)</f>
        <v>1.4912362799999999</v>
      </c>
      <c r="Y273" s="56"/>
      <c r="Z273" s="17"/>
      <c r="AA273" s="55"/>
      <c r="AB273" s="48">
        <f>(B273*194.205+C273*267.466+D273*133.845+E273*153.484+F273*40+G273*85+H273*0+I273*100+J273*300)/(194.205+267.466+133.845+153.484+0+40+85+100+300)</f>
        <v>11.467858597252748</v>
      </c>
      <c r="AC273" s="45">
        <f>(M273*'RAP TEMPLATE-GAS AVAILABILITY'!O272+N273*'RAP TEMPLATE-GAS AVAILABILITY'!P272+O273*'RAP TEMPLATE-GAS AVAILABILITY'!Q272+P273*'RAP TEMPLATE-GAS AVAILABILITY'!R272)/('RAP TEMPLATE-GAS AVAILABILITY'!O272+'RAP TEMPLATE-GAS AVAILABILITY'!P272+'RAP TEMPLATE-GAS AVAILABILITY'!Q272+'RAP TEMPLATE-GAS AVAILABILITY'!R272)</f>
        <v>11.39215107913669</v>
      </c>
    </row>
    <row r="274" spans="1:29" ht="15.75" x14ac:dyDescent="0.25">
      <c r="A274" s="16">
        <v>49218</v>
      </c>
      <c r="B274" s="17">
        <f>CHOOSE(CONTROL!$C$42, 11.1649, 11.1649) * CHOOSE(CONTROL!$C$21, $C$9, 100%, $E$9)</f>
        <v>11.164899999999999</v>
      </c>
      <c r="C274" s="17">
        <f>CHOOSE(CONTROL!$C$42, 11.1703, 11.1703) * CHOOSE(CONTROL!$C$21, $C$9, 100%, $E$9)</f>
        <v>11.170299999999999</v>
      </c>
      <c r="D274" s="17">
        <f>CHOOSE(CONTROL!$C$42, 11.4196, 11.4196) * CHOOSE(CONTROL!$C$21, $C$9, 100%, $E$9)</f>
        <v>11.419600000000001</v>
      </c>
      <c r="E274" s="17">
        <f>CHOOSE(CONTROL!$C$42, 11.4485, 11.4485) * CHOOSE(CONTROL!$C$21, $C$9, 100%, $E$9)</f>
        <v>11.448499999999999</v>
      </c>
      <c r="F274" s="17">
        <f>CHOOSE(CONTROL!$C$42, 11.1787, 11.1787)*CHOOSE(CONTROL!$C$21, $C$9, 100%, $E$9)</f>
        <v>11.178699999999999</v>
      </c>
      <c r="G274" s="17">
        <f>CHOOSE(CONTROL!$C$42, 11.1951, 11.1951)*CHOOSE(CONTROL!$C$21, $C$9, 100%, $E$9)</f>
        <v>11.1951</v>
      </c>
      <c r="H274" s="17">
        <f>CHOOSE(CONTROL!$C$42, 11.4386, 11.4386) * CHOOSE(CONTROL!$C$21, $C$9, 100%, $E$9)</f>
        <v>11.438599999999999</v>
      </c>
      <c r="I274" s="17">
        <f>CHOOSE(CONTROL!$C$42, 11.2226, 11.2226)* CHOOSE(CONTROL!$C$21, $C$9, 100%, $E$9)</f>
        <v>11.2226</v>
      </c>
      <c r="J274" s="17">
        <f>CHOOSE(CONTROL!$C$42, 11.1713, 11.1713)* CHOOSE(CONTROL!$C$21, $C$9, 100%, $E$9)</f>
        <v>11.1713</v>
      </c>
      <c r="K274" s="52">
        <f>CHOOSE(CONTROL!$C$42, 11.2165, 11.2165) * CHOOSE(CONTROL!$C$21, $C$9, 100%, $E$9)</f>
        <v>11.2165</v>
      </c>
      <c r="L274" s="17">
        <f>CHOOSE(CONTROL!$C$42, 12.0256, 12.0256) * CHOOSE(CONTROL!$C$21, $C$9, 100%, $E$9)</f>
        <v>12.025600000000001</v>
      </c>
      <c r="M274" s="17">
        <f>CHOOSE(CONTROL!$C$42, 11.0779, 11.0779) * CHOOSE(CONTROL!$C$21, $C$9, 100%, $E$9)</f>
        <v>11.0779</v>
      </c>
      <c r="N274" s="17">
        <f>CHOOSE(CONTROL!$C$42, 11.0941, 11.0941) * CHOOSE(CONTROL!$C$21, $C$9, 100%, $E$9)</f>
        <v>11.094099999999999</v>
      </c>
      <c r="O274" s="17">
        <f>CHOOSE(CONTROL!$C$42, 11.3427, 11.3427) * CHOOSE(CONTROL!$C$21, $C$9, 100%, $E$9)</f>
        <v>11.342700000000001</v>
      </c>
      <c r="P274" s="17">
        <f>CHOOSE(CONTROL!$C$42, 11.1284, 11.1284) * CHOOSE(CONTROL!$C$21, $C$9, 100%, $E$9)</f>
        <v>11.128399999999999</v>
      </c>
      <c r="Q274" s="17">
        <f>CHOOSE(CONTROL!$C$42, 11.9374, 11.9374) * CHOOSE(CONTROL!$C$21, $C$9, 100%, $E$9)</f>
        <v>11.9374</v>
      </c>
      <c r="R274" s="17">
        <f>CHOOSE(CONTROL!$C$42, 12.5543, 12.5543) * CHOOSE(CONTROL!$C$21, $C$9, 100%, $E$9)</f>
        <v>12.5543</v>
      </c>
      <c r="S274" s="17">
        <f>CHOOSE(CONTROL!$C$42, 10.8167, 10.8167) * CHOOSE(CONTROL!$C$21, $C$9, 100%, $E$9)</f>
        <v>10.816700000000001</v>
      </c>
      <c r="T27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74" s="56">
        <f>(1000*CHOOSE(CONTROL!$C$42, 695, 695)*CHOOSE(CONTROL!$C$42, 0.5599, 0.5599)*CHOOSE(CONTROL!$C$42, 31, 31))/1000000</f>
        <v>12.063045499999998</v>
      </c>
      <c r="V274" s="56">
        <f>(1000*CHOOSE(CONTROL!$C$42, 500, 500)*CHOOSE(CONTROL!$C$42, 0.275, 0.275)*CHOOSE(CONTROL!$C$42, 31, 31))/1000000</f>
        <v>4.2625000000000002</v>
      </c>
      <c r="W274" s="56">
        <f>(1000*CHOOSE(CONTROL!$C$42, 0.0916, 0.0916)*CHOOSE(CONTROL!$C$42, 121.5, 121.5)*CHOOSE(CONTROL!$C$42, 31, 31))/1000000</f>
        <v>0.34501139999999997</v>
      </c>
      <c r="X274" s="56">
        <f>(31*0.1790888*145000/1000000)+(31*0.2374*100000/1000000)</f>
        <v>1.5409441560000001</v>
      </c>
      <c r="Y274" s="56"/>
      <c r="Z274" s="17"/>
      <c r="AA274" s="55"/>
      <c r="AB274" s="48">
        <f>(B274*131.881+C274*277.167+D274*79.08+E274*225.872+F274*40+G274*85+H274*0+I274*100+J274*300)/(131.881+277.167+79.08+225.872+0+40+85+100+300)</f>
        <v>11.242789166263115</v>
      </c>
      <c r="AC274" s="45">
        <f>(M274*'RAP TEMPLATE-GAS AVAILABILITY'!O273+N274*'RAP TEMPLATE-GAS AVAILABILITY'!P273+O274*'RAP TEMPLATE-GAS AVAILABILITY'!Q273+P274*'RAP TEMPLATE-GAS AVAILABILITY'!R273)/('RAP TEMPLATE-GAS AVAILABILITY'!O273+'RAP TEMPLATE-GAS AVAILABILITY'!P273+'RAP TEMPLATE-GAS AVAILABILITY'!Q273+'RAP TEMPLATE-GAS AVAILABILITY'!R273)</f>
        <v>11.163192086330936</v>
      </c>
    </row>
    <row r="275" spans="1:29" ht="15.75" x14ac:dyDescent="0.25">
      <c r="A275" s="16">
        <v>49249</v>
      </c>
      <c r="B275" s="17">
        <f>CHOOSE(CONTROL!$C$42, 11.4584, 11.4584) * CHOOSE(CONTROL!$C$21, $C$9, 100%, $E$9)</f>
        <v>11.458399999999999</v>
      </c>
      <c r="C275" s="17">
        <f>CHOOSE(CONTROL!$C$42, 11.4635, 11.4635) * CHOOSE(CONTROL!$C$21, $C$9, 100%, $E$9)</f>
        <v>11.4635</v>
      </c>
      <c r="D275" s="17">
        <f>CHOOSE(CONTROL!$C$42, 11.5448, 11.5448) * CHOOSE(CONTROL!$C$21, $C$9, 100%, $E$9)</f>
        <v>11.5448</v>
      </c>
      <c r="E275" s="17">
        <f>CHOOSE(CONTROL!$C$42, 11.5786, 11.5786) * CHOOSE(CONTROL!$C$21, $C$9, 100%, $E$9)</f>
        <v>11.5786</v>
      </c>
      <c r="F275" s="17">
        <f>CHOOSE(CONTROL!$C$42, 11.4763, 11.4763)*CHOOSE(CONTROL!$C$21, $C$9, 100%, $E$9)</f>
        <v>11.4763</v>
      </c>
      <c r="G275" s="17">
        <f>CHOOSE(CONTROL!$C$42, 11.493, 11.493)*CHOOSE(CONTROL!$C$21, $C$9, 100%, $E$9)</f>
        <v>11.493</v>
      </c>
      <c r="H275" s="17">
        <f>CHOOSE(CONTROL!$C$42, 11.5675, 11.5675) * CHOOSE(CONTROL!$C$21, $C$9, 100%, $E$9)</f>
        <v>11.567500000000001</v>
      </c>
      <c r="I275" s="17">
        <f>CHOOSE(CONTROL!$C$42, 11.5189, 11.5189)* CHOOSE(CONTROL!$C$21, $C$9, 100%, $E$9)</f>
        <v>11.5189</v>
      </c>
      <c r="J275" s="17">
        <f>CHOOSE(CONTROL!$C$42, 11.4689, 11.4689)* CHOOSE(CONTROL!$C$21, $C$9, 100%, $E$9)</f>
        <v>11.4689</v>
      </c>
      <c r="K275" s="52">
        <f>CHOOSE(CONTROL!$C$42, 11.5128, 11.5128) * CHOOSE(CONTROL!$C$21, $C$9, 100%, $E$9)</f>
        <v>11.5128</v>
      </c>
      <c r="L275" s="17">
        <f>CHOOSE(CONTROL!$C$42, 12.1545, 12.1545) * CHOOSE(CONTROL!$C$21, $C$9, 100%, $E$9)</f>
        <v>12.154500000000001</v>
      </c>
      <c r="M275" s="17">
        <f>CHOOSE(CONTROL!$C$42, 11.3728, 11.3728) * CHOOSE(CONTROL!$C$21, $C$9, 100%, $E$9)</f>
        <v>11.3728</v>
      </c>
      <c r="N275" s="17">
        <f>CHOOSE(CONTROL!$C$42, 11.3893, 11.3893) * CHOOSE(CONTROL!$C$21, $C$9, 100%, $E$9)</f>
        <v>11.3893</v>
      </c>
      <c r="O275" s="17">
        <f>CHOOSE(CONTROL!$C$42, 11.4704, 11.4704) * CHOOSE(CONTROL!$C$21, $C$9, 100%, $E$9)</f>
        <v>11.4704</v>
      </c>
      <c r="P275" s="17">
        <f>CHOOSE(CONTROL!$C$42, 11.422, 11.422) * CHOOSE(CONTROL!$C$21, $C$9, 100%, $E$9)</f>
        <v>11.422000000000001</v>
      </c>
      <c r="Q275" s="17">
        <f>CHOOSE(CONTROL!$C$42, 12.0651, 12.0651) * CHOOSE(CONTROL!$C$21, $C$9, 100%, $E$9)</f>
        <v>12.065099999999999</v>
      </c>
      <c r="R275" s="17">
        <f>CHOOSE(CONTROL!$C$42, 12.6823, 12.6823) * CHOOSE(CONTROL!$C$21, $C$9, 100%, $E$9)</f>
        <v>12.6823</v>
      </c>
      <c r="S275" s="17">
        <f>CHOOSE(CONTROL!$C$42, 11.1017, 11.1017) * CHOOSE(CONTROL!$C$21, $C$9, 100%, $E$9)</f>
        <v>11.101699999999999</v>
      </c>
      <c r="T27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75" s="56">
        <f>(1000*CHOOSE(CONTROL!$C$42, 695, 695)*CHOOSE(CONTROL!$C$42, 0.5599, 0.5599)*CHOOSE(CONTROL!$C$42, 30, 30))/1000000</f>
        <v>11.673914999999997</v>
      </c>
      <c r="V275" s="56">
        <f>(1000*CHOOSE(CONTROL!$C$42, 500, 500)*CHOOSE(CONTROL!$C$42, 0.275, 0.275)*CHOOSE(CONTROL!$C$42, 30, 30))/1000000</f>
        <v>4.125</v>
      </c>
      <c r="W275" s="56">
        <f>(1000*CHOOSE(CONTROL!$C$42, 0.0916, 0.0916)*CHOOSE(CONTROL!$C$42, 121.5, 121.5)*CHOOSE(CONTROL!$C$42, 30, 30))/1000000</f>
        <v>0.33388200000000001</v>
      </c>
      <c r="X275" s="56">
        <f>(30*0.2374*100000/1000000)</f>
        <v>0.71220000000000006</v>
      </c>
      <c r="Y275" s="56"/>
      <c r="Z275" s="17"/>
      <c r="AA275" s="55"/>
      <c r="AB275" s="48">
        <f>(B275*122.58+C275*297.941+D275*89.177+E275*140.302+F275*40+G275*60+H275*0+I275*100+J275*300)/(122.58+297.941+89.177+140.302+0+40+60+100+300)</f>
        <v>11.491513645478259</v>
      </c>
      <c r="AC275" s="45">
        <f>(M275*'RAP TEMPLATE-GAS AVAILABILITY'!O274+N275*'RAP TEMPLATE-GAS AVAILABILITY'!P274+O275*'RAP TEMPLATE-GAS AVAILABILITY'!Q274+P275*'RAP TEMPLATE-GAS AVAILABILITY'!R274)/('RAP TEMPLATE-GAS AVAILABILITY'!O274+'RAP TEMPLATE-GAS AVAILABILITY'!P274+'RAP TEMPLATE-GAS AVAILABILITY'!Q274+'RAP TEMPLATE-GAS AVAILABILITY'!R274)</f>
        <v>11.425064748201438</v>
      </c>
    </row>
    <row r="276" spans="1:29" ht="15.75" x14ac:dyDescent="0.25">
      <c r="A276" s="16">
        <v>49279</v>
      </c>
      <c r="B276" s="17">
        <f>CHOOSE(CONTROL!$C$42, 12.2389, 12.2389) * CHOOSE(CONTROL!$C$21, $C$9, 100%, $E$9)</f>
        <v>12.238899999999999</v>
      </c>
      <c r="C276" s="17">
        <f>CHOOSE(CONTROL!$C$42, 12.244, 12.244) * CHOOSE(CONTROL!$C$21, $C$9, 100%, $E$9)</f>
        <v>12.244</v>
      </c>
      <c r="D276" s="17">
        <f>CHOOSE(CONTROL!$C$42, 12.3253, 12.3253) * CHOOSE(CONTROL!$C$21, $C$9, 100%, $E$9)</f>
        <v>12.3253</v>
      </c>
      <c r="E276" s="17">
        <f>CHOOSE(CONTROL!$C$42, 12.3591, 12.3591) * CHOOSE(CONTROL!$C$21, $C$9, 100%, $E$9)</f>
        <v>12.3591</v>
      </c>
      <c r="F276" s="17">
        <f>CHOOSE(CONTROL!$C$42, 12.2592, 12.2592)*CHOOSE(CONTROL!$C$21, $C$9, 100%, $E$9)</f>
        <v>12.2592</v>
      </c>
      <c r="G276" s="17">
        <f>CHOOSE(CONTROL!$C$42, 12.2766, 12.2766)*CHOOSE(CONTROL!$C$21, $C$9, 100%, $E$9)</f>
        <v>12.2766</v>
      </c>
      <c r="H276" s="17">
        <f>CHOOSE(CONTROL!$C$42, 12.348, 12.348) * CHOOSE(CONTROL!$C$21, $C$9, 100%, $E$9)</f>
        <v>12.348000000000001</v>
      </c>
      <c r="I276" s="17">
        <f>CHOOSE(CONTROL!$C$42, 12.3018, 12.3018)* CHOOSE(CONTROL!$C$21, $C$9, 100%, $E$9)</f>
        <v>12.3018</v>
      </c>
      <c r="J276" s="17">
        <f>CHOOSE(CONTROL!$C$42, 12.2518, 12.2518)* CHOOSE(CONTROL!$C$21, $C$9, 100%, $E$9)</f>
        <v>12.251799999999999</v>
      </c>
      <c r="K276" s="52">
        <f>CHOOSE(CONTROL!$C$42, 12.2958, 12.2958) * CHOOSE(CONTROL!$C$21, $C$9, 100%, $E$9)</f>
        <v>12.2958</v>
      </c>
      <c r="L276" s="17">
        <f>CHOOSE(CONTROL!$C$42, 12.935, 12.935) * CHOOSE(CONTROL!$C$21, $C$9, 100%, $E$9)</f>
        <v>12.935</v>
      </c>
      <c r="M276" s="17">
        <f>CHOOSE(CONTROL!$C$42, 12.1486, 12.1486) * CHOOSE(CONTROL!$C$21, $C$9, 100%, $E$9)</f>
        <v>12.1486</v>
      </c>
      <c r="N276" s="17">
        <f>CHOOSE(CONTROL!$C$42, 12.1658, 12.1658) * CHOOSE(CONTROL!$C$21, $C$9, 100%, $E$9)</f>
        <v>12.165800000000001</v>
      </c>
      <c r="O276" s="17">
        <f>CHOOSE(CONTROL!$C$42, 12.2439, 12.2439) * CHOOSE(CONTROL!$C$21, $C$9, 100%, $E$9)</f>
        <v>12.2439</v>
      </c>
      <c r="P276" s="17">
        <f>CHOOSE(CONTROL!$C$42, 12.1979, 12.1979) * CHOOSE(CONTROL!$C$21, $C$9, 100%, $E$9)</f>
        <v>12.197900000000001</v>
      </c>
      <c r="Q276" s="17">
        <f>CHOOSE(CONTROL!$C$42, 12.8386, 12.8386) * CHOOSE(CONTROL!$C$21, $C$9, 100%, $E$9)</f>
        <v>12.8386</v>
      </c>
      <c r="R276" s="17">
        <f>CHOOSE(CONTROL!$C$42, 13.4577, 13.4577) * CHOOSE(CONTROL!$C$21, $C$9, 100%, $E$9)</f>
        <v>13.457700000000001</v>
      </c>
      <c r="S276" s="17">
        <f>CHOOSE(CONTROL!$C$42, 11.8585, 11.8585) * CHOOSE(CONTROL!$C$21, $C$9, 100%, $E$9)</f>
        <v>11.858499999999999</v>
      </c>
      <c r="T27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76" s="56">
        <f>(1000*CHOOSE(CONTROL!$C$42, 695, 695)*CHOOSE(CONTROL!$C$42, 0.5599, 0.5599)*CHOOSE(CONTROL!$C$42, 31, 31))/1000000</f>
        <v>12.063045499999998</v>
      </c>
      <c r="V276" s="56">
        <f>(1000*CHOOSE(CONTROL!$C$42, 500, 500)*CHOOSE(CONTROL!$C$42, 0.275, 0.275)*CHOOSE(CONTROL!$C$42, 31, 31))/1000000</f>
        <v>4.2625000000000002</v>
      </c>
      <c r="W276" s="56">
        <f>(1000*CHOOSE(CONTROL!$C$42, 0.0916, 0.0916)*CHOOSE(CONTROL!$C$42, 121.5, 121.5)*CHOOSE(CONTROL!$C$42, 31, 31))/1000000</f>
        <v>0.34501139999999997</v>
      </c>
      <c r="X276" s="56">
        <f>(31*0.2374*100000/1000000)</f>
        <v>0.73594000000000004</v>
      </c>
      <c r="Y276" s="56"/>
      <c r="Z276" s="17"/>
      <c r="AA276" s="55"/>
      <c r="AB276" s="48">
        <f>(B276*122.58+C276*297.941+D276*89.177+E276*140.302+F276*40+G276*60+H276*0+I276*100+J276*300)/(122.58+297.941+89.177+140.302+0+40+60+100+300)</f>
        <v>12.273093645478262</v>
      </c>
      <c r="AC276" s="45">
        <f>(M276*'RAP TEMPLATE-GAS AVAILABILITY'!O275+N276*'RAP TEMPLATE-GAS AVAILABILITY'!P275+O276*'RAP TEMPLATE-GAS AVAILABILITY'!Q275+P276*'RAP TEMPLATE-GAS AVAILABILITY'!R275)/('RAP TEMPLATE-GAS AVAILABILITY'!O275+'RAP TEMPLATE-GAS AVAILABILITY'!P275+'RAP TEMPLATE-GAS AVAILABILITY'!Q275+'RAP TEMPLATE-GAS AVAILABILITY'!R275)</f>
        <v>12.199876978417265</v>
      </c>
    </row>
    <row r="277" spans="1:29" ht="15.75" x14ac:dyDescent="0.25">
      <c r="A277" s="16">
        <v>49310</v>
      </c>
      <c r="B277" s="17">
        <f>CHOOSE(CONTROL!$C$42, 13.2526, 13.2526) * CHOOSE(CONTROL!$C$21, $C$9, 100%, $E$9)</f>
        <v>13.252599999999999</v>
      </c>
      <c r="C277" s="17">
        <f>CHOOSE(CONTROL!$C$42, 13.2577, 13.2577) * CHOOSE(CONTROL!$C$21, $C$9, 100%, $E$9)</f>
        <v>13.2577</v>
      </c>
      <c r="D277" s="17">
        <f>CHOOSE(CONTROL!$C$42, 13.3545, 13.3545) * CHOOSE(CONTROL!$C$21, $C$9, 100%, $E$9)</f>
        <v>13.3545</v>
      </c>
      <c r="E277" s="17">
        <f>CHOOSE(CONTROL!$C$42, 13.3883, 13.3883) * CHOOSE(CONTROL!$C$21, $C$9, 100%, $E$9)</f>
        <v>13.388299999999999</v>
      </c>
      <c r="F277" s="17">
        <f>CHOOSE(CONTROL!$C$42, 13.2669, 13.2669)*CHOOSE(CONTROL!$C$21, $C$9, 100%, $E$9)</f>
        <v>13.2669</v>
      </c>
      <c r="G277" s="17">
        <f>CHOOSE(CONTROL!$C$42, 13.2833, 13.2833)*CHOOSE(CONTROL!$C$21, $C$9, 100%, $E$9)</f>
        <v>13.283300000000001</v>
      </c>
      <c r="H277" s="17">
        <f>CHOOSE(CONTROL!$C$42, 13.3772, 13.3772) * CHOOSE(CONTROL!$C$21, $C$9, 100%, $E$9)</f>
        <v>13.3772</v>
      </c>
      <c r="I277" s="17">
        <f>CHOOSE(CONTROL!$C$42, 13.3187, 13.3187)* CHOOSE(CONTROL!$C$21, $C$9, 100%, $E$9)</f>
        <v>13.3187</v>
      </c>
      <c r="J277" s="17">
        <f>CHOOSE(CONTROL!$C$42, 13.2595, 13.2595)* CHOOSE(CONTROL!$C$21, $C$9, 100%, $E$9)</f>
        <v>13.259499999999999</v>
      </c>
      <c r="K277" s="52">
        <f>CHOOSE(CONTROL!$C$42, 13.3127, 13.3127) * CHOOSE(CONTROL!$C$21, $C$9, 100%, $E$9)</f>
        <v>13.3127</v>
      </c>
      <c r="L277" s="17">
        <f>CHOOSE(CONTROL!$C$42, 13.9642, 13.9642) * CHOOSE(CONTROL!$C$21, $C$9, 100%, $E$9)</f>
        <v>13.9642</v>
      </c>
      <c r="M277" s="17">
        <f>CHOOSE(CONTROL!$C$42, 13.1472, 13.1472) * CHOOSE(CONTROL!$C$21, $C$9, 100%, $E$9)</f>
        <v>13.1472</v>
      </c>
      <c r="N277" s="17">
        <f>CHOOSE(CONTROL!$C$42, 13.1635, 13.1635) * CHOOSE(CONTROL!$C$21, $C$9, 100%, $E$9)</f>
        <v>13.163500000000001</v>
      </c>
      <c r="O277" s="17">
        <f>CHOOSE(CONTROL!$C$42, 13.2639, 13.2639) * CHOOSE(CONTROL!$C$21, $C$9, 100%, $E$9)</f>
        <v>13.2639</v>
      </c>
      <c r="P277" s="17">
        <f>CHOOSE(CONTROL!$C$42, 13.2056, 13.2056) * CHOOSE(CONTROL!$C$21, $C$9, 100%, $E$9)</f>
        <v>13.2056</v>
      </c>
      <c r="Q277" s="17">
        <f>CHOOSE(CONTROL!$C$42, 13.8586, 13.8586) * CHOOSE(CONTROL!$C$21, $C$9, 100%, $E$9)</f>
        <v>13.858599999999999</v>
      </c>
      <c r="R277" s="17">
        <f>CHOOSE(CONTROL!$C$42, 14.4802, 14.4802) * CHOOSE(CONTROL!$C$21, $C$9, 100%, $E$9)</f>
        <v>14.4802</v>
      </c>
      <c r="S277" s="17">
        <f>CHOOSE(CONTROL!$C$42, 12.8416, 12.8416) * CHOOSE(CONTROL!$C$21, $C$9, 100%, $E$9)</f>
        <v>12.8416</v>
      </c>
      <c r="T27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77" s="56">
        <f>(1000*CHOOSE(CONTROL!$C$42, 695, 695)*CHOOSE(CONTROL!$C$42, 0.5599, 0.5599)*CHOOSE(CONTROL!$C$42, 31, 31))/1000000</f>
        <v>12.063045499999998</v>
      </c>
      <c r="V277" s="56">
        <f>(1000*CHOOSE(CONTROL!$C$42, 500, 500)*CHOOSE(CONTROL!$C$42, 0.275, 0.275)*CHOOSE(CONTROL!$C$42, 31, 31))/1000000</f>
        <v>4.2625000000000002</v>
      </c>
      <c r="W277" s="56">
        <f>(1000*CHOOSE(CONTROL!$C$42, 0.0916, 0.0916)*CHOOSE(CONTROL!$C$42, 121.5, 121.5)*CHOOSE(CONTROL!$C$42, 31, 31))/1000000</f>
        <v>0.34501139999999997</v>
      </c>
      <c r="X277" s="56">
        <f>(31*0.2374*100000/1000000)</f>
        <v>0.73594000000000004</v>
      </c>
      <c r="Y277" s="56"/>
      <c r="Z277" s="17"/>
      <c r="AA277" s="55"/>
      <c r="AB277" s="48">
        <f>(B277*122.58+C277*297.941+D277*89.177+E277*140.302+F277*40+G277*60+H277*0+I277*100+J277*300)/(122.58+297.941+89.177+140.302+0+40+60+100+300)</f>
        <v>13.288025753739129</v>
      </c>
      <c r="AC277" s="45">
        <f>(M277*'RAP TEMPLATE-GAS AVAILABILITY'!O276+N277*'RAP TEMPLATE-GAS AVAILABILITY'!P276+O277*'RAP TEMPLATE-GAS AVAILABILITY'!Q276+P277*'RAP TEMPLATE-GAS AVAILABILITY'!R276)/('RAP TEMPLATE-GAS AVAILABILITY'!O276+'RAP TEMPLATE-GAS AVAILABILITY'!P276+'RAP TEMPLATE-GAS AVAILABILITY'!Q276+'RAP TEMPLATE-GAS AVAILABILITY'!R276)</f>
        <v>13.209433812949639</v>
      </c>
    </row>
    <row r="278" spans="1:29" ht="15.75" x14ac:dyDescent="0.25">
      <c r="A278" s="16">
        <v>49341</v>
      </c>
      <c r="B278" s="17">
        <f>CHOOSE(CONTROL!$C$42, 13.4884, 13.4884) * CHOOSE(CONTROL!$C$21, $C$9, 100%, $E$9)</f>
        <v>13.4884</v>
      </c>
      <c r="C278" s="17">
        <f>CHOOSE(CONTROL!$C$42, 13.4934, 13.4934) * CHOOSE(CONTROL!$C$21, $C$9, 100%, $E$9)</f>
        <v>13.493399999999999</v>
      </c>
      <c r="D278" s="17">
        <f>CHOOSE(CONTROL!$C$42, 13.5903, 13.5903) * CHOOSE(CONTROL!$C$21, $C$9, 100%, $E$9)</f>
        <v>13.590299999999999</v>
      </c>
      <c r="E278" s="17">
        <f>CHOOSE(CONTROL!$C$42, 13.624, 13.624) * CHOOSE(CONTROL!$C$21, $C$9, 100%, $E$9)</f>
        <v>13.624000000000001</v>
      </c>
      <c r="F278" s="17">
        <f>CHOOSE(CONTROL!$C$42, 13.5026, 13.5026)*CHOOSE(CONTROL!$C$21, $C$9, 100%, $E$9)</f>
        <v>13.502599999999999</v>
      </c>
      <c r="G278" s="17">
        <f>CHOOSE(CONTROL!$C$42, 13.519, 13.519)*CHOOSE(CONTROL!$C$21, $C$9, 100%, $E$9)</f>
        <v>13.519</v>
      </c>
      <c r="H278" s="17">
        <f>CHOOSE(CONTROL!$C$42, 13.6129, 13.6129) * CHOOSE(CONTROL!$C$21, $C$9, 100%, $E$9)</f>
        <v>13.6129</v>
      </c>
      <c r="I278" s="17">
        <f>CHOOSE(CONTROL!$C$42, 13.5552, 13.5552)* CHOOSE(CONTROL!$C$21, $C$9, 100%, $E$9)</f>
        <v>13.555199999999999</v>
      </c>
      <c r="J278" s="17">
        <f>CHOOSE(CONTROL!$C$42, 13.4952, 13.4952)* CHOOSE(CONTROL!$C$21, $C$9, 100%, $E$9)</f>
        <v>13.495200000000001</v>
      </c>
      <c r="K278" s="52">
        <f>CHOOSE(CONTROL!$C$42, 13.5491, 13.5491) * CHOOSE(CONTROL!$C$21, $C$9, 100%, $E$9)</f>
        <v>13.549099999999999</v>
      </c>
      <c r="L278" s="17">
        <f>CHOOSE(CONTROL!$C$42, 14.1999, 14.1999) * CHOOSE(CONTROL!$C$21, $C$9, 100%, $E$9)</f>
        <v>14.1999</v>
      </c>
      <c r="M278" s="17">
        <f>CHOOSE(CONTROL!$C$42, 13.3808, 13.3808) * CHOOSE(CONTROL!$C$21, $C$9, 100%, $E$9)</f>
        <v>13.380800000000001</v>
      </c>
      <c r="N278" s="17">
        <f>CHOOSE(CONTROL!$C$42, 13.3971, 13.3971) * CHOOSE(CONTROL!$C$21, $C$9, 100%, $E$9)</f>
        <v>13.3971</v>
      </c>
      <c r="O278" s="17">
        <f>CHOOSE(CONTROL!$C$42, 13.4975, 13.4975) * CHOOSE(CONTROL!$C$21, $C$9, 100%, $E$9)</f>
        <v>13.4975</v>
      </c>
      <c r="P278" s="17">
        <f>CHOOSE(CONTROL!$C$42, 13.4399, 13.4399) * CHOOSE(CONTROL!$C$21, $C$9, 100%, $E$9)</f>
        <v>13.4399</v>
      </c>
      <c r="Q278" s="17">
        <f>CHOOSE(CONTROL!$C$42, 14.0922, 14.0922) * CHOOSE(CONTROL!$C$21, $C$9, 100%, $E$9)</f>
        <v>14.0922</v>
      </c>
      <c r="R278" s="17">
        <f>CHOOSE(CONTROL!$C$42, 14.7144, 14.7144) * CHOOSE(CONTROL!$C$21, $C$9, 100%, $E$9)</f>
        <v>14.714399999999999</v>
      </c>
      <c r="S278" s="17">
        <f>CHOOSE(CONTROL!$C$42, 13.0701, 13.0701) * CHOOSE(CONTROL!$C$21, $C$9, 100%, $E$9)</f>
        <v>13.0701</v>
      </c>
      <c r="T27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78" s="56">
        <f>(1000*CHOOSE(CONTROL!$C$42, 695, 695)*CHOOSE(CONTROL!$C$42, 0.5599, 0.5599)*CHOOSE(CONTROL!$C$42, 28, 28))/1000000</f>
        <v>10.895653999999999</v>
      </c>
      <c r="V278" s="56">
        <f>(1000*CHOOSE(CONTROL!$C$42, 500, 500)*CHOOSE(CONTROL!$C$42, 0.275, 0.275)*CHOOSE(CONTROL!$C$42, 28, 28))/1000000</f>
        <v>3.85</v>
      </c>
      <c r="W278" s="56">
        <f>(1000*CHOOSE(CONTROL!$C$42, 0.0916, 0.0916)*CHOOSE(CONTROL!$C$42, 121.5, 121.5)*CHOOSE(CONTROL!$C$42, 28, 28))/1000000</f>
        <v>0.31162319999999999</v>
      </c>
      <c r="X278" s="56">
        <f>(28*0.2374*100000/1000000)</f>
        <v>0.66471999999999998</v>
      </c>
      <c r="Y278" s="56"/>
      <c r="Z278" s="17"/>
      <c r="AA278" s="55"/>
      <c r="AB278" s="48">
        <f>(B278*122.58+C278*297.941+D278*89.177+E278*140.302+F278*40+G278*60+H278*0+I278*100+J278*300)/(122.58+297.941+89.177+140.302+0+40+60+100+300)</f>
        <v>13.523813732608694</v>
      </c>
      <c r="AC278" s="45">
        <f>(M278*'RAP TEMPLATE-GAS AVAILABILITY'!O277+N278*'RAP TEMPLATE-GAS AVAILABILITY'!P277+O278*'RAP TEMPLATE-GAS AVAILABILITY'!Q277+P278*'RAP TEMPLATE-GAS AVAILABILITY'!R277)/('RAP TEMPLATE-GAS AVAILABILITY'!O277+'RAP TEMPLATE-GAS AVAILABILITY'!P277+'RAP TEMPLATE-GAS AVAILABILITY'!Q277+'RAP TEMPLATE-GAS AVAILABILITY'!R277)</f>
        <v>13.443134532374103</v>
      </c>
    </row>
    <row r="279" spans="1:29" ht="15.75" x14ac:dyDescent="0.25">
      <c r="A279" s="16">
        <v>49369</v>
      </c>
      <c r="B279" s="17">
        <f>CHOOSE(CONTROL!$C$42, 13.1057, 13.1057) * CHOOSE(CONTROL!$C$21, $C$9, 100%, $E$9)</f>
        <v>13.105700000000001</v>
      </c>
      <c r="C279" s="17">
        <f>CHOOSE(CONTROL!$C$42, 13.1108, 13.1108) * CHOOSE(CONTROL!$C$21, $C$9, 100%, $E$9)</f>
        <v>13.110799999999999</v>
      </c>
      <c r="D279" s="17">
        <f>CHOOSE(CONTROL!$C$42, 13.2076, 13.2076) * CHOOSE(CONTROL!$C$21, $C$9, 100%, $E$9)</f>
        <v>13.207599999999999</v>
      </c>
      <c r="E279" s="17">
        <f>CHOOSE(CONTROL!$C$42, 13.2414, 13.2414) * CHOOSE(CONTROL!$C$21, $C$9, 100%, $E$9)</f>
        <v>13.241400000000001</v>
      </c>
      <c r="F279" s="17">
        <f>CHOOSE(CONTROL!$C$42, 13.1193, 13.1193)*CHOOSE(CONTROL!$C$21, $C$9, 100%, $E$9)</f>
        <v>13.119300000000001</v>
      </c>
      <c r="G279" s="17">
        <f>CHOOSE(CONTROL!$C$42, 13.1356, 13.1356)*CHOOSE(CONTROL!$C$21, $C$9, 100%, $E$9)</f>
        <v>13.1356</v>
      </c>
      <c r="H279" s="17">
        <f>CHOOSE(CONTROL!$C$42, 13.2303, 13.2303) * CHOOSE(CONTROL!$C$21, $C$9, 100%, $E$9)</f>
        <v>13.2303</v>
      </c>
      <c r="I279" s="17">
        <f>CHOOSE(CONTROL!$C$42, 13.1713, 13.1713)* CHOOSE(CONTROL!$C$21, $C$9, 100%, $E$9)</f>
        <v>13.1713</v>
      </c>
      <c r="J279" s="17">
        <f>CHOOSE(CONTROL!$C$42, 13.1119, 13.1119)* CHOOSE(CONTROL!$C$21, $C$9, 100%, $E$9)</f>
        <v>13.1119</v>
      </c>
      <c r="K279" s="52">
        <f>CHOOSE(CONTROL!$C$42, 13.1653, 13.1653) * CHOOSE(CONTROL!$C$21, $C$9, 100%, $E$9)</f>
        <v>13.1653</v>
      </c>
      <c r="L279" s="17">
        <f>CHOOSE(CONTROL!$C$42, 13.8173, 13.8173) * CHOOSE(CONTROL!$C$21, $C$9, 100%, $E$9)</f>
        <v>13.817299999999999</v>
      </c>
      <c r="M279" s="17">
        <f>CHOOSE(CONTROL!$C$42, 13.001, 13.001) * CHOOSE(CONTROL!$C$21, $C$9, 100%, $E$9)</f>
        <v>13.000999999999999</v>
      </c>
      <c r="N279" s="17">
        <f>CHOOSE(CONTROL!$C$42, 13.0171, 13.0171) * CHOOSE(CONTROL!$C$21, $C$9, 100%, $E$9)</f>
        <v>13.017099999999999</v>
      </c>
      <c r="O279" s="17">
        <f>CHOOSE(CONTROL!$C$42, 13.1183, 13.1183) * CHOOSE(CONTROL!$C$21, $C$9, 100%, $E$9)</f>
        <v>13.1183</v>
      </c>
      <c r="P279" s="17">
        <f>CHOOSE(CONTROL!$C$42, 13.0596, 13.0596) * CHOOSE(CONTROL!$C$21, $C$9, 100%, $E$9)</f>
        <v>13.0596</v>
      </c>
      <c r="Q279" s="17">
        <f>CHOOSE(CONTROL!$C$42, 13.713, 13.713) * CHOOSE(CONTROL!$C$21, $C$9, 100%, $E$9)</f>
        <v>13.712999999999999</v>
      </c>
      <c r="R279" s="17">
        <f>CHOOSE(CONTROL!$C$42, 14.3343, 14.3343) * CHOOSE(CONTROL!$C$21, $C$9, 100%, $E$9)</f>
        <v>14.334300000000001</v>
      </c>
      <c r="S279" s="17">
        <f>CHOOSE(CONTROL!$C$42, 12.6991, 12.6991) * CHOOSE(CONTROL!$C$21, $C$9, 100%, $E$9)</f>
        <v>12.6991</v>
      </c>
      <c r="T27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79" s="56">
        <f>(1000*CHOOSE(CONTROL!$C$42, 695, 695)*CHOOSE(CONTROL!$C$42, 0.5599, 0.5599)*CHOOSE(CONTROL!$C$42, 31, 31))/1000000</f>
        <v>12.063045499999998</v>
      </c>
      <c r="V279" s="56">
        <f>(1000*CHOOSE(CONTROL!$C$42, 500, 500)*CHOOSE(CONTROL!$C$42, 0.275, 0.275)*CHOOSE(CONTROL!$C$42, 31, 31))/1000000</f>
        <v>4.2625000000000002</v>
      </c>
      <c r="W279" s="56">
        <f>(1000*CHOOSE(CONTROL!$C$42, 0.0916, 0.0916)*CHOOSE(CONTROL!$C$42, 121.5, 121.5)*CHOOSE(CONTROL!$C$42, 31, 31))/1000000</f>
        <v>0.34501139999999997</v>
      </c>
      <c r="X279" s="56">
        <f>(31*0.2374*100000/1000000)</f>
        <v>0.73594000000000004</v>
      </c>
      <c r="Y279" s="56"/>
      <c r="Z279" s="17"/>
      <c r="AA279" s="55"/>
      <c r="AB279" s="48">
        <f>(B279*122.58+C279*297.941+D279*89.177+E279*140.302+F279*40+G279*60+H279*0+I279*100+J279*300)/(122.58+297.941+89.177+140.302+0+40+60+100+300)</f>
        <v>13.140833579826086</v>
      </c>
      <c r="AC279" s="45">
        <f>(M279*'RAP TEMPLATE-GAS AVAILABILITY'!O278+N279*'RAP TEMPLATE-GAS AVAILABILITY'!P278+O279*'RAP TEMPLATE-GAS AVAILABILITY'!Q278+P279*'RAP TEMPLATE-GAS AVAILABILITY'!R278)/('RAP TEMPLATE-GAS AVAILABILITY'!O278+'RAP TEMPLATE-GAS AVAILABILITY'!P278+'RAP TEMPLATE-GAS AVAILABILITY'!Q278+'RAP TEMPLATE-GAS AVAILABILITY'!R278)</f>
        <v>13.063523021582732</v>
      </c>
    </row>
    <row r="280" spans="1:29" ht="15.75" x14ac:dyDescent="0.25">
      <c r="A280" s="16">
        <v>49400</v>
      </c>
      <c r="B280" s="17">
        <f>CHOOSE(CONTROL!$C$42, 13.0675, 13.0675) * CHOOSE(CONTROL!$C$21, $C$9, 100%, $E$9)</f>
        <v>13.067500000000001</v>
      </c>
      <c r="C280" s="17">
        <f>CHOOSE(CONTROL!$C$42, 13.072, 13.072) * CHOOSE(CONTROL!$C$21, $C$9, 100%, $E$9)</f>
        <v>13.071999999999999</v>
      </c>
      <c r="D280" s="17">
        <f>CHOOSE(CONTROL!$C$42, 13.3196, 13.3196) * CHOOSE(CONTROL!$C$21, $C$9, 100%, $E$9)</f>
        <v>13.319599999999999</v>
      </c>
      <c r="E280" s="17">
        <f>CHOOSE(CONTROL!$C$42, 13.3514, 13.3514) * CHOOSE(CONTROL!$C$21, $C$9, 100%, $E$9)</f>
        <v>13.3514</v>
      </c>
      <c r="F280" s="17">
        <f>CHOOSE(CONTROL!$C$42, 13.0791, 13.0791)*CHOOSE(CONTROL!$C$21, $C$9, 100%, $E$9)</f>
        <v>13.0791</v>
      </c>
      <c r="G280" s="17">
        <f>CHOOSE(CONTROL!$C$42, 13.0951, 13.0951)*CHOOSE(CONTROL!$C$21, $C$9, 100%, $E$9)</f>
        <v>13.0951</v>
      </c>
      <c r="H280" s="17">
        <f>CHOOSE(CONTROL!$C$42, 13.3408, 13.3408) * CHOOSE(CONTROL!$C$21, $C$9, 100%, $E$9)</f>
        <v>13.3408</v>
      </c>
      <c r="I280" s="17">
        <f>CHOOSE(CONTROL!$C$42, 13.1307, 13.1307)* CHOOSE(CONTROL!$C$21, $C$9, 100%, $E$9)</f>
        <v>13.130699999999999</v>
      </c>
      <c r="J280" s="17">
        <f>CHOOSE(CONTROL!$C$42, 13.0717, 13.0717)* CHOOSE(CONTROL!$C$21, $C$9, 100%, $E$9)</f>
        <v>13.0717</v>
      </c>
      <c r="K280" s="52">
        <f>CHOOSE(CONTROL!$C$42, 13.1246, 13.1246) * CHOOSE(CONTROL!$C$21, $C$9, 100%, $E$9)</f>
        <v>13.124599999999999</v>
      </c>
      <c r="L280" s="17">
        <f>CHOOSE(CONTROL!$C$42, 13.9278, 13.9278) * CHOOSE(CONTROL!$C$21, $C$9, 100%, $E$9)</f>
        <v>13.9278</v>
      </c>
      <c r="M280" s="17">
        <f>CHOOSE(CONTROL!$C$42, 12.9612, 12.9612) * CHOOSE(CONTROL!$C$21, $C$9, 100%, $E$9)</f>
        <v>12.9612</v>
      </c>
      <c r="N280" s="17">
        <f>CHOOSE(CONTROL!$C$42, 12.977, 12.977) * CHOOSE(CONTROL!$C$21, $C$9, 100%, $E$9)</f>
        <v>12.977</v>
      </c>
      <c r="O280" s="17">
        <f>CHOOSE(CONTROL!$C$42, 13.2278, 13.2278) * CHOOSE(CONTROL!$C$21, $C$9, 100%, $E$9)</f>
        <v>13.2278</v>
      </c>
      <c r="P280" s="17">
        <f>CHOOSE(CONTROL!$C$42, 13.0193, 13.0193) * CHOOSE(CONTROL!$C$21, $C$9, 100%, $E$9)</f>
        <v>13.019299999999999</v>
      </c>
      <c r="Q280" s="17">
        <f>CHOOSE(CONTROL!$C$42, 13.8225, 13.8225) * CHOOSE(CONTROL!$C$21, $C$9, 100%, $E$9)</f>
        <v>13.8225</v>
      </c>
      <c r="R280" s="17">
        <f>CHOOSE(CONTROL!$C$42, 14.4441, 14.4441) * CHOOSE(CONTROL!$C$21, $C$9, 100%, $E$9)</f>
        <v>14.444100000000001</v>
      </c>
      <c r="S280" s="17">
        <f>CHOOSE(CONTROL!$C$42, 12.6613, 12.6613) * CHOOSE(CONTROL!$C$21, $C$9, 100%, $E$9)</f>
        <v>12.661300000000001</v>
      </c>
      <c r="T28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80" s="56">
        <f>(1000*CHOOSE(CONTROL!$C$42, 695, 695)*CHOOSE(CONTROL!$C$42, 0.5599, 0.5599)*CHOOSE(CONTROL!$C$42, 30, 30))/1000000</f>
        <v>11.673914999999997</v>
      </c>
      <c r="V280" s="56">
        <f>(1000*CHOOSE(CONTROL!$C$42, 500, 500)*CHOOSE(CONTROL!$C$42, 0.275, 0.275)*CHOOSE(CONTROL!$C$42, 30, 30))/1000000</f>
        <v>4.125</v>
      </c>
      <c r="W280" s="56">
        <f>(1000*CHOOSE(CONTROL!$C$42, 0.0916, 0.0916)*CHOOSE(CONTROL!$C$42, 121.5, 121.5)*CHOOSE(CONTROL!$C$42, 30, 30))/1000000</f>
        <v>0.33388200000000001</v>
      </c>
      <c r="X280" s="56">
        <f>(30*0.1790888*145000/1000000)+(30*0.2374*100000/1000000)</f>
        <v>1.4912362799999999</v>
      </c>
      <c r="Y280" s="56"/>
      <c r="Z280" s="17"/>
      <c r="AA280" s="55"/>
      <c r="AB280" s="48">
        <f>(B280*141.293+C280*267.993+D280*115.016+E280*189.698+F280*40+G280*85+H280*0+I280*100+J280*300)/(141.293+267.993+115.016+189.698+0+40+85+100+300)</f>
        <v>13.143728219774012</v>
      </c>
      <c r="AC280" s="45">
        <f>(M280*'RAP TEMPLATE-GAS AVAILABILITY'!O279+N280*'RAP TEMPLATE-GAS AVAILABILITY'!P279+O280*'RAP TEMPLATE-GAS AVAILABILITY'!Q279+P280*'RAP TEMPLATE-GAS AVAILABILITY'!R279)/('RAP TEMPLATE-GAS AVAILABILITY'!O279+'RAP TEMPLATE-GAS AVAILABILITY'!P279+'RAP TEMPLATE-GAS AVAILABILITY'!Q279+'RAP TEMPLATE-GAS AVAILABILITY'!R279)</f>
        <v>13.047998561151079</v>
      </c>
    </row>
    <row r="281" spans="1:29" ht="15.75" x14ac:dyDescent="0.25">
      <c r="A281" s="16">
        <v>49430</v>
      </c>
      <c r="B281" s="17">
        <f>CHOOSE(CONTROL!$C$42, 13.1841, 13.1841) * CHOOSE(CONTROL!$C$21, $C$9, 100%, $E$9)</f>
        <v>13.184100000000001</v>
      </c>
      <c r="C281" s="17">
        <f>CHOOSE(CONTROL!$C$42, 13.1921, 13.1921) * CHOOSE(CONTROL!$C$21, $C$9, 100%, $E$9)</f>
        <v>13.1921</v>
      </c>
      <c r="D281" s="17">
        <f>CHOOSE(CONTROL!$C$42, 13.4365, 13.4365) * CHOOSE(CONTROL!$C$21, $C$9, 100%, $E$9)</f>
        <v>13.436500000000001</v>
      </c>
      <c r="E281" s="17">
        <f>CHOOSE(CONTROL!$C$42, 13.4677, 13.4677) * CHOOSE(CONTROL!$C$21, $C$9, 100%, $E$9)</f>
        <v>13.467700000000001</v>
      </c>
      <c r="F281" s="17">
        <f>CHOOSE(CONTROL!$C$42, 13.1946, 13.1946)*CHOOSE(CONTROL!$C$21, $C$9, 100%, $E$9)</f>
        <v>13.194599999999999</v>
      </c>
      <c r="G281" s="17">
        <f>CHOOSE(CONTROL!$C$42, 13.2109, 13.2109)*CHOOSE(CONTROL!$C$21, $C$9, 100%, $E$9)</f>
        <v>13.210900000000001</v>
      </c>
      <c r="H281" s="17">
        <f>CHOOSE(CONTROL!$C$42, 13.456, 13.456) * CHOOSE(CONTROL!$C$21, $C$9, 100%, $E$9)</f>
        <v>13.456</v>
      </c>
      <c r="I281" s="17">
        <f>CHOOSE(CONTROL!$C$42, 13.2463, 13.2463)* CHOOSE(CONTROL!$C$21, $C$9, 100%, $E$9)</f>
        <v>13.2463</v>
      </c>
      <c r="J281" s="17">
        <f>CHOOSE(CONTROL!$C$42, 13.1872, 13.1872)* CHOOSE(CONTROL!$C$21, $C$9, 100%, $E$9)</f>
        <v>13.187200000000001</v>
      </c>
      <c r="K281" s="52">
        <f>CHOOSE(CONTROL!$C$42, 13.2402, 13.2402) * CHOOSE(CONTROL!$C$21, $C$9, 100%, $E$9)</f>
        <v>13.2402</v>
      </c>
      <c r="L281" s="17">
        <f>CHOOSE(CONTROL!$C$42, 14.043, 14.043) * CHOOSE(CONTROL!$C$21, $C$9, 100%, $E$9)</f>
        <v>14.042999999999999</v>
      </c>
      <c r="M281" s="17">
        <f>CHOOSE(CONTROL!$C$42, 13.0756, 13.0756) * CHOOSE(CONTROL!$C$21, $C$9, 100%, $E$9)</f>
        <v>13.0756</v>
      </c>
      <c r="N281" s="17">
        <f>CHOOSE(CONTROL!$C$42, 13.0917, 13.0917) * CHOOSE(CONTROL!$C$21, $C$9, 100%, $E$9)</f>
        <v>13.091699999999999</v>
      </c>
      <c r="O281" s="17">
        <f>CHOOSE(CONTROL!$C$42, 13.342, 13.342) * CHOOSE(CONTROL!$C$21, $C$9, 100%, $E$9)</f>
        <v>13.342000000000001</v>
      </c>
      <c r="P281" s="17">
        <f>CHOOSE(CONTROL!$C$42, 13.1338, 13.1338) * CHOOSE(CONTROL!$C$21, $C$9, 100%, $E$9)</f>
        <v>13.133800000000001</v>
      </c>
      <c r="Q281" s="17">
        <f>CHOOSE(CONTROL!$C$42, 13.9367, 13.9367) * CHOOSE(CONTROL!$C$21, $C$9, 100%, $E$9)</f>
        <v>13.9367</v>
      </c>
      <c r="R281" s="17">
        <f>CHOOSE(CONTROL!$C$42, 14.5586, 14.5586) * CHOOSE(CONTROL!$C$21, $C$9, 100%, $E$9)</f>
        <v>14.5586</v>
      </c>
      <c r="S281" s="17">
        <f>CHOOSE(CONTROL!$C$42, 12.773, 12.773) * CHOOSE(CONTROL!$C$21, $C$9, 100%, $E$9)</f>
        <v>12.773</v>
      </c>
      <c r="T28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81" s="56">
        <f>(1000*CHOOSE(CONTROL!$C$42, 695, 695)*CHOOSE(CONTROL!$C$42, 0.5599, 0.5599)*CHOOSE(CONTROL!$C$42, 31, 31))/1000000</f>
        <v>12.063045499999998</v>
      </c>
      <c r="V281" s="56">
        <f>(1000*CHOOSE(CONTROL!$C$42, 500, 500)*CHOOSE(CONTROL!$C$42, 0.275, 0.275)*CHOOSE(CONTROL!$C$42, 31, 31))/1000000</f>
        <v>4.2625000000000002</v>
      </c>
      <c r="W281" s="56">
        <f>(1000*CHOOSE(CONTROL!$C$42, 0.0916, 0.0916)*CHOOSE(CONTROL!$C$42, 121.5, 121.5)*CHOOSE(CONTROL!$C$42, 31, 31))/1000000</f>
        <v>0.34501139999999997</v>
      </c>
      <c r="X281" s="56">
        <f>(31*0.1790888*145000/1000000)+(31*0.2374*100000/1000000)</f>
        <v>1.5409441560000001</v>
      </c>
      <c r="Y281" s="56"/>
      <c r="Z281" s="17"/>
      <c r="AA281" s="55"/>
      <c r="AB281" s="48">
        <f>(B281*194.205+C281*267.466+D281*133.845+E281*153.484+F281*40+G281*85+H281*0+I281*100+J281*300)/(194.205+267.466+133.845+153.484+0+40+85+100+300)</f>
        <v>13.25419283233909</v>
      </c>
      <c r="AC281" s="45">
        <f>(M281*'RAP TEMPLATE-GAS AVAILABILITY'!O280+N281*'RAP TEMPLATE-GAS AVAILABILITY'!P280+O281*'RAP TEMPLATE-GAS AVAILABILITY'!Q280+P281*'RAP TEMPLATE-GAS AVAILABILITY'!R280)/('RAP TEMPLATE-GAS AVAILABILITY'!O280+'RAP TEMPLATE-GAS AVAILABILITY'!P280+'RAP TEMPLATE-GAS AVAILABILITY'!Q280+'RAP TEMPLATE-GAS AVAILABILITY'!R280)</f>
        <v>13.162425899280574</v>
      </c>
    </row>
    <row r="282" spans="1:29" ht="15.75" x14ac:dyDescent="0.25">
      <c r="A282" s="15">
        <v>49461</v>
      </c>
      <c r="B282" s="17">
        <f>CHOOSE(CONTROL!$C$42, 13.5577, 13.5577) * CHOOSE(CONTROL!$C$21, $C$9, 100%, $E$9)</f>
        <v>13.557700000000001</v>
      </c>
      <c r="C282" s="17">
        <f>CHOOSE(CONTROL!$C$42, 13.5657, 13.5657) * CHOOSE(CONTROL!$C$21, $C$9, 100%, $E$9)</f>
        <v>13.5657</v>
      </c>
      <c r="D282" s="17">
        <f>CHOOSE(CONTROL!$C$42, 13.8102, 13.8102) * CHOOSE(CONTROL!$C$21, $C$9, 100%, $E$9)</f>
        <v>13.8102</v>
      </c>
      <c r="E282" s="17">
        <f>CHOOSE(CONTROL!$C$42, 13.8413, 13.8413) * CHOOSE(CONTROL!$C$21, $C$9, 100%, $E$9)</f>
        <v>13.8413</v>
      </c>
      <c r="F282" s="17">
        <f>CHOOSE(CONTROL!$C$42, 13.5686, 13.5686)*CHOOSE(CONTROL!$C$21, $C$9, 100%, $E$9)</f>
        <v>13.5686</v>
      </c>
      <c r="G282" s="17">
        <f>CHOOSE(CONTROL!$C$42, 13.5849, 13.5849)*CHOOSE(CONTROL!$C$21, $C$9, 100%, $E$9)</f>
        <v>13.584899999999999</v>
      </c>
      <c r="H282" s="17">
        <f>CHOOSE(CONTROL!$C$42, 13.8297, 13.8297) * CHOOSE(CONTROL!$C$21, $C$9, 100%, $E$9)</f>
        <v>13.829700000000001</v>
      </c>
      <c r="I282" s="17">
        <f>CHOOSE(CONTROL!$C$42, 13.621, 13.621)* CHOOSE(CONTROL!$C$21, $C$9, 100%, $E$9)</f>
        <v>13.621</v>
      </c>
      <c r="J282" s="17">
        <f>CHOOSE(CONTROL!$C$42, 13.5612, 13.5612)* CHOOSE(CONTROL!$C$21, $C$9, 100%, $E$9)</f>
        <v>13.561199999999999</v>
      </c>
      <c r="K282" s="52">
        <f>CHOOSE(CONTROL!$C$42, 13.615, 13.615) * CHOOSE(CONTROL!$C$21, $C$9, 100%, $E$9)</f>
        <v>13.615</v>
      </c>
      <c r="L282" s="17">
        <f>CHOOSE(CONTROL!$C$42, 14.4167, 14.4167) * CHOOSE(CONTROL!$C$21, $C$9, 100%, $E$9)</f>
        <v>14.416700000000001</v>
      </c>
      <c r="M282" s="17">
        <f>CHOOSE(CONTROL!$C$42, 13.4462, 13.4462) * CHOOSE(CONTROL!$C$21, $C$9, 100%, $E$9)</f>
        <v>13.446199999999999</v>
      </c>
      <c r="N282" s="17">
        <f>CHOOSE(CONTROL!$C$42, 13.4624, 13.4624) * CHOOSE(CONTROL!$C$21, $C$9, 100%, $E$9)</f>
        <v>13.462400000000001</v>
      </c>
      <c r="O282" s="17">
        <f>CHOOSE(CONTROL!$C$42, 13.7123, 13.7123) * CHOOSE(CONTROL!$C$21, $C$9, 100%, $E$9)</f>
        <v>13.712300000000001</v>
      </c>
      <c r="P282" s="17">
        <f>CHOOSE(CONTROL!$C$42, 13.5052, 13.5052) * CHOOSE(CONTROL!$C$21, $C$9, 100%, $E$9)</f>
        <v>13.5052</v>
      </c>
      <c r="Q282" s="17">
        <f>CHOOSE(CONTROL!$C$42, 14.307, 14.307) * CHOOSE(CONTROL!$C$21, $C$9, 100%, $E$9)</f>
        <v>14.307</v>
      </c>
      <c r="R282" s="17">
        <f>CHOOSE(CONTROL!$C$42, 14.9298, 14.9298) * CHOOSE(CONTROL!$C$21, $C$9, 100%, $E$9)</f>
        <v>14.9298</v>
      </c>
      <c r="S282" s="17">
        <f>CHOOSE(CONTROL!$C$42, 13.1353, 13.1353) * CHOOSE(CONTROL!$C$21, $C$9, 100%, $E$9)</f>
        <v>13.135300000000001</v>
      </c>
      <c r="T28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82" s="56">
        <f>(1000*CHOOSE(CONTROL!$C$42, 695, 695)*CHOOSE(CONTROL!$C$42, 0.5599, 0.5599)*CHOOSE(CONTROL!$C$42, 30, 30))/1000000</f>
        <v>11.673914999999997</v>
      </c>
      <c r="V282" s="56">
        <f>(1000*CHOOSE(CONTROL!$C$42, 500, 500)*CHOOSE(CONTROL!$C$42, 0.275, 0.275)*CHOOSE(CONTROL!$C$42, 30, 30))/1000000</f>
        <v>4.125</v>
      </c>
      <c r="W282" s="56">
        <f>(1000*CHOOSE(CONTROL!$C$42, 0.0916, 0.0916)*CHOOSE(CONTROL!$C$42, 121.5, 121.5)*CHOOSE(CONTROL!$C$42, 30, 30))/1000000</f>
        <v>0.33388200000000001</v>
      </c>
      <c r="X282" s="56">
        <f>(30*0.1790888*145000/1000000)+(30*0.2374*100000/1000000)</f>
        <v>1.4912362799999999</v>
      </c>
      <c r="Y282" s="56"/>
      <c r="Z282" s="17"/>
      <c r="AA282" s="55"/>
      <c r="AB282" s="48">
        <f>(B282*194.205+C282*267.466+D282*133.845+E282*153.484+F282*40+G282*85+H282*0+I282*100+J282*300)/(194.205+267.466+133.845+153.484+0+40+85+100+300)</f>
        <v>13.628023118445842</v>
      </c>
      <c r="AC282" s="45">
        <f>(M282*'RAP TEMPLATE-GAS AVAILABILITY'!O281+N282*'RAP TEMPLATE-GAS AVAILABILITY'!P281+O282*'RAP TEMPLATE-GAS AVAILABILITY'!Q281+P282*'RAP TEMPLATE-GAS AVAILABILITY'!R281)/('RAP TEMPLATE-GAS AVAILABILITY'!O281+'RAP TEMPLATE-GAS AVAILABILITY'!P281+'RAP TEMPLATE-GAS AVAILABILITY'!Q281+'RAP TEMPLATE-GAS AVAILABILITY'!R281)</f>
        <v>13.533079856115108</v>
      </c>
    </row>
    <row r="283" spans="1:29" ht="15.75" x14ac:dyDescent="0.25">
      <c r="A283" s="15">
        <v>49491</v>
      </c>
      <c r="B283" s="17">
        <f>CHOOSE(CONTROL!$C$42, 13.2979, 13.2979) * CHOOSE(CONTROL!$C$21, $C$9, 100%, $E$9)</f>
        <v>13.2979</v>
      </c>
      <c r="C283" s="17">
        <f>CHOOSE(CONTROL!$C$42, 13.3058, 13.3058) * CHOOSE(CONTROL!$C$21, $C$9, 100%, $E$9)</f>
        <v>13.3058</v>
      </c>
      <c r="D283" s="17">
        <f>CHOOSE(CONTROL!$C$42, 13.5503, 13.5503) * CHOOSE(CONTROL!$C$21, $C$9, 100%, $E$9)</f>
        <v>13.5503</v>
      </c>
      <c r="E283" s="17">
        <f>CHOOSE(CONTROL!$C$42, 13.5815, 13.5815) * CHOOSE(CONTROL!$C$21, $C$9, 100%, $E$9)</f>
        <v>13.5815</v>
      </c>
      <c r="F283" s="17">
        <f>CHOOSE(CONTROL!$C$42, 13.3092, 13.3092)*CHOOSE(CONTROL!$C$21, $C$9, 100%, $E$9)</f>
        <v>13.309200000000001</v>
      </c>
      <c r="G283" s="17">
        <f>CHOOSE(CONTROL!$C$42, 13.3256, 13.3256)*CHOOSE(CONTROL!$C$21, $C$9, 100%, $E$9)</f>
        <v>13.3256</v>
      </c>
      <c r="H283" s="17">
        <f>CHOOSE(CONTROL!$C$42, 13.5698, 13.5698) * CHOOSE(CONTROL!$C$21, $C$9, 100%, $E$9)</f>
        <v>13.569800000000001</v>
      </c>
      <c r="I283" s="17">
        <f>CHOOSE(CONTROL!$C$42, 13.3604, 13.3604)* CHOOSE(CONTROL!$C$21, $C$9, 100%, $E$9)</f>
        <v>13.3604</v>
      </c>
      <c r="J283" s="17">
        <f>CHOOSE(CONTROL!$C$42, 13.3018, 13.3018)* CHOOSE(CONTROL!$C$21, $C$9, 100%, $E$9)</f>
        <v>13.3018</v>
      </c>
      <c r="K283" s="52">
        <f>CHOOSE(CONTROL!$C$42, 13.3543, 13.3543) * CHOOSE(CONTROL!$C$21, $C$9, 100%, $E$9)</f>
        <v>13.3543</v>
      </c>
      <c r="L283" s="17">
        <f>CHOOSE(CONTROL!$C$42, 14.1568, 14.1568) * CHOOSE(CONTROL!$C$21, $C$9, 100%, $E$9)</f>
        <v>14.1568</v>
      </c>
      <c r="M283" s="17">
        <f>CHOOSE(CONTROL!$C$42, 13.1892, 13.1892) * CHOOSE(CONTROL!$C$21, $C$9, 100%, $E$9)</f>
        <v>13.1892</v>
      </c>
      <c r="N283" s="17">
        <f>CHOOSE(CONTROL!$C$42, 13.2054, 13.2054) * CHOOSE(CONTROL!$C$21, $C$9, 100%, $E$9)</f>
        <v>13.205399999999999</v>
      </c>
      <c r="O283" s="17">
        <f>CHOOSE(CONTROL!$C$42, 13.4548, 13.4548) * CHOOSE(CONTROL!$C$21, $C$9, 100%, $E$9)</f>
        <v>13.454800000000001</v>
      </c>
      <c r="P283" s="17">
        <f>CHOOSE(CONTROL!$C$42, 13.2469, 13.2469) * CHOOSE(CONTROL!$C$21, $C$9, 100%, $E$9)</f>
        <v>13.2469</v>
      </c>
      <c r="Q283" s="17">
        <f>CHOOSE(CONTROL!$C$42, 14.0495, 14.0495) * CHOOSE(CONTROL!$C$21, $C$9, 100%, $E$9)</f>
        <v>14.0495</v>
      </c>
      <c r="R283" s="17">
        <f>CHOOSE(CONTROL!$C$42, 14.6716, 14.6716) * CHOOSE(CONTROL!$C$21, $C$9, 100%, $E$9)</f>
        <v>14.6716</v>
      </c>
      <c r="S283" s="17">
        <f>CHOOSE(CONTROL!$C$42, 12.8834, 12.8834) * CHOOSE(CONTROL!$C$21, $C$9, 100%, $E$9)</f>
        <v>12.8834</v>
      </c>
      <c r="T28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83" s="56">
        <f>(1000*CHOOSE(CONTROL!$C$42, 695, 695)*CHOOSE(CONTROL!$C$42, 0.5599, 0.5599)*CHOOSE(CONTROL!$C$42, 31, 31))/1000000</f>
        <v>12.063045499999998</v>
      </c>
      <c r="V283" s="56">
        <f>(1000*CHOOSE(CONTROL!$C$42, 500, 500)*CHOOSE(CONTROL!$C$42, 0.275, 0.275)*CHOOSE(CONTROL!$C$42, 31, 31))/1000000</f>
        <v>4.2625000000000002</v>
      </c>
      <c r="W283" s="56">
        <f>(1000*CHOOSE(CONTROL!$C$42, 0.0916, 0.0916)*CHOOSE(CONTROL!$C$42, 121.5, 121.5)*CHOOSE(CONTROL!$C$42, 31, 31))/1000000</f>
        <v>0.34501139999999997</v>
      </c>
      <c r="X283" s="56">
        <f>(31*0.1790888*145000/1000000)+(31*0.2374*100000/1000000)</f>
        <v>1.5409441560000001</v>
      </c>
      <c r="Y283" s="56"/>
      <c r="Z283" s="17"/>
      <c r="AA283" s="55"/>
      <c r="AB283" s="48">
        <f>(B283*194.205+C283*267.466+D283*133.845+E283*153.484+F283*40+G283*85+H283*0+I283*100+J283*300)/(194.205+267.466+133.845+153.484+0+40+85+100+300)</f>
        <v>13.368268933908949</v>
      </c>
      <c r="AC283" s="45">
        <f>(M283*'RAP TEMPLATE-GAS AVAILABILITY'!O282+N283*'RAP TEMPLATE-GAS AVAILABILITY'!P282+O283*'RAP TEMPLATE-GAS AVAILABILITY'!Q282+P283*'RAP TEMPLATE-GAS AVAILABILITY'!R282)/('RAP TEMPLATE-GAS AVAILABILITY'!O282+'RAP TEMPLATE-GAS AVAILABILITY'!P282+'RAP TEMPLATE-GAS AVAILABILITY'!Q282+'RAP TEMPLATE-GAS AVAILABILITY'!R282)</f>
        <v>13.275752517985612</v>
      </c>
    </row>
    <row r="284" spans="1:29" ht="15.75" x14ac:dyDescent="0.25">
      <c r="A284" s="15">
        <v>49522</v>
      </c>
      <c r="B284" s="17">
        <f>CHOOSE(CONTROL!$C$42, 12.6416, 12.6416) * CHOOSE(CONTROL!$C$21, $C$9, 100%, $E$9)</f>
        <v>12.6416</v>
      </c>
      <c r="C284" s="17">
        <f>CHOOSE(CONTROL!$C$42, 12.6496, 12.6496) * CHOOSE(CONTROL!$C$21, $C$9, 100%, $E$9)</f>
        <v>12.6496</v>
      </c>
      <c r="D284" s="17">
        <f>CHOOSE(CONTROL!$C$42, 12.8941, 12.8941) * CHOOSE(CONTROL!$C$21, $C$9, 100%, $E$9)</f>
        <v>12.8941</v>
      </c>
      <c r="E284" s="17">
        <f>CHOOSE(CONTROL!$C$42, 12.9253, 12.9253) * CHOOSE(CONTROL!$C$21, $C$9, 100%, $E$9)</f>
        <v>12.9253</v>
      </c>
      <c r="F284" s="17">
        <f>CHOOSE(CONTROL!$C$42, 12.6532, 12.6532)*CHOOSE(CONTROL!$C$21, $C$9, 100%, $E$9)</f>
        <v>12.6532</v>
      </c>
      <c r="G284" s="17">
        <f>CHOOSE(CONTROL!$C$42, 12.6697, 12.6697)*CHOOSE(CONTROL!$C$21, $C$9, 100%, $E$9)</f>
        <v>12.669700000000001</v>
      </c>
      <c r="H284" s="17">
        <f>CHOOSE(CONTROL!$C$42, 12.9136, 12.9136) * CHOOSE(CONTROL!$C$21, $C$9, 100%, $E$9)</f>
        <v>12.913600000000001</v>
      </c>
      <c r="I284" s="17">
        <f>CHOOSE(CONTROL!$C$42, 12.7021, 12.7021)* CHOOSE(CONTROL!$C$21, $C$9, 100%, $E$9)</f>
        <v>12.7021</v>
      </c>
      <c r="J284" s="17">
        <f>CHOOSE(CONTROL!$C$42, 12.6458, 12.6458)* CHOOSE(CONTROL!$C$21, $C$9, 100%, $E$9)</f>
        <v>12.645799999999999</v>
      </c>
      <c r="K284" s="52">
        <f>CHOOSE(CONTROL!$C$42, 12.6961, 12.6961) * CHOOSE(CONTROL!$C$21, $C$9, 100%, $E$9)</f>
        <v>12.696099999999999</v>
      </c>
      <c r="L284" s="17">
        <f>CHOOSE(CONTROL!$C$42, 13.5006, 13.5006) * CHOOSE(CONTROL!$C$21, $C$9, 100%, $E$9)</f>
        <v>13.5006</v>
      </c>
      <c r="M284" s="17">
        <f>CHOOSE(CONTROL!$C$42, 12.5391, 12.5391) * CHOOSE(CONTROL!$C$21, $C$9, 100%, $E$9)</f>
        <v>12.539099999999999</v>
      </c>
      <c r="N284" s="17">
        <f>CHOOSE(CONTROL!$C$42, 12.5554, 12.5554) * CHOOSE(CONTROL!$C$21, $C$9, 100%, $E$9)</f>
        <v>12.555400000000001</v>
      </c>
      <c r="O284" s="17">
        <f>CHOOSE(CONTROL!$C$42, 12.8045, 12.8045) * CHOOSE(CONTROL!$C$21, $C$9, 100%, $E$9)</f>
        <v>12.804500000000001</v>
      </c>
      <c r="P284" s="17">
        <f>CHOOSE(CONTROL!$C$42, 12.5946, 12.5946) * CHOOSE(CONTROL!$C$21, $C$9, 100%, $E$9)</f>
        <v>12.5946</v>
      </c>
      <c r="Q284" s="17">
        <f>CHOOSE(CONTROL!$C$42, 13.3992, 13.3992) * CHOOSE(CONTROL!$C$21, $C$9, 100%, $E$9)</f>
        <v>13.3992</v>
      </c>
      <c r="R284" s="17">
        <f>CHOOSE(CONTROL!$C$42, 14.0197, 14.0197) * CHOOSE(CONTROL!$C$21, $C$9, 100%, $E$9)</f>
        <v>14.0197</v>
      </c>
      <c r="S284" s="17">
        <f>CHOOSE(CONTROL!$C$42, 12.247, 12.247) * CHOOSE(CONTROL!$C$21, $C$9, 100%, $E$9)</f>
        <v>12.247</v>
      </c>
      <c r="T28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84" s="56">
        <f>(1000*CHOOSE(CONTROL!$C$42, 695, 695)*CHOOSE(CONTROL!$C$42, 0.5599, 0.5599)*CHOOSE(CONTROL!$C$42, 31, 31))/1000000</f>
        <v>12.063045499999998</v>
      </c>
      <c r="V284" s="56">
        <f>(1000*CHOOSE(CONTROL!$C$42, 500, 500)*CHOOSE(CONTROL!$C$42, 0.275, 0.275)*CHOOSE(CONTROL!$C$42, 31, 31))/1000000</f>
        <v>4.2625000000000002</v>
      </c>
      <c r="W284" s="56">
        <f>(1000*CHOOSE(CONTROL!$C$42, 0.0916, 0.0916)*CHOOSE(CONTROL!$C$42, 121.5, 121.5)*CHOOSE(CONTROL!$C$42, 31, 31))/1000000</f>
        <v>0.34501139999999997</v>
      </c>
      <c r="X284" s="56">
        <f>(31*0.1790888*145000/1000000)+(31*0.2374*100000/1000000)</f>
        <v>1.5409441560000001</v>
      </c>
      <c r="Y284" s="56"/>
      <c r="Z284" s="17"/>
      <c r="AA284" s="55"/>
      <c r="AB284" s="48">
        <f>(B284*194.205+C284*267.466+D284*133.845+E284*153.484+F284*40+G284*85+H284*0+I284*100+J284*300)/(194.205+267.466+133.845+153.484+0+40+85+100+300)</f>
        <v>12.711962245918368</v>
      </c>
      <c r="AC284" s="45">
        <f>(M284*'RAP TEMPLATE-GAS AVAILABILITY'!O283+N284*'RAP TEMPLATE-GAS AVAILABILITY'!P283+O284*'RAP TEMPLATE-GAS AVAILABILITY'!Q283+P284*'RAP TEMPLATE-GAS AVAILABILITY'!R283)/('RAP TEMPLATE-GAS AVAILABILITY'!O283+'RAP TEMPLATE-GAS AVAILABILITY'!P283+'RAP TEMPLATE-GAS AVAILABILITY'!Q283+'RAP TEMPLATE-GAS AVAILABILITY'!R283)</f>
        <v>12.625302877697843</v>
      </c>
    </row>
    <row r="285" spans="1:29" ht="15.75" x14ac:dyDescent="0.25">
      <c r="A285" s="15">
        <v>49553</v>
      </c>
      <c r="B285" s="17">
        <f>CHOOSE(CONTROL!$C$42, 11.8396, 11.8396) * CHOOSE(CONTROL!$C$21, $C$9, 100%, $E$9)</f>
        <v>11.839600000000001</v>
      </c>
      <c r="C285" s="17">
        <f>CHOOSE(CONTROL!$C$42, 11.8476, 11.8476) * CHOOSE(CONTROL!$C$21, $C$9, 100%, $E$9)</f>
        <v>11.8476</v>
      </c>
      <c r="D285" s="17">
        <f>CHOOSE(CONTROL!$C$42, 12.0921, 12.0921) * CHOOSE(CONTROL!$C$21, $C$9, 100%, $E$9)</f>
        <v>12.0921</v>
      </c>
      <c r="E285" s="17">
        <f>CHOOSE(CONTROL!$C$42, 12.1233, 12.1233) * CHOOSE(CONTROL!$C$21, $C$9, 100%, $E$9)</f>
        <v>12.1233</v>
      </c>
      <c r="F285" s="17">
        <f>CHOOSE(CONTROL!$C$42, 11.8513, 11.8513)*CHOOSE(CONTROL!$C$21, $C$9, 100%, $E$9)</f>
        <v>11.8513</v>
      </c>
      <c r="G285" s="17">
        <f>CHOOSE(CONTROL!$C$42, 11.8678, 11.8678)*CHOOSE(CONTROL!$C$21, $C$9, 100%, $E$9)</f>
        <v>11.867800000000001</v>
      </c>
      <c r="H285" s="17">
        <f>CHOOSE(CONTROL!$C$42, 12.1116, 12.1116) * CHOOSE(CONTROL!$C$21, $C$9, 100%, $E$9)</f>
        <v>12.111599999999999</v>
      </c>
      <c r="I285" s="17">
        <f>CHOOSE(CONTROL!$C$42, 11.8976, 11.8976)* CHOOSE(CONTROL!$C$21, $C$9, 100%, $E$9)</f>
        <v>11.897600000000001</v>
      </c>
      <c r="J285" s="17">
        <f>CHOOSE(CONTROL!$C$42, 11.8439, 11.8439)* CHOOSE(CONTROL!$C$21, $C$9, 100%, $E$9)</f>
        <v>11.8439</v>
      </c>
      <c r="K285" s="52">
        <f>CHOOSE(CONTROL!$C$42, 11.8916, 11.8916) * CHOOSE(CONTROL!$C$21, $C$9, 100%, $E$9)</f>
        <v>11.8916</v>
      </c>
      <c r="L285" s="17">
        <f>CHOOSE(CONTROL!$C$42, 12.6986, 12.6986) * CHOOSE(CONTROL!$C$21, $C$9, 100%, $E$9)</f>
        <v>12.698600000000001</v>
      </c>
      <c r="M285" s="17">
        <f>CHOOSE(CONTROL!$C$42, 11.7443, 11.7443) * CHOOSE(CONTROL!$C$21, $C$9, 100%, $E$9)</f>
        <v>11.744300000000001</v>
      </c>
      <c r="N285" s="17">
        <f>CHOOSE(CONTROL!$C$42, 11.7607, 11.7607) * CHOOSE(CONTROL!$C$21, $C$9, 100%, $E$9)</f>
        <v>11.7607</v>
      </c>
      <c r="O285" s="17">
        <f>CHOOSE(CONTROL!$C$42, 12.0097, 12.0097) * CHOOSE(CONTROL!$C$21, $C$9, 100%, $E$9)</f>
        <v>12.0097</v>
      </c>
      <c r="P285" s="17">
        <f>CHOOSE(CONTROL!$C$42, 11.7974, 11.7974) * CHOOSE(CONTROL!$C$21, $C$9, 100%, $E$9)</f>
        <v>11.7974</v>
      </c>
      <c r="Q285" s="17">
        <f>CHOOSE(CONTROL!$C$42, 12.6044, 12.6044) * CHOOSE(CONTROL!$C$21, $C$9, 100%, $E$9)</f>
        <v>12.6044</v>
      </c>
      <c r="R285" s="17">
        <f>CHOOSE(CONTROL!$C$42, 13.2229, 13.2229) * CHOOSE(CONTROL!$C$21, $C$9, 100%, $E$9)</f>
        <v>13.222899999999999</v>
      </c>
      <c r="S285" s="17">
        <f>CHOOSE(CONTROL!$C$42, 11.4693, 11.4693) * CHOOSE(CONTROL!$C$21, $C$9, 100%, $E$9)</f>
        <v>11.4693</v>
      </c>
      <c r="T28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85" s="56">
        <f>(1000*CHOOSE(CONTROL!$C$42, 695, 695)*CHOOSE(CONTROL!$C$42, 0.5599, 0.5599)*CHOOSE(CONTROL!$C$42, 30, 30))/1000000</f>
        <v>11.673914999999997</v>
      </c>
      <c r="V285" s="56">
        <f>(1000*CHOOSE(CONTROL!$C$42, 500, 500)*CHOOSE(CONTROL!$C$42, 0.275, 0.275)*CHOOSE(CONTROL!$C$42, 30, 30))/1000000</f>
        <v>4.125</v>
      </c>
      <c r="W285" s="56">
        <f>(1000*CHOOSE(CONTROL!$C$42, 0.0916, 0.0916)*CHOOSE(CONTROL!$C$42, 121.5, 121.5)*CHOOSE(CONTROL!$C$42, 30, 30))/1000000</f>
        <v>0.33388200000000001</v>
      </c>
      <c r="X285" s="56">
        <f>(30*0.1790888*145000/1000000)+(30*0.2374*100000/1000000)</f>
        <v>1.4912362799999999</v>
      </c>
      <c r="Y285" s="56"/>
      <c r="Z285" s="17"/>
      <c r="AA285" s="55"/>
      <c r="AB285" s="48">
        <f>(B285*194.205+C285*267.466+D285*133.845+E285*153.484+F285*40+G285*85+H285*0+I285*100+J285*300)/(194.205+267.466+133.845+153.484+0+40+85+100+300)</f>
        <v>11.909799373076924</v>
      </c>
      <c r="AC285" s="45">
        <f>(M285*'RAP TEMPLATE-GAS AVAILABILITY'!O284+N285*'RAP TEMPLATE-GAS AVAILABILITY'!P284+O285*'RAP TEMPLATE-GAS AVAILABILITY'!Q284+P285*'RAP TEMPLATE-GAS AVAILABILITY'!R284)/('RAP TEMPLATE-GAS AVAILABILITY'!O284+'RAP TEMPLATE-GAS AVAILABILITY'!P284+'RAP TEMPLATE-GAS AVAILABILITY'!Q284+'RAP TEMPLATE-GAS AVAILABILITY'!R284)</f>
        <v>11.830180575539568</v>
      </c>
    </row>
    <row r="286" spans="1:29" ht="15.75" x14ac:dyDescent="0.25">
      <c r="A286" s="15">
        <v>49583</v>
      </c>
      <c r="B286" s="17">
        <f>CHOOSE(CONTROL!$C$42, 11.5978, 11.5978) * CHOOSE(CONTROL!$C$21, $C$9, 100%, $E$9)</f>
        <v>11.597799999999999</v>
      </c>
      <c r="C286" s="17">
        <f>CHOOSE(CONTROL!$C$42, 11.6031, 11.6031) * CHOOSE(CONTROL!$C$21, $C$9, 100%, $E$9)</f>
        <v>11.6031</v>
      </c>
      <c r="D286" s="17">
        <f>CHOOSE(CONTROL!$C$42, 11.8524, 11.8524) * CHOOSE(CONTROL!$C$21, $C$9, 100%, $E$9)</f>
        <v>11.852399999999999</v>
      </c>
      <c r="E286" s="17">
        <f>CHOOSE(CONTROL!$C$42, 11.8813, 11.8813) * CHOOSE(CONTROL!$C$21, $C$9, 100%, $E$9)</f>
        <v>11.8813</v>
      </c>
      <c r="F286" s="17">
        <f>CHOOSE(CONTROL!$C$42, 11.6116, 11.6116)*CHOOSE(CONTROL!$C$21, $C$9, 100%, $E$9)</f>
        <v>11.611599999999999</v>
      </c>
      <c r="G286" s="17">
        <f>CHOOSE(CONTROL!$C$42, 11.628, 11.628)*CHOOSE(CONTROL!$C$21, $C$9, 100%, $E$9)</f>
        <v>11.628</v>
      </c>
      <c r="H286" s="17">
        <f>CHOOSE(CONTROL!$C$42, 11.8715, 11.8715) * CHOOSE(CONTROL!$C$21, $C$9, 100%, $E$9)</f>
        <v>11.871499999999999</v>
      </c>
      <c r="I286" s="17">
        <f>CHOOSE(CONTROL!$C$42, 11.6568, 11.6568)* CHOOSE(CONTROL!$C$21, $C$9, 100%, $E$9)</f>
        <v>11.6568</v>
      </c>
      <c r="J286" s="17">
        <f>CHOOSE(CONTROL!$C$42, 11.6042, 11.6042)* CHOOSE(CONTROL!$C$21, $C$9, 100%, $E$9)</f>
        <v>11.604200000000001</v>
      </c>
      <c r="K286" s="52">
        <f>CHOOSE(CONTROL!$C$42, 11.6507, 11.6507) * CHOOSE(CONTROL!$C$21, $C$9, 100%, $E$9)</f>
        <v>11.650700000000001</v>
      </c>
      <c r="L286" s="17">
        <f>CHOOSE(CONTROL!$C$42, 12.4585, 12.4585) * CHOOSE(CONTROL!$C$21, $C$9, 100%, $E$9)</f>
        <v>12.458500000000001</v>
      </c>
      <c r="M286" s="17">
        <f>CHOOSE(CONTROL!$C$42, 11.5068, 11.5068) * CHOOSE(CONTROL!$C$21, $C$9, 100%, $E$9)</f>
        <v>11.5068</v>
      </c>
      <c r="N286" s="17">
        <f>CHOOSE(CONTROL!$C$42, 11.5231, 11.5231) * CHOOSE(CONTROL!$C$21, $C$9, 100%, $E$9)</f>
        <v>11.523099999999999</v>
      </c>
      <c r="O286" s="17">
        <f>CHOOSE(CONTROL!$C$42, 11.7717, 11.7717) * CHOOSE(CONTROL!$C$21, $C$9, 100%, $E$9)</f>
        <v>11.771699999999999</v>
      </c>
      <c r="P286" s="17">
        <f>CHOOSE(CONTROL!$C$42, 11.5587, 11.5587) * CHOOSE(CONTROL!$C$21, $C$9, 100%, $E$9)</f>
        <v>11.5587</v>
      </c>
      <c r="Q286" s="17">
        <f>CHOOSE(CONTROL!$C$42, 12.3664, 12.3664) * CHOOSE(CONTROL!$C$21, $C$9, 100%, $E$9)</f>
        <v>12.366400000000001</v>
      </c>
      <c r="R286" s="17">
        <f>CHOOSE(CONTROL!$C$42, 12.9843, 12.9843) * CHOOSE(CONTROL!$C$21, $C$9, 100%, $E$9)</f>
        <v>12.984299999999999</v>
      </c>
      <c r="S286" s="17">
        <f>CHOOSE(CONTROL!$C$42, 11.2365, 11.2365) * CHOOSE(CONTROL!$C$21, $C$9, 100%, $E$9)</f>
        <v>11.236499999999999</v>
      </c>
      <c r="T28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86" s="56">
        <f>(1000*CHOOSE(CONTROL!$C$42, 695, 695)*CHOOSE(CONTROL!$C$42, 0.5599, 0.5599)*CHOOSE(CONTROL!$C$42, 31, 31))/1000000</f>
        <v>12.063045499999998</v>
      </c>
      <c r="V286" s="56">
        <f>(1000*CHOOSE(CONTROL!$C$42, 500, 500)*CHOOSE(CONTROL!$C$42, 0.275, 0.275)*CHOOSE(CONTROL!$C$42, 31, 31))/1000000</f>
        <v>4.2625000000000002</v>
      </c>
      <c r="W286" s="56">
        <f>(1000*CHOOSE(CONTROL!$C$42, 0.0916, 0.0916)*CHOOSE(CONTROL!$C$42, 121.5, 121.5)*CHOOSE(CONTROL!$C$42, 31, 31))/1000000</f>
        <v>0.34501139999999997</v>
      </c>
      <c r="X286" s="56">
        <f>(31*0.1790888*145000/1000000)+(31*0.2374*100000/1000000)</f>
        <v>1.5409441560000001</v>
      </c>
      <c r="Y286" s="56"/>
      <c r="Z286" s="17"/>
      <c r="AA286" s="55"/>
      <c r="AB286" s="48">
        <f>(B286*131.881+C286*277.167+D286*79.08+E286*225.872+F286*40+G286*85+H286*0+I286*100+J286*300)/(131.881+277.167+79.08+225.872+0+40+85+100+300)</f>
        <v>11.675747106618241</v>
      </c>
      <c r="AC286" s="45">
        <f>(M286*'RAP TEMPLATE-GAS AVAILABILITY'!O285+N286*'RAP TEMPLATE-GAS AVAILABILITY'!P285+O286*'RAP TEMPLATE-GAS AVAILABILITY'!Q285+P286*'RAP TEMPLATE-GAS AVAILABILITY'!R285)/('RAP TEMPLATE-GAS AVAILABILITY'!O285+'RAP TEMPLATE-GAS AVAILABILITY'!P285+'RAP TEMPLATE-GAS AVAILABILITY'!Q285+'RAP TEMPLATE-GAS AVAILABILITY'!R285)</f>
        <v>11.592344604316546</v>
      </c>
    </row>
    <row r="287" spans="1:29" ht="15.75" x14ac:dyDescent="0.25">
      <c r="A287" s="15">
        <v>49614</v>
      </c>
      <c r="B287" s="17">
        <f>CHOOSE(CONTROL!$C$42, 11.9026, 11.9026) * CHOOSE(CONTROL!$C$21, $C$9, 100%, $E$9)</f>
        <v>11.9026</v>
      </c>
      <c r="C287" s="17">
        <f>CHOOSE(CONTROL!$C$42, 11.9077, 11.9077) * CHOOSE(CONTROL!$C$21, $C$9, 100%, $E$9)</f>
        <v>11.9077</v>
      </c>
      <c r="D287" s="17">
        <f>CHOOSE(CONTROL!$C$42, 11.9891, 11.9891) * CHOOSE(CONTROL!$C$21, $C$9, 100%, $E$9)</f>
        <v>11.989100000000001</v>
      </c>
      <c r="E287" s="17">
        <f>CHOOSE(CONTROL!$C$42, 12.0228, 12.0228) * CHOOSE(CONTROL!$C$21, $C$9, 100%, $E$9)</f>
        <v>12.0228</v>
      </c>
      <c r="F287" s="17">
        <f>CHOOSE(CONTROL!$C$42, 11.9206, 11.9206)*CHOOSE(CONTROL!$C$21, $C$9, 100%, $E$9)</f>
        <v>11.9206</v>
      </c>
      <c r="G287" s="17">
        <f>CHOOSE(CONTROL!$C$42, 11.9373, 11.9373)*CHOOSE(CONTROL!$C$21, $C$9, 100%, $E$9)</f>
        <v>11.9373</v>
      </c>
      <c r="H287" s="17">
        <f>CHOOSE(CONTROL!$C$42, 12.0117, 12.0117) * CHOOSE(CONTROL!$C$21, $C$9, 100%, $E$9)</f>
        <v>12.011699999999999</v>
      </c>
      <c r="I287" s="17">
        <f>CHOOSE(CONTROL!$C$42, 11.9645, 11.9645)* CHOOSE(CONTROL!$C$21, $C$9, 100%, $E$9)</f>
        <v>11.964499999999999</v>
      </c>
      <c r="J287" s="17">
        <f>CHOOSE(CONTROL!$C$42, 11.9132, 11.9132)* CHOOSE(CONTROL!$C$21, $C$9, 100%, $E$9)</f>
        <v>11.9132</v>
      </c>
      <c r="K287" s="52">
        <f>CHOOSE(CONTROL!$C$42, 11.9585, 11.9585) * CHOOSE(CONTROL!$C$21, $C$9, 100%, $E$9)</f>
        <v>11.958500000000001</v>
      </c>
      <c r="L287" s="17">
        <f>CHOOSE(CONTROL!$C$42, 12.5987, 12.5987) * CHOOSE(CONTROL!$C$21, $C$9, 100%, $E$9)</f>
        <v>12.598699999999999</v>
      </c>
      <c r="M287" s="17">
        <f>CHOOSE(CONTROL!$C$42, 11.813, 11.813) * CHOOSE(CONTROL!$C$21, $C$9, 100%, $E$9)</f>
        <v>11.813000000000001</v>
      </c>
      <c r="N287" s="17">
        <f>CHOOSE(CONTROL!$C$42, 11.8296, 11.8296) * CHOOSE(CONTROL!$C$21, $C$9, 100%, $E$9)</f>
        <v>11.829599999999999</v>
      </c>
      <c r="O287" s="17">
        <f>CHOOSE(CONTROL!$C$42, 11.9107, 11.9107) * CHOOSE(CONTROL!$C$21, $C$9, 100%, $E$9)</f>
        <v>11.9107</v>
      </c>
      <c r="P287" s="17">
        <f>CHOOSE(CONTROL!$C$42, 11.8636, 11.8636) * CHOOSE(CONTROL!$C$21, $C$9, 100%, $E$9)</f>
        <v>11.8636</v>
      </c>
      <c r="Q287" s="17">
        <f>CHOOSE(CONTROL!$C$42, 12.5054, 12.5054) * CHOOSE(CONTROL!$C$21, $C$9, 100%, $E$9)</f>
        <v>12.5054</v>
      </c>
      <c r="R287" s="17">
        <f>CHOOSE(CONTROL!$C$42, 13.1237, 13.1237) * CHOOSE(CONTROL!$C$21, $C$9, 100%, $E$9)</f>
        <v>13.123699999999999</v>
      </c>
      <c r="S287" s="17">
        <f>CHOOSE(CONTROL!$C$42, 11.5325, 11.5325) * CHOOSE(CONTROL!$C$21, $C$9, 100%, $E$9)</f>
        <v>11.532500000000001</v>
      </c>
      <c r="T28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87" s="56">
        <f>(1000*CHOOSE(CONTROL!$C$42, 695, 695)*CHOOSE(CONTROL!$C$42, 0.5599, 0.5599)*CHOOSE(CONTROL!$C$42, 30, 30))/1000000</f>
        <v>11.673914999999997</v>
      </c>
      <c r="V287" s="56">
        <f>(1000*CHOOSE(CONTROL!$C$42, 500, 500)*CHOOSE(CONTROL!$C$42, 0.275, 0.275)*CHOOSE(CONTROL!$C$42, 30, 30))/1000000</f>
        <v>4.125</v>
      </c>
      <c r="W287" s="56">
        <f>(1000*CHOOSE(CONTROL!$C$42, 0.0916, 0.0916)*CHOOSE(CONTROL!$C$42, 121.5, 121.5)*CHOOSE(CONTROL!$C$42, 30, 30))/1000000</f>
        <v>0.33388200000000001</v>
      </c>
      <c r="X287" s="56">
        <f>(30*0.2374*100000/1000000)</f>
        <v>0.71220000000000006</v>
      </c>
      <c r="Y287" s="56"/>
      <c r="Z287" s="17"/>
      <c r="AA287" s="55"/>
      <c r="AB287" s="48">
        <f>(B287*122.58+C287*297.941+D287*89.177+E287*140.302+F287*40+G287*60+H287*0+I287*100+J287*300)/(122.58+297.941+89.177+140.302+0+40+60+100+300)</f>
        <v>11.935877921739127</v>
      </c>
      <c r="AC287" s="45">
        <f>(M287*'RAP TEMPLATE-GAS AVAILABILITY'!O286+N287*'RAP TEMPLATE-GAS AVAILABILITY'!P286+O287*'RAP TEMPLATE-GAS AVAILABILITY'!Q286+P287*'RAP TEMPLATE-GAS AVAILABILITY'!R286)/('RAP TEMPLATE-GAS AVAILABILITY'!O286+'RAP TEMPLATE-GAS AVAILABILITY'!P286+'RAP TEMPLATE-GAS AVAILABILITY'!Q286+'RAP TEMPLATE-GAS AVAILABILITY'!R286)</f>
        <v>11.86551726618705</v>
      </c>
    </row>
    <row r="288" spans="1:29" ht="15.75" x14ac:dyDescent="0.25">
      <c r="A288" s="15">
        <v>49644</v>
      </c>
      <c r="B288" s="17">
        <f>CHOOSE(CONTROL!$C$42, 12.7134, 12.7134) * CHOOSE(CONTROL!$C$21, $C$9, 100%, $E$9)</f>
        <v>12.7134</v>
      </c>
      <c r="C288" s="17">
        <f>CHOOSE(CONTROL!$C$42, 12.7185, 12.7185) * CHOOSE(CONTROL!$C$21, $C$9, 100%, $E$9)</f>
        <v>12.718500000000001</v>
      </c>
      <c r="D288" s="17">
        <f>CHOOSE(CONTROL!$C$42, 12.7999, 12.7999) * CHOOSE(CONTROL!$C$21, $C$9, 100%, $E$9)</f>
        <v>12.799899999999999</v>
      </c>
      <c r="E288" s="17">
        <f>CHOOSE(CONTROL!$C$42, 12.8336, 12.8336) * CHOOSE(CONTROL!$C$21, $C$9, 100%, $E$9)</f>
        <v>12.833600000000001</v>
      </c>
      <c r="F288" s="17">
        <f>CHOOSE(CONTROL!$C$42, 12.7337, 12.7337)*CHOOSE(CONTROL!$C$21, $C$9, 100%, $E$9)</f>
        <v>12.733700000000001</v>
      </c>
      <c r="G288" s="17">
        <f>CHOOSE(CONTROL!$C$42, 12.7511, 12.7511)*CHOOSE(CONTROL!$C$21, $C$9, 100%, $E$9)</f>
        <v>12.751099999999999</v>
      </c>
      <c r="H288" s="17">
        <f>CHOOSE(CONTROL!$C$42, 12.8225, 12.8225) * CHOOSE(CONTROL!$C$21, $C$9, 100%, $E$9)</f>
        <v>12.8225</v>
      </c>
      <c r="I288" s="17">
        <f>CHOOSE(CONTROL!$C$42, 12.7778, 12.7778)* CHOOSE(CONTROL!$C$21, $C$9, 100%, $E$9)</f>
        <v>12.777799999999999</v>
      </c>
      <c r="J288" s="17">
        <f>CHOOSE(CONTROL!$C$42, 12.7263, 12.7263)* CHOOSE(CONTROL!$C$21, $C$9, 100%, $E$9)</f>
        <v>12.7263</v>
      </c>
      <c r="K288" s="52">
        <f>CHOOSE(CONTROL!$C$42, 12.7718, 12.7718) * CHOOSE(CONTROL!$C$21, $C$9, 100%, $E$9)</f>
        <v>12.771800000000001</v>
      </c>
      <c r="L288" s="17">
        <f>CHOOSE(CONTROL!$C$42, 13.4095, 13.4095) * CHOOSE(CONTROL!$C$21, $C$9, 100%, $E$9)</f>
        <v>13.4095</v>
      </c>
      <c r="M288" s="17">
        <f>CHOOSE(CONTROL!$C$42, 12.6189, 12.6189) * CHOOSE(CONTROL!$C$21, $C$9, 100%, $E$9)</f>
        <v>12.6189</v>
      </c>
      <c r="N288" s="17">
        <f>CHOOSE(CONTROL!$C$42, 12.6361, 12.6361) * CHOOSE(CONTROL!$C$21, $C$9, 100%, $E$9)</f>
        <v>12.636100000000001</v>
      </c>
      <c r="O288" s="17">
        <f>CHOOSE(CONTROL!$C$42, 12.7142, 12.7142) * CHOOSE(CONTROL!$C$21, $C$9, 100%, $E$9)</f>
        <v>12.7142</v>
      </c>
      <c r="P288" s="17">
        <f>CHOOSE(CONTROL!$C$42, 12.6696, 12.6696) * CHOOSE(CONTROL!$C$21, $C$9, 100%, $E$9)</f>
        <v>12.669600000000001</v>
      </c>
      <c r="Q288" s="17">
        <f>CHOOSE(CONTROL!$C$42, 13.3089, 13.3089) * CHOOSE(CONTROL!$C$21, $C$9, 100%, $E$9)</f>
        <v>13.3089</v>
      </c>
      <c r="R288" s="17">
        <f>CHOOSE(CONTROL!$C$42, 13.9292, 13.9292) * CHOOSE(CONTROL!$C$21, $C$9, 100%, $E$9)</f>
        <v>13.9292</v>
      </c>
      <c r="S288" s="17">
        <f>CHOOSE(CONTROL!$C$42, 12.3187, 12.3187) * CHOOSE(CONTROL!$C$21, $C$9, 100%, $E$9)</f>
        <v>12.3187</v>
      </c>
      <c r="T28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88" s="56">
        <f>(1000*CHOOSE(CONTROL!$C$42, 695, 695)*CHOOSE(CONTROL!$C$42, 0.5599, 0.5599)*CHOOSE(CONTROL!$C$42, 31, 31))/1000000</f>
        <v>12.063045499999998</v>
      </c>
      <c r="V288" s="56">
        <f>(1000*CHOOSE(CONTROL!$C$42, 500, 500)*CHOOSE(CONTROL!$C$42, 0.275, 0.275)*CHOOSE(CONTROL!$C$42, 31, 31))/1000000</f>
        <v>4.2625000000000002</v>
      </c>
      <c r="W288" s="56">
        <f>(1000*CHOOSE(CONTROL!$C$42, 0.0916, 0.0916)*CHOOSE(CONTROL!$C$42, 121.5, 121.5)*CHOOSE(CONTROL!$C$42, 31, 31))/1000000</f>
        <v>0.34501139999999997</v>
      </c>
      <c r="X288" s="56">
        <f>(31*0.2374*100000/1000000)</f>
        <v>0.73594000000000004</v>
      </c>
      <c r="Y288" s="56"/>
      <c r="Z288" s="17"/>
      <c r="AA288" s="55"/>
      <c r="AB288" s="48">
        <f>(B288*122.58+C288*297.941+D288*89.177+E288*140.302+F288*40+G288*60+H288*0+I288*100+J288*300)/(122.58+297.941+89.177+140.302+0+40+60+100+300)</f>
        <v>12.747731834782609</v>
      </c>
      <c r="AC288" s="45">
        <f>(M288*'RAP TEMPLATE-GAS AVAILABILITY'!O287+N288*'RAP TEMPLATE-GAS AVAILABILITY'!P287+O288*'RAP TEMPLATE-GAS AVAILABILITY'!Q287+P288*'RAP TEMPLATE-GAS AVAILABILITY'!R287)/('RAP TEMPLATE-GAS AVAILABILITY'!O287+'RAP TEMPLATE-GAS AVAILABILITY'!P287+'RAP TEMPLATE-GAS AVAILABILITY'!Q287+'RAP TEMPLATE-GAS AVAILABILITY'!R287)</f>
        <v>12.670378417266187</v>
      </c>
    </row>
    <row r="289" spans="1:29" ht="15.75" x14ac:dyDescent="0.25">
      <c r="A289" s="15">
        <v>49675</v>
      </c>
      <c r="B289" s="17">
        <f>CHOOSE(CONTROL!$C$42, 13.7665, 13.7665) * CHOOSE(CONTROL!$C$21, $C$9, 100%, $E$9)</f>
        <v>13.766500000000001</v>
      </c>
      <c r="C289" s="17">
        <f>CHOOSE(CONTROL!$C$42, 13.7716, 13.7716) * CHOOSE(CONTROL!$C$21, $C$9, 100%, $E$9)</f>
        <v>13.771599999999999</v>
      </c>
      <c r="D289" s="17">
        <f>CHOOSE(CONTROL!$C$42, 13.8684, 13.8684) * CHOOSE(CONTROL!$C$21, $C$9, 100%, $E$9)</f>
        <v>13.868399999999999</v>
      </c>
      <c r="E289" s="17">
        <f>CHOOSE(CONTROL!$C$42, 13.9022, 13.9022) * CHOOSE(CONTROL!$C$21, $C$9, 100%, $E$9)</f>
        <v>13.902200000000001</v>
      </c>
      <c r="F289" s="17">
        <f>CHOOSE(CONTROL!$C$42, 13.7808, 13.7808)*CHOOSE(CONTROL!$C$21, $C$9, 100%, $E$9)</f>
        <v>13.780799999999999</v>
      </c>
      <c r="G289" s="17">
        <f>CHOOSE(CONTROL!$C$42, 13.7972, 13.7972)*CHOOSE(CONTROL!$C$21, $C$9, 100%, $E$9)</f>
        <v>13.7972</v>
      </c>
      <c r="H289" s="17">
        <f>CHOOSE(CONTROL!$C$42, 13.8911, 13.8911) * CHOOSE(CONTROL!$C$21, $C$9, 100%, $E$9)</f>
        <v>13.8911</v>
      </c>
      <c r="I289" s="17">
        <f>CHOOSE(CONTROL!$C$42, 13.8342, 13.8342)* CHOOSE(CONTROL!$C$21, $C$9, 100%, $E$9)</f>
        <v>13.834199999999999</v>
      </c>
      <c r="J289" s="17">
        <f>CHOOSE(CONTROL!$C$42, 13.7734, 13.7734)* CHOOSE(CONTROL!$C$21, $C$9, 100%, $E$9)</f>
        <v>13.773400000000001</v>
      </c>
      <c r="K289" s="52">
        <f>CHOOSE(CONTROL!$C$42, 13.8281, 13.8281) * CHOOSE(CONTROL!$C$21, $C$9, 100%, $E$9)</f>
        <v>13.828099999999999</v>
      </c>
      <c r="L289" s="17">
        <f>CHOOSE(CONTROL!$C$42, 14.4781, 14.4781) * CHOOSE(CONTROL!$C$21, $C$9, 100%, $E$9)</f>
        <v>14.4781</v>
      </c>
      <c r="M289" s="17">
        <f>CHOOSE(CONTROL!$C$42, 13.6565, 13.6565) * CHOOSE(CONTROL!$C$21, $C$9, 100%, $E$9)</f>
        <v>13.656499999999999</v>
      </c>
      <c r="N289" s="17">
        <f>CHOOSE(CONTROL!$C$42, 13.6728, 13.6728) * CHOOSE(CONTROL!$C$21, $C$9, 100%, $E$9)</f>
        <v>13.672800000000001</v>
      </c>
      <c r="O289" s="17">
        <f>CHOOSE(CONTROL!$C$42, 13.7731, 13.7731) * CHOOSE(CONTROL!$C$21, $C$9, 100%, $E$9)</f>
        <v>13.773099999999999</v>
      </c>
      <c r="P289" s="17">
        <f>CHOOSE(CONTROL!$C$42, 13.7164, 13.7164) * CHOOSE(CONTROL!$C$21, $C$9, 100%, $E$9)</f>
        <v>13.7164</v>
      </c>
      <c r="Q289" s="17">
        <f>CHOOSE(CONTROL!$C$42, 14.3678, 14.3678) * CHOOSE(CONTROL!$C$21, $C$9, 100%, $E$9)</f>
        <v>14.367800000000001</v>
      </c>
      <c r="R289" s="17">
        <f>CHOOSE(CONTROL!$C$42, 14.9908, 14.9908) * CHOOSE(CONTROL!$C$21, $C$9, 100%, $E$9)</f>
        <v>14.9908</v>
      </c>
      <c r="S289" s="17">
        <f>CHOOSE(CONTROL!$C$42, 13.3399, 13.3399) * CHOOSE(CONTROL!$C$21, $C$9, 100%, $E$9)</f>
        <v>13.3399</v>
      </c>
      <c r="T28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89" s="56">
        <f>(1000*CHOOSE(CONTROL!$C$42, 695, 695)*CHOOSE(CONTROL!$C$42, 0.5599, 0.5599)*CHOOSE(CONTROL!$C$42, 31, 31))/1000000</f>
        <v>12.063045499999998</v>
      </c>
      <c r="V289" s="56">
        <f>(1000*CHOOSE(CONTROL!$C$42, 500, 500)*CHOOSE(CONTROL!$C$42, 0.275, 0.275)*CHOOSE(CONTROL!$C$42, 31, 31))/1000000</f>
        <v>4.2625000000000002</v>
      </c>
      <c r="W289" s="56">
        <f>(1000*CHOOSE(CONTROL!$C$42, 0.0916, 0.0916)*CHOOSE(CONTROL!$C$42, 121.5, 121.5)*CHOOSE(CONTROL!$C$42, 31, 31))/1000000</f>
        <v>0.34501139999999997</v>
      </c>
      <c r="X289" s="56">
        <f>(31*0.2374*100000/1000000)</f>
        <v>0.73594000000000004</v>
      </c>
      <c r="Y289" s="56"/>
      <c r="Z289" s="17"/>
      <c r="AA289" s="55"/>
      <c r="AB289" s="48">
        <f>(B289*122.58+C289*297.941+D289*89.177+E289*140.302+F289*40+G289*60+H289*0+I289*100+J289*300)/(122.58+297.941+89.177+140.302+0+40+60+100+300)</f>
        <v>13.802064884173912</v>
      </c>
      <c r="AC289" s="45">
        <f>(M289*'RAP TEMPLATE-GAS AVAILABILITY'!O288+N289*'RAP TEMPLATE-GAS AVAILABILITY'!P288+O289*'RAP TEMPLATE-GAS AVAILABILITY'!Q288+P289*'RAP TEMPLATE-GAS AVAILABILITY'!R288)/('RAP TEMPLATE-GAS AVAILABILITY'!O288+'RAP TEMPLATE-GAS AVAILABILITY'!P288+'RAP TEMPLATE-GAS AVAILABILITY'!Q288+'RAP TEMPLATE-GAS AVAILABILITY'!R288)</f>
        <v>13.718904316546761</v>
      </c>
    </row>
    <row r="290" spans="1:29" ht="15.75" x14ac:dyDescent="0.25">
      <c r="A290" s="15">
        <v>49706</v>
      </c>
      <c r="B290" s="17">
        <f>CHOOSE(CONTROL!$C$42, 14.0114, 14.0114) * CHOOSE(CONTROL!$C$21, $C$9, 100%, $E$9)</f>
        <v>14.0114</v>
      </c>
      <c r="C290" s="17">
        <f>CHOOSE(CONTROL!$C$42, 14.0165, 14.0165) * CHOOSE(CONTROL!$C$21, $C$9, 100%, $E$9)</f>
        <v>14.016500000000001</v>
      </c>
      <c r="D290" s="17">
        <f>CHOOSE(CONTROL!$C$42, 14.1133, 14.1133) * CHOOSE(CONTROL!$C$21, $C$9, 100%, $E$9)</f>
        <v>14.113300000000001</v>
      </c>
      <c r="E290" s="17">
        <f>CHOOSE(CONTROL!$C$42, 14.1471, 14.1471) * CHOOSE(CONTROL!$C$21, $C$9, 100%, $E$9)</f>
        <v>14.1471</v>
      </c>
      <c r="F290" s="17">
        <f>CHOOSE(CONTROL!$C$42, 14.0256, 14.0256)*CHOOSE(CONTROL!$C$21, $C$9, 100%, $E$9)</f>
        <v>14.025600000000001</v>
      </c>
      <c r="G290" s="17">
        <f>CHOOSE(CONTROL!$C$42, 14.0421, 14.0421)*CHOOSE(CONTROL!$C$21, $C$9, 100%, $E$9)</f>
        <v>14.0421</v>
      </c>
      <c r="H290" s="17">
        <f>CHOOSE(CONTROL!$C$42, 14.1359, 14.1359) * CHOOSE(CONTROL!$C$21, $C$9, 100%, $E$9)</f>
        <v>14.135899999999999</v>
      </c>
      <c r="I290" s="17">
        <f>CHOOSE(CONTROL!$C$42, 14.0798, 14.0798)* CHOOSE(CONTROL!$C$21, $C$9, 100%, $E$9)</f>
        <v>14.079800000000001</v>
      </c>
      <c r="J290" s="17">
        <f>CHOOSE(CONTROL!$C$42, 14.0182, 14.0182)* CHOOSE(CONTROL!$C$21, $C$9, 100%, $E$9)</f>
        <v>14.0182</v>
      </c>
      <c r="K290" s="52">
        <f>CHOOSE(CONTROL!$C$42, 14.0738, 14.0738) * CHOOSE(CONTROL!$C$21, $C$9, 100%, $E$9)</f>
        <v>14.0738</v>
      </c>
      <c r="L290" s="17">
        <f>CHOOSE(CONTROL!$C$42, 14.7229, 14.7229) * CHOOSE(CONTROL!$C$21, $C$9, 100%, $E$9)</f>
        <v>14.722899999999999</v>
      </c>
      <c r="M290" s="17">
        <f>CHOOSE(CONTROL!$C$42, 13.8992, 13.8992) * CHOOSE(CONTROL!$C$21, $C$9, 100%, $E$9)</f>
        <v>13.8992</v>
      </c>
      <c r="N290" s="17">
        <f>CHOOSE(CONTROL!$C$42, 13.9154, 13.9154) * CHOOSE(CONTROL!$C$21, $C$9, 100%, $E$9)</f>
        <v>13.9154</v>
      </c>
      <c r="O290" s="17">
        <f>CHOOSE(CONTROL!$C$42, 14.0158, 14.0158) * CHOOSE(CONTROL!$C$21, $C$9, 100%, $E$9)</f>
        <v>14.0158</v>
      </c>
      <c r="P290" s="17">
        <f>CHOOSE(CONTROL!$C$42, 13.9599, 13.9599) * CHOOSE(CONTROL!$C$21, $C$9, 100%, $E$9)</f>
        <v>13.959899999999999</v>
      </c>
      <c r="Q290" s="17">
        <f>CHOOSE(CONTROL!$C$42, 14.6105, 14.6105) * CHOOSE(CONTROL!$C$21, $C$9, 100%, $E$9)</f>
        <v>14.6105</v>
      </c>
      <c r="R290" s="17">
        <f>CHOOSE(CONTROL!$C$42, 15.234, 15.234) * CHOOSE(CONTROL!$C$21, $C$9, 100%, $E$9)</f>
        <v>15.234</v>
      </c>
      <c r="S290" s="17">
        <f>CHOOSE(CONTROL!$C$42, 13.5773, 13.5773) * CHOOSE(CONTROL!$C$21, $C$9, 100%, $E$9)</f>
        <v>13.577299999999999</v>
      </c>
      <c r="T290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290" s="56">
        <f>(1000*CHOOSE(CONTROL!$C$42, 695, 695)*CHOOSE(CONTROL!$C$42, 0.5599, 0.5599)*CHOOSE(CONTROL!$C$42, 29, 29))/1000000</f>
        <v>11.284784499999999</v>
      </c>
      <c r="V290" s="56">
        <f>(1000*CHOOSE(CONTROL!$C$42, 500, 500)*CHOOSE(CONTROL!$C$42, 0.275, 0.275)*CHOOSE(CONTROL!$C$42, 29, 29))/1000000</f>
        <v>3.9874999999999998</v>
      </c>
      <c r="W290" s="56">
        <f>(1000*CHOOSE(CONTROL!$C$42, 0.0916, 0.0916)*CHOOSE(CONTROL!$C$42, 121.5, 121.5)*CHOOSE(CONTROL!$C$42, 29, 29))/1000000</f>
        <v>0.3227526</v>
      </c>
      <c r="X290" s="56">
        <f>(29*0.2374*100000/1000000)</f>
        <v>0.68845999999999996</v>
      </c>
      <c r="Y290" s="56"/>
      <c r="Z290" s="17"/>
      <c r="AA290" s="55"/>
      <c r="AB290" s="48">
        <f>(B290*122.58+C290*297.941+D290*89.177+E290*140.302+F290*40+G290*60+H290*0+I290*100+J290*300)/(122.58+297.941+89.177+140.302+0+40+60+100+300)</f>
        <v>14.046996188521737</v>
      </c>
      <c r="AC290" s="45">
        <f>(M290*'RAP TEMPLATE-GAS AVAILABILITY'!O289+N290*'RAP TEMPLATE-GAS AVAILABILITY'!P289+O290*'RAP TEMPLATE-GAS AVAILABILITY'!Q289+P290*'RAP TEMPLATE-GAS AVAILABILITY'!R289)/('RAP TEMPLATE-GAS AVAILABILITY'!O289+'RAP TEMPLATE-GAS AVAILABILITY'!P289+'RAP TEMPLATE-GAS AVAILABILITY'!Q289+'RAP TEMPLATE-GAS AVAILABILITY'!R289)</f>
        <v>13.961713669064748</v>
      </c>
    </row>
    <row r="291" spans="1:29" ht="15.75" x14ac:dyDescent="0.25">
      <c r="A291" s="15">
        <v>49735</v>
      </c>
      <c r="B291" s="17">
        <f>CHOOSE(CONTROL!$C$42, 13.6139, 13.6139) * CHOOSE(CONTROL!$C$21, $C$9, 100%, $E$9)</f>
        <v>13.613899999999999</v>
      </c>
      <c r="C291" s="17">
        <f>CHOOSE(CONTROL!$C$42, 13.619, 13.619) * CHOOSE(CONTROL!$C$21, $C$9, 100%, $E$9)</f>
        <v>13.619</v>
      </c>
      <c r="D291" s="17">
        <f>CHOOSE(CONTROL!$C$42, 13.7158, 13.7158) * CHOOSE(CONTROL!$C$21, $C$9, 100%, $E$9)</f>
        <v>13.7158</v>
      </c>
      <c r="E291" s="17">
        <f>CHOOSE(CONTROL!$C$42, 13.7496, 13.7496) * CHOOSE(CONTROL!$C$21, $C$9, 100%, $E$9)</f>
        <v>13.749599999999999</v>
      </c>
      <c r="F291" s="17">
        <f>CHOOSE(CONTROL!$C$42, 13.6275, 13.6275)*CHOOSE(CONTROL!$C$21, $C$9, 100%, $E$9)</f>
        <v>13.6275</v>
      </c>
      <c r="G291" s="17">
        <f>CHOOSE(CONTROL!$C$42, 13.6438, 13.6438)*CHOOSE(CONTROL!$C$21, $C$9, 100%, $E$9)</f>
        <v>13.643800000000001</v>
      </c>
      <c r="H291" s="17">
        <f>CHOOSE(CONTROL!$C$42, 13.7384, 13.7384) * CHOOSE(CONTROL!$C$21, $C$9, 100%, $E$9)</f>
        <v>13.7384</v>
      </c>
      <c r="I291" s="17">
        <f>CHOOSE(CONTROL!$C$42, 13.6811, 13.6811)* CHOOSE(CONTROL!$C$21, $C$9, 100%, $E$9)</f>
        <v>13.681100000000001</v>
      </c>
      <c r="J291" s="17">
        <f>CHOOSE(CONTROL!$C$42, 13.6201, 13.6201)* CHOOSE(CONTROL!$C$21, $C$9, 100%, $E$9)</f>
        <v>13.620100000000001</v>
      </c>
      <c r="K291" s="52">
        <f>CHOOSE(CONTROL!$C$42, 13.675, 13.675) * CHOOSE(CONTROL!$C$21, $C$9, 100%, $E$9)</f>
        <v>13.675000000000001</v>
      </c>
      <c r="L291" s="17">
        <f>CHOOSE(CONTROL!$C$42, 14.3254, 14.3254) * CHOOSE(CONTROL!$C$21, $C$9, 100%, $E$9)</f>
        <v>14.3254</v>
      </c>
      <c r="M291" s="17">
        <f>CHOOSE(CONTROL!$C$42, 13.5046, 13.5046) * CHOOSE(CONTROL!$C$21, $C$9, 100%, $E$9)</f>
        <v>13.5046</v>
      </c>
      <c r="N291" s="17">
        <f>CHOOSE(CONTROL!$C$42, 13.5207, 13.5207) * CHOOSE(CONTROL!$C$21, $C$9, 100%, $E$9)</f>
        <v>13.5207</v>
      </c>
      <c r="O291" s="17">
        <f>CHOOSE(CONTROL!$C$42, 13.6219, 13.6219) * CHOOSE(CONTROL!$C$21, $C$9, 100%, $E$9)</f>
        <v>13.6219</v>
      </c>
      <c r="P291" s="17">
        <f>CHOOSE(CONTROL!$C$42, 13.5647, 13.5647) * CHOOSE(CONTROL!$C$21, $C$9, 100%, $E$9)</f>
        <v>13.5647</v>
      </c>
      <c r="Q291" s="17">
        <f>CHOOSE(CONTROL!$C$42, 14.2166, 14.2166) * CHOOSE(CONTROL!$C$21, $C$9, 100%, $E$9)</f>
        <v>14.2166</v>
      </c>
      <c r="R291" s="17">
        <f>CHOOSE(CONTROL!$C$42, 14.8391, 14.8391) * CHOOSE(CONTROL!$C$21, $C$9, 100%, $E$9)</f>
        <v>14.8391</v>
      </c>
      <c r="S291" s="17">
        <f>CHOOSE(CONTROL!$C$42, 13.1919, 13.1919) * CHOOSE(CONTROL!$C$21, $C$9, 100%, $E$9)</f>
        <v>13.1919</v>
      </c>
      <c r="T29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91" s="56">
        <f>(1000*CHOOSE(CONTROL!$C$42, 695, 695)*CHOOSE(CONTROL!$C$42, 0.5599, 0.5599)*CHOOSE(CONTROL!$C$42, 31, 31))/1000000</f>
        <v>12.063045499999998</v>
      </c>
      <c r="V291" s="56">
        <f>(1000*CHOOSE(CONTROL!$C$42, 500, 500)*CHOOSE(CONTROL!$C$42, 0.275, 0.275)*CHOOSE(CONTROL!$C$42, 31, 31))/1000000</f>
        <v>4.2625000000000002</v>
      </c>
      <c r="W291" s="56">
        <f>(1000*CHOOSE(CONTROL!$C$42, 0.0916, 0.0916)*CHOOSE(CONTROL!$C$42, 121.5, 121.5)*CHOOSE(CONTROL!$C$42, 31, 31))/1000000</f>
        <v>0.34501139999999997</v>
      </c>
      <c r="X291" s="56">
        <f>(31*0.2374*100000/1000000)</f>
        <v>0.73594000000000004</v>
      </c>
      <c r="Y291" s="56"/>
      <c r="Z291" s="17"/>
      <c r="AA291" s="55"/>
      <c r="AB291" s="48">
        <f>(B291*122.58+C291*297.941+D291*89.177+E291*140.302+F291*40+G291*60+H291*0+I291*100+J291*300)/(122.58+297.941+89.177+140.302+0+40+60+100+300)</f>
        <v>13.649172710260872</v>
      </c>
      <c r="AC291" s="45">
        <f>(M291*'RAP TEMPLATE-GAS AVAILABILITY'!O290+N291*'RAP TEMPLATE-GAS AVAILABILITY'!P290+O291*'RAP TEMPLATE-GAS AVAILABILITY'!Q290+P291*'RAP TEMPLATE-GAS AVAILABILITY'!R290)/('RAP TEMPLATE-GAS AVAILABILITY'!O290+'RAP TEMPLATE-GAS AVAILABILITY'!P290+'RAP TEMPLATE-GAS AVAILABILITY'!Q290+'RAP TEMPLATE-GAS AVAILABILITY'!R290)</f>
        <v>13.567338848920862</v>
      </c>
    </row>
    <row r="292" spans="1:29" ht="15.75" x14ac:dyDescent="0.25">
      <c r="A292" s="15">
        <v>49766</v>
      </c>
      <c r="B292" s="17">
        <f>CHOOSE(CONTROL!$C$42, 13.5741, 13.5741) * CHOOSE(CONTROL!$C$21, $C$9, 100%, $E$9)</f>
        <v>13.5741</v>
      </c>
      <c r="C292" s="17">
        <f>CHOOSE(CONTROL!$C$42, 13.5787, 13.5787) * CHOOSE(CONTROL!$C$21, $C$9, 100%, $E$9)</f>
        <v>13.5787</v>
      </c>
      <c r="D292" s="17">
        <f>CHOOSE(CONTROL!$C$42, 13.8262, 13.8262) * CHOOSE(CONTROL!$C$21, $C$9, 100%, $E$9)</f>
        <v>13.8262</v>
      </c>
      <c r="E292" s="17">
        <f>CHOOSE(CONTROL!$C$42, 13.858, 13.858) * CHOOSE(CONTROL!$C$21, $C$9, 100%, $E$9)</f>
        <v>13.858000000000001</v>
      </c>
      <c r="F292" s="17">
        <f>CHOOSE(CONTROL!$C$42, 13.5858, 13.5858)*CHOOSE(CONTROL!$C$21, $C$9, 100%, $E$9)</f>
        <v>13.585800000000001</v>
      </c>
      <c r="G292" s="17">
        <f>CHOOSE(CONTROL!$C$42, 13.6017, 13.6017)*CHOOSE(CONTROL!$C$21, $C$9, 100%, $E$9)</f>
        <v>13.601699999999999</v>
      </c>
      <c r="H292" s="17">
        <f>CHOOSE(CONTROL!$C$42, 13.8475, 13.8475) * CHOOSE(CONTROL!$C$21, $C$9, 100%, $E$9)</f>
        <v>13.8475</v>
      </c>
      <c r="I292" s="17">
        <f>CHOOSE(CONTROL!$C$42, 13.6389, 13.6389)* CHOOSE(CONTROL!$C$21, $C$9, 100%, $E$9)</f>
        <v>13.6389</v>
      </c>
      <c r="J292" s="17">
        <f>CHOOSE(CONTROL!$C$42, 13.5784, 13.5784)* CHOOSE(CONTROL!$C$21, $C$9, 100%, $E$9)</f>
        <v>13.5784</v>
      </c>
      <c r="K292" s="52">
        <f>CHOOSE(CONTROL!$C$42, 13.6329, 13.6329) * CHOOSE(CONTROL!$C$21, $C$9, 100%, $E$9)</f>
        <v>13.632899999999999</v>
      </c>
      <c r="L292" s="17">
        <f>CHOOSE(CONTROL!$C$42, 14.4345, 14.4345) * CHOOSE(CONTROL!$C$21, $C$9, 100%, $E$9)</f>
        <v>14.4345</v>
      </c>
      <c r="M292" s="17">
        <f>CHOOSE(CONTROL!$C$42, 13.4633, 13.4633) * CHOOSE(CONTROL!$C$21, $C$9, 100%, $E$9)</f>
        <v>13.4633</v>
      </c>
      <c r="N292" s="17">
        <f>CHOOSE(CONTROL!$C$42, 13.4791, 13.4791) * CHOOSE(CONTROL!$C$21, $C$9, 100%, $E$9)</f>
        <v>13.479100000000001</v>
      </c>
      <c r="O292" s="17">
        <f>CHOOSE(CONTROL!$C$42, 13.7299, 13.7299) * CHOOSE(CONTROL!$C$21, $C$9, 100%, $E$9)</f>
        <v>13.729900000000001</v>
      </c>
      <c r="P292" s="17">
        <f>CHOOSE(CONTROL!$C$42, 13.5229, 13.5229) * CHOOSE(CONTROL!$C$21, $C$9, 100%, $E$9)</f>
        <v>13.5229</v>
      </c>
      <c r="Q292" s="17">
        <f>CHOOSE(CONTROL!$C$42, 14.3246, 14.3246) * CHOOSE(CONTROL!$C$21, $C$9, 100%, $E$9)</f>
        <v>14.3246</v>
      </c>
      <c r="R292" s="17">
        <f>CHOOSE(CONTROL!$C$42, 14.9474, 14.9474) * CHOOSE(CONTROL!$C$21, $C$9, 100%, $E$9)</f>
        <v>14.9474</v>
      </c>
      <c r="S292" s="17">
        <f>CHOOSE(CONTROL!$C$42, 13.1526, 13.1526) * CHOOSE(CONTROL!$C$21, $C$9, 100%, $E$9)</f>
        <v>13.1526</v>
      </c>
      <c r="T29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92" s="56">
        <f>(1000*CHOOSE(CONTROL!$C$42, 695, 695)*CHOOSE(CONTROL!$C$42, 0.5599, 0.5599)*CHOOSE(CONTROL!$C$42, 30, 30))/1000000</f>
        <v>11.673914999999997</v>
      </c>
      <c r="V292" s="56">
        <f>(1000*CHOOSE(CONTROL!$C$42, 500, 500)*CHOOSE(CONTROL!$C$42, 0.275, 0.275)*CHOOSE(CONTROL!$C$42, 30, 30))/1000000</f>
        <v>4.125</v>
      </c>
      <c r="W292" s="56">
        <f>(1000*CHOOSE(CONTROL!$C$42, 0.0916, 0.0916)*CHOOSE(CONTROL!$C$42, 121.5, 121.5)*CHOOSE(CONTROL!$C$42, 30, 30))/1000000</f>
        <v>0.33388200000000001</v>
      </c>
      <c r="X292" s="56">
        <f>(30*0.1790888*145000/1000000)+(30*0.2374*100000/1000000)</f>
        <v>1.4912362799999999</v>
      </c>
      <c r="Y292" s="56"/>
      <c r="Z292" s="17"/>
      <c r="AA292" s="55"/>
      <c r="AB292" s="48">
        <f>(B292*141.293+C292*267.993+D292*115.016+E292*189.698+F292*40+G292*85+H292*0+I292*100+J292*300)/(141.293+267.993+115.016+189.698+0+40+85+100+300)</f>
        <v>13.650506427441485</v>
      </c>
      <c r="AC292" s="45">
        <f>(M292*'RAP TEMPLATE-GAS AVAILABILITY'!O291+N292*'RAP TEMPLATE-GAS AVAILABILITY'!P291+O292*'RAP TEMPLATE-GAS AVAILABILITY'!Q291+P292*'RAP TEMPLATE-GAS AVAILABILITY'!R291)/('RAP TEMPLATE-GAS AVAILABILITY'!O291+'RAP TEMPLATE-GAS AVAILABILITY'!P291+'RAP TEMPLATE-GAS AVAILABILITY'!Q291+'RAP TEMPLATE-GAS AVAILABILITY'!R291)</f>
        <v>13.550314388489207</v>
      </c>
    </row>
    <row r="293" spans="1:29" ht="15.75" x14ac:dyDescent="0.25">
      <c r="A293" s="15">
        <v>49796</v>
      </c>
      <c r="B293" s="17">
        <f>CHOOSE(CONTROL!$C$42, 13.6952, 13.6952) * CHOOSE(CONTROL!$C$21, $C$9, 100%, $E$9)</f>
        <v>13.6952</v>
      </c>
      <c r="C293" s="17">
        <f>CHOOSE(CONTROL!$C$42, 13.7032, 13.7032) * CHOOSE(CONTROL!$C$21, $C$9, 100%, $E$9)</f>
        <v>13.703200000000001</v>
      </c>
      <c r="D293" s="17">
        <f>CHOOSE(CONTROL!$C$42, 13.9477, 13.9477) * CHOOSE(CONTROL!$C$21, $C$9, 100%, $E$9)</f>
        <v>13.947699999999999</v>
      </c>
      <c r="E293" s="17">
        <f>CHOOSE(CONTROL!$C$42, 13.9788, 13.9788) * CHOOSE(CONTROL!$C$21, $C$9, 100%, $E$9)</f>
        <v>13.9788</v>
      </c>
      <c r="F293" s="17">
        <f>CHOOSE(CONTROL!$C$42, 13.7058, 13.7058)*CHOOSE(CONTROL!$C$21, $C$9, 100%, $E$9)</f>
        <v>13.7058</v>
      </c>
      <c r="G293" s="17">
        <f>CHOOSE(CONTROL!$C$42, 13.722, 13.722)*CHOOSE(CONTROL!$C$21, $C$9, 100%, $E$9)</f>
        <v>13.722</v>
      </c>
      <c r="H293" s="17">
        <f>CHOOSE(CONTROL!$C$42, 13.9672, 13.9672) * CHOOSE(CONTROL!$C$21, $C$9, 100%, $E$9)</f>
        <v>13.9672</v>
      </c>
      <c r="I293" s="17">
        <f>CHOOSE(CONTROL!$C$42, 13.759, 13.759)* CHOOSE(CONTROL!$C$21, $C$9, 100%, $E$9)</f>
        <v>13.759</v>
      </c>
      <c r="J293" s="17">
        <f>CHOOSE(CONTROL!$C$42, 13.6984, 13.6984)* CHOOSE(CONTROL!$C$21, $C$9, 100%, $E$9)</f>
        <v>13.698399999999999</v>
      </c>
      <c r="K293" s="52">
        <f>CHOOSE(CONTROL!$C$42, 13.7529, 13.7529) * CHOOSE(CONTROL!$C$21, $C$9, 100%, $E$9)</f>
        <v>13.7529</v>
      </c>
      <c r="L293" s="17">
        <f>CHOOSE(CONTROL!$C$42, 14.5542, 14.5542) * CHOOSE(CONTROL!$C$21, $C$9, 100%, $E$9)</f>
        <v>14.5542</v>
      </c>
      <c r="M293" s="17">
        <f>CHOOSE(CONTROL!$C$42, 13.5822, 13.5822) * CHOOSE(CONTROL!$C$21, $C$9, 100%, $E$9)</f>
        <v>13.5822</v>
      </c>
      <c r="N293" s="17">
        <f>CHOOSE(CONTROL!$C$42, 13.5983, 13.5983) * CHOOSE(CONTROL!$C$21, $C$9, 100%, $E$9)</f>
        <v>13.5983</v>
      </c>
      <c r="O293" s="17">
        <f>CHOOSE(CONTROL!$C$42, 13.8486, 13.8486) * CHOOSE(CONTROL!$C$21, $C$9, 100%, $E$9)</f>
        <v>13.848599999999999</v>
      </c>
      <c r="P293" s="17">
        <f>CHOOSE(CONTROL!$C$42, 13.6419, 13.6419) * CHOOSE(CONTROL!$C$21, $C$9, 100%, $E$9)</f>
        <v>13.6419</v>
      </c>
      <c r="Q293" s="17">
        <f>CHOOSE(CONTROL!$C$42, 14.4433, 14.4433) * CHOOSE(CONTROL!$C$21, $C$9, 100%, $E$9)</f>
        <v>14.443300000000001</v>
      </c>
      <c r="R293" s="17">
        <f>CHOOSE(CONTROL!$C$42, 15.0664, 15.0664) * CHOOSE(CONTROL!$C$21, $C$9, 100%, $E$9)</f>
        <v>15.0664</v>
      </c>
      <c r="S293" s="17">
        <f>CHOOSE(CONTROL!$C$42, 13.2687, 13.2687) * CHOOSE(CONTROL!$C$21, $C$9, 100%, $E$9)</f>
        <v>13.268700000000001</v>
      </c>
      <c r="T29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93" s="56">
        <f>(1000*CHOOSE(CONTROL!$C$42, 695, 695)*CHOOSE(CONTROL!$C$42, 0.5599, 0.5599)*CHOOSE(CONTROL!$C$42, 31, 31))/1000000</f>
        <v>12.063045499999998</v>
      </c>
      <c r="V293" s="56">
        <f>(1000*CHOOSE(CONTROL!$C$42, 500, 500)*CHOOSE(CONTROL!$C$42, 0.275, 0.275)*CHOOSE(CONTROL!$C$42, 31, 31))/1000000</f>
        <v>4.2625000000000002</v>
      </c>
      <c r="W293" s="56">
        <f>(1000*CHOOSE(CONTROL!$C$42, 0.0916, 0.0916)*CHOOSE(CONTROL!$C$42, 121.5, 121.5)*CHOOSE(CONTROL!$C$42, 31, 31))/1000000</f>
        <v>0.34501139999999997</v>
      </c>
      <c r="X293" s="56">
        <f>(31*0.1790888*145000/1000000)+(31*0.2374*100000/1000000)</f>
        <v>1.5409441560000001</v>
      </c>
      <c r="Y293" s="56"/>
      <c r="Z293" s="17"/>
      <c r="AA293" s="55"/>
      <c r="AB293" s="48">
        <f>(B293*194.205+C293*267.466+D293*133.845+E293*153.484+F293*40+G293*85+H293*0+I293*100+J293*300)/(194.205+267.466+133.845+153.484+0+40+85+100+300)</f>
        <v>13.765455614521192</v>
      </c>
      <c r="AC293" s="45">
        <f>(M293*'RAP TEMPLATE-GAS AVAILABILITY'!O292+N293*'RAP TEMPLATE-GAS AVAILABILITY'!P292+O293*'RAP TEMPLATE-GAS AVAILABILITY'!Q292+P293*'RAP TEMPLATE-GAS AVAILABILITY'!R292)/('RAP TEMPLATE-GAS AVAILABILITY'!O292+'RAP TEMPLATE-GAS AVAILABILITY'!P292+'RAP TEMPLATE-GAS AVAILABILITY'!Q292+'RAP TEMPLATE-GAS AVAILABILITY'!R292)</f>
        <v>13.669241726618704</v>
      </c>
    </row>
    <row r="294" spans="1:29" ht="15.75" x14ac:dyDescent="0.25">
      <c r="A294" s="15">
        <v>49827</v>
      </c>
      <c r="B294" s="17">
        <f>CHOOSE(CONTROL!$C$42, 14.0833, 14.0833) * CHOOSE(CONTROL!$C$21, $C$9, 100%, $E$9)</f>
        <v>14.083299999999999</v>
      </c>
      <c r="C294" s="17">
        <f>CHOOSE(CONTROL!$C$42, 14.0913, 14.0913) * CHOOSE(CONTROL!$C$21, $C$9, 100%, $E$9)</f>
        <v>14.0913</v>
      </c>
      <c r="D294" s="17">
        <f>CHOOSE(CONTROL!$C$42, 14.3358, 14.3358) * CHOOSE(CONTROL!$C$21, $C$9, 100%, $E$9)</f>
        <v>14.335800000000001</v>
      </c>
      <c r="E294" s="17">
        <f>CHOOSE(CONTROL!$C$42, 14.367, 14.367) * CHOOSE(CONTROL!$C$21, $C$9, 100%, $E$9)</f>
        <v>14.367000000000001</v>
      </c>
      <c r="F294" s="17">
        <f>CHOOSE(CONTROL!$C$42, 14.0942, 14.0942)*CHOOSE(CONTROL!$C$21, $C$9, 100%, $E$9)</f>
        <v>14.094200000000001</v>
      </c>
      <c r="G294" s="17">
        <f>CHOOSE(CONTROL!$C$42, 14.1105, 14.1105)*CHOOSE(CONTROL!$C$21, $C$9, 100%, $E$9)</f>
        <v>14.1105</v>
      </c>
      <c r="H294" s="17">
        <f>CHOOSE(CONTROL!$C$42, 14.3553, 14.3553) * CHOOSE(CONTROL!$C$21, $C$9, 100%, $E$9)</f>
        <v>14.3553</v>
      </c>
      <c r="I294" s="17">
        <f>CHOOSE(CONTROL!$C$42, 14.1483, 14.1483)* CHOOSE(CONTROL!$C$21, $C$9, 100%, $E$9)</f>
        <v>14.148300000000001</v>
      </c>
      <c r="J294" s="17">
        <f>CHOOSE(CONTROL!$C$42, 14.0868, 14.0868)* CHOOSE(CONTROL!$C$21, $C$9, 100%, $E$9)</f>
        <v>14.0868</v>
      </c>
      <c r="K294" s="52">
        <f>CHOOSE(CONTROL!$C$42, 14.1423, 14.1423) * CHOOSE(CONTROL!$C$21, $C$9, 100%, $E$9)</f>
        <v>14.142300000000001</v>
      </c>
      <c r="L294" s="17">
        <f>CHOOSE(CONTROL!$C$42, 14.9423, 14.9423) * CHOOSE(CONTROL!$C$21, $C$9, 100%, $E$9)</f>
        <v>14.942299999999999</v>
      </c>
      <c r="M294" s="17">
        <f>CHOOSE(CONTROL!$C$42, 13.9671, 13.9671) * CHOOSE(CONTROL!$C$21, $C$9, 100%, $E$9)</f>
        <v>13.9671</v>
      </c>
      <c r="N294" s="17">
        <f>CHOOSE(CONTROL!$C$42, 13.9833, 13.9833) * CHOOSE(CONTROL!$C$21, $C$9, 100%, $E$9)</f>
        <v>13.9833</v>
      </c>
      <c r="O294" s="17">
        <f>CHOOSE(CONTROL!$C$42, 14.2332, 14.2332) * CHOOSE(CONTROL!$C$21, $C$9, 100%, $E$9)</f>
        <v>14.2332</v>
      </c>
      <c r="P294" s="17">
        <f>CHOOSE(CONTROL!$C$42, 14.0277, 14.0277) * CHOOSE(CONTROL!$C$21, $C$9, 100%, $E$9)</f>
        <v>14.027699999999999</v>
      </c>
      <c r="Q294" s="17">
        <f>CHOOSE(CONTROL!$C$42, 14.8279, 14.8279) * CHOOSE(CONTROL!$C$21, $C$9, 100%, $E$9)</f>
        <v>14.8279</v>
      </c>
      <c r="R294" s="17">
        <f>CHOOSE(CONTROL!$C$42, 15.452, 15.452) * CHOOSE(CONTROL!$C$21, $C$9, 100%, $E$9)</f>
        <v>15.452</v>
      </c>
      <c r="S294" s="17">
        <f>CHOOSE(CONTROL!$C$42, 13.645, 13.645) * CHOOSE(CONTROL!$C$21, $C$9, 100%, $E$9)</f>
        <v>13.645</v>
      </c>
      <c r="T29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94" s="56">
        <f>(1000*CHOOSE(CONTROL!$C$42, 695, 695)*CHOOSE(CONTROL!$C$42, 0.5599, 0.5599)*CHOOSE(CONTROL!$C$42, 30, 30))/1000000</f>
        <v>11.673914999999997</v>
      </c>
      <c r="V294" s="56">
        <f>(1000*CHOOSE(CONTROL!$C$42, 500, 500)*CHOOSE(CONTROL!$C$42, 0.275, 0.275)*CHOOSE(CONTROL!$C$42, 30, 30))/1000000</f>
        <v>4.125</v>
      </c>
      <c r="W294" s="56">
        <f>(1000*CHOOSE(CONTROL!$C$42, 0.0916, 0.0916)*CHOOSE(CONTROL!$C$42, 121.5, 121.5)*CHOOSE(CONTROL!$C$42, 30, 30))/1000000</f>
        <v>0.33388200000000001</v>
      </c>
      <c r="X294" s="56">
        <f>(30*0.1790888*145000/1000000)+(30*0.2374*100000/1000000)</f>
        <v>1.4912362799999999</v>
      </c>
      <c r="Y294" s="56"/>
      <c r="Z294" s="17"/>
      <c r="AA294" s="55"/>
      <c r="AB294" s="48">
        <f>(B294*194.205+C294*267.466+D294*133.845+E294*153.484+F294*40+G294*85+H294*0+I294*100+J294*300)/(194.205+267.466+133.845+153.484+0+40+85+100+300)</f>
        <v>14.153768603846153</v>
      </c>
      <c r="AC294" s="45">
        <f>(M294*'RAP TEMPLATE-GAS AVAILABILITY'!O293+N294*'RAP TEMPLATE-GAS AVAILABILITY'!P293+O294*'RAP TEMPLATE-GAS AVAILABILITY'!Q293+P294*'RAP TEMPLATE-GAS AVAILABILITY'!R293)/('RAP TEMPLATE-GAS AVAILABILITY'!O293+'RAP TEMPLATE-GAS AVAILABILITY'!P293+'RAP TEMPLATE-GAS AVAILABILITY'!Q293+'RAP TEMPLATE-GAS AVAILABILITY'!R293)</f>
        <v>14.054210071942448</v>
      </c>
    </row>
    <row r="295" spans="1:29" ht="15.75" x14ac:dyDescent="0.25">
      <c r="A295" s="15">
        <v>49857</v>
      </c>
      <c r="B295" s="17">
        <f>CHOOSE(CONTROL!$C$42, 13.8134, 13.8134) * CHOOSE(CONTROL!$C$21, $C$9, 100%, $E$9)</f>
        <v>13.8134</v>
      </c>
      <c r="C295" s="17">
        <f>CHOOSE(CONTROL!$C$42, 13.8214, 13.8214) * CHOOSE(CONTROL!$C$21, $C$9, 100%, $E$9)</f>
        <v>13.821400000000001</v>
      </c>
      <c r="D295" s="17">
        <f>CHOOSE(CONTROL!$C$42, 14.0659, 14.0659) * CHOOSE(CONTROL!$C$21, $C$9, 100%, $E$9)</f>
        <v>14.065899999999999</v>
      </c>
      <c r="E295" s="17">
        <f>CHOOSE(CONTROL!$C$42, 14.097, 14.097) * CHOOSE(CONTROL!$C$21, $C$9, 100%, $E$9)</f>
        <v>14.097</v>
      </c>
      <c r="F295" s="17">
        <f>CHOOSE(CONTROL!$C$42, 13.8247, 13.8247)*CHOOSE(CONTROL!$C$21, $C$9, 100%, $E$9)</f>
        <v>13.8247</v>
      </c>
      <c r="G295" s="17">
        <f>CHOOSE(CONTROL!$C$42, 13.8412, 13.8412)*CHOOSE(CONTROL!$C$21, $C$9, 100%, $E$9)</f>
        <v>13.841200000000001</v>
      </c>
      <c r="H295" s="17">
        <f>CHOOSE(CONTROL!$C$42, 14.0854, 14.0854) * CHOOSE(CONTROL!$C$21, $C$9, 100%, $E$9)</f>
        <v>14.0854</v>
      </c>
      <c r="I295" s="17">
        <f>CHOOSE(CONTROL!$C$42, 13.8775, 13.8775)* CHOOSE(CONTROL!$C$21, $C$9, 100%, $E$9)</f>
        <v>13.8775</v>
      </c>
      <c r="J295" s="17">
        <f>CHOOSE(CONTROL!$C$42, 13.8173, 13.8173)* CHOOSE(CONTROL!$C$21, $C$9, 100%, $E$9)</f>
        <v>13.817299999999999</v>
      </c>
      <c r="K295" s="52">
        <f>CHOOSE(CONTROL!$C$42, 13.8715, 13.8715) * CHOOSE(CONTROL!$C$21, $C$9, 100%, $E$9)</f>
        <v>13.871499999999999</v>
      </c>
      <c r="L295" s="17">
        <f>CHOOSE(CONTROL!$C$42, 14.6724, 14.6724) * CHOOSE(CONTROL!$C$21, $C$9, 100%, $E$9)</f>
        <v>14.6724</v>
      </c>
      <c r="M295" s="17">
        <f>CHOOSE(CONTROL!$C$42, 13.7001, 13.7001) * CHOOSE(CONTROL!$C$21, $C$9, 100%, $E$9)</f>
        <v>13.700100000000001</v>
      </c>
      <c r="N295" s="17">
        <f>CHOOSE(CONTROL!$C$42, 13.7164, 13.7164) * CHOOSE(CONTROL!$C$21, $C$9, 100%, $E$9)</f>
        <v>13.7164</v>
      </c>
      <c r="O295" s="17">
        <f>CHOOSE(CONTROL!$C$42, 13.9657, 13.9657) * CHOOSE(CONTROL!$C$21, $C$9, 100%, $E$9)</f>
        <v>13.9657</v>
      </c>
      <c r="P295" s="17">
        <f>CHOOSE(CONTROL!$C$42, 13.7594, 13.7594) * CHOOSE(CONTROL!$C$21, $C$9, 100%, $E$9)</f>
        <v>13.759399999999999</v>
      </c>
      <c r="Q295" s="17">
        <f>CHOOSE(CONTROL!$C$42, 14.5604, 14.5604) * CHOOSE(CONTROL!$C$21, $C$9, 100%, $E$9)</f>
        <v>14.5604</v>
      </c>
      <c r="R295" s="17">
        <f>CHOOSE(CONTROL!$C$42, 15.1838, 15.1838) * CHOOSE(CONTROL!$C$21, $C$9, 100%, $E$9)</f>
        <v>15.1838</v>
      </c>
      <c r="S295" s="17">
        <f>CHOOSE(CONTROL!$C$42, 13.3833, 13.3833) * CHOOSE(CONTROL!$C$21, $C$9, 100%, $E$9)</f>
        <v>13.3833</v>
      </c>
      <c r="T29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95" s="56">
        <f>(1000*CHOOSE(CONTROL!$C$42, 695, 695)*CHOOSE(CONTROL!$C$42, 0.5599, 0.5599)*CHOOSE(CONTROL!$C$42, 31, 31))/1000000</f>
        <v>12.063045499999998</v>
      </c>
      <c r="V295" s="56">
        <f>(1000*CHOOSE(CONTROL!$C$42, 500, 500)*CHOOSE(CONTROL!$C$42, 0.275, 0.275)*CHOOSE(CONTROL!$C$42, 31, 31))/1000000</f>
        <v>4.2625000000000002</v>
      </c>
      <c r="W295" s="56">
        <f>(1000*CHOOSE(CONTROL!$C$42, 0.0916, 0.0916)*CHOOSE(CONTROL!$C$42, 121.5, 121.5)*CHOOSE(CONTROL!$C$42, 31, 31))/1000000</f>
        <v>0.34501139999999997</v>
      </c>
      <c r="X295" s="56">
        <f>(31*0.1790888*145000/1000000)+(31*0.2374*100000/1000000)</f>
        <v>1.5409441560000001</v>
      </c>
      <c r="Y295" s="56"/>
      <c r="Z295" s="17"/>
      <c r="AA295" s="55"/>
      <c r="AB295" s="48">
        <f>(B295*194.205+C295*267.466+D295*133.845+E295*153.484+F295*40+G295*85+H295*0+I295*100+J295*300)/(194.205+267.466+133.845+153.484+0+40+85+100+300)</f>
        <v>13.883932694583986</v>
      </c>
      <c r="AC295" s="45">
        <f>(M295*'RAP TEMPLATE-GAS AVAILABILITY'!O294+N295*'RAP TEMPLATE-GAS AVAILABILITY'!P294+O295*'RAP TEMPLATE-GAS AVAILABILITY'!Q294+P295*'RAP TEMPLATE-GAS AVAILABILITY'!R294)/('RAP TEMPLATE-GAS AVAILABILITY'!O294+'RAP TEMPLATE-GAS AVAILABILITY'!P294+'RAP TEMPLATE-GAS AVAILABILITY'!Q294+'RAP TEMPLATE-GAS AVAILABILITY'!R294)</f>
        <v>13.786905755395685</v>
      </c>
    </row>
    <row r="296" spans="1:29" ht="15.75" x14ac:dyDescent="0.25">
      <c r="A296" s="15">
        <v>49888</v>
      </c>
      <c r="B296" s="17">
        <f>CHOOSE(CONTROL!$C$42, 13.1317, 13.1317) * CHOOSE(CONTROL!$C$21, $C$9, 100%, $E$9)</f>
        <v>13.1317</v>
      </c>
      <c r="C296" s="17">
        <f>CHOOSE(CONTROL!$C$42, 13.1397, 13.1397) * CHOOSE(CONTROL!$C$21, $C$9, 100%, $E$9)</f>
        <v>13.139699999999999</v>
      </c>
      <c r="D296" s="17">
        <f>CHOOSE(CONTROL!$C$42, 13.3842, 13.3842) * CHOOSE(CONTROL!$C$21, $C$9, 100%, $E$9)</f>
        <v>13.3842</v>
      </c>
      <c r="E296" s="17">
        <f>CHOOSE(CONTROL!$C$42, 13.4153, 13.4153) * CHOOSE(CONTROL!$C$21, $C$9, 100%, $E$9)</f>
        <v>13.4153</v>
      </c>
      <c r="F296" s="17">
        <f>CHOOSE(CONTROL!$C$42, 13.1433, 13.1433)*CHOOSE(CONTROL!$C$21, $C$9, 100%, $E$9)</f>
        <v>13.1433</v>
      </c>
      <c r="G296" s="17">
        <f>CHOOSE(CONTROL!$C$42, 13.1598, 13.1598)*CHOOSE(CONTROL!$C$21, $C$9, 100%, $E$9)</f>
        <v>13.159800000000001</v>
      </c>
      <c r="H296" s="17">
        <f>CHOOSE(CONTROL!$C$42, 13.4037, 13.4037) * CHOOSE(CONTROL!$C$21, $C$9, 100%, $E$9)</f>
        <v>13.403700000000001</v>
      </c>
      <c r="I296" s="17">
        <f>CHOOSE(CONTROL!$C$42, 13.1937, 13.1937)* CHOOSE(CONTROL!$C$21, $C$9, 100%, $E$9)</f>
        <v>13.1937</v>
      </c>
      <c r="J296" s="17">
        <f>CHOOSE(CONTROL!$C$42, 13.1359, 13.1359)* CHOOSE(CONTROL!$C$21, $C$9, 100%, $E$9)</f>
        <v>13.135899999999999</v>
      </c>
      <c r="K296" s="52">
        <f>CHOOSE(CONTROL!$C$42, 13.1877, 13.1877) * CHOOSE(CONTROL!$C$21, $C$9, 100%, $E$9)</f>
        <v>13.1877</v>
      </c>
      <c r="L296" s="17">
        <f>CHOOSE(CONTROL!$C$42, 13.9907, 13.9907) * CHOOSE(CONTROL!$C$21, $C$9, 100%, $E$9)</f>
        <v>13.9907</v>
      </c>
      <c r="M296" s="17">
        <f>CHOOSE(CONTROL!$C$42, 13.0247, 13.0247) * CHOOSE(CONTROL!$C$21, $C$9, 100%, $E$9)</f>
        <v>13.024699999999999</v>
      </c>
      <c r="N296" s="17">
        <f>CHOOSE(CONTROL!$C$42, 13.0411, 13.0411) * CHOOSE(CONTROL!$C$21, $C$9, 100%, $E$9)</f>
        <v>13.0411</v>
      </c>
      <c r="O296" s="17">
        <f>CHOOSE(CONTROL!$C$42, 13.2901, 13.2901) * CHOOSE(CONTROL!$C$21, $C$9, 100%, $E$9)</f>
        <v>13.290100000000001</v>
      </c>
      <c r="P296" s="17">
        <f>CHOOSE(CONTROL!$C$42, 13.0818, 13.0818) * CHOOSE(CONTROL!$C$21, $C$9, 100%, $E$9)</f>
        <v>13.081799999999999</v>
      </c>
      <c r="Q296" s="17">
        <f>CHOOSE(CONTROL!$C$42, 13.8848, 13.8848) * CHOOSE(CONTROL!$C$21, $C$9, 100%, $E$9)</f>
        <v>13.8848</v>
      </c>
      <c r="R296" s="17">
        <f>CHOOSE(CONTROL!$C$42, 14.5065, 14.5065) * CHOOSE(CONTROL!$C$21, $C$9, 100%, $E$9)</f>
        <v>14.506500000000001</v>
      </c>
      <c r="S296" s="17">
        <f>CHOOSE(CONTROL!$C$42, 12.7222, 12.7222) * CHOOSE(CONTROL!$C$21, $C$9, 100%, $E$9)</f>
        <v>12.722200000000001</v>
      </c>
      <c r="T29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96" s="56">
        <f>(1000*CHOOSE(CONTROL!$C$42, 695, 695)*CHOOSE(CONTROL!$C$42, 0.5599, 0.5599)*CHOOSE(CONTROL!$C$42, 31, 31))/1000000</f>
        <v>12.063045499999998</v>
      </c>
      <c r="V296" s="56">
        <f>(1000*CHOOSE(CONTROL!$C$42, 500, 500)*CHOOSE(CONTROL!$C$42, 0.275, 0.275)*CHOOSE(CONTROL!$C$42, 31, 31))/1000000</f>
        <v>4.2625000000000002</v>
      </c>
      <c r="W296" s="56">
        <f>(1000*CHOOSE(CONTROL!$C$42, 0.0916, 0.0916)*CHOOSE(CONTROL!$C$42, 121.5, 121.5)*CHOOSE(CONTROL!$C$42, 31, 31))/1000000</f>
        <v>0.34501139999999997</v>
      </c>
      <c r="X296" s="56">
        <f>(31*0.1790888*145000/1000000)+(31*0.2374*100000/1000000)</f>
        <v>1.5409441560000001</v>
      </c>
      <c r="Y296" s="56"/>
      <c r="Z296" s="17"/>
      <c r="AA296" s="55"/>
      <c r="AB296" s="48">
        <f>(B296*194.205+C296*267.466+D296*133.845+E296*153.484+F296*40+G296*85+H296*0+I296*100+J296*300)/(194.205+267.466+133.845+153.484+0+40+85+100+300)</f>
        <v>13.202167937912087</v>
      </c>
      <c r="AC296" s="45">
        <f>(M296*'RAP TEMPLATE-GAS AVAILABILITY'!O295+N296*'RAP TEMPLATE-GAS AVAILABILITY'!P295+O296*'RAP TEMPLATE-GAS AVAILABILITY'!Q295+P296*'RAP TEMPLATE-GAS AVAILABILITY'!R295)/('RAP TEMPLATE-GAS AVAILABILITY'!O295+'RAP TEMPLATE-GAS AVAILABILITY'!P295+'RAP TEMPLATE-GAS AVAILABILITY'!Q295+'RAP TEMPLATE-GAS AVAILABILITY'!R295)</f>
        <v>13.111156115107915</v>
      </c>
    </row>
    <row r="297" spans="1:29" ht="15.75" x14ac:dyDescent="0.25">
      <c r="A297" s="15">
        <v>49919</v>
      </c>
      <c r="B297" s="17">
        <f>CHOOSE(CONTROL!$C$42, 12.2986, 12.2986) * CHOOSE(CONTROL!$C$21, $C$9, 100%, $E$9)</f>
        <v>12.2986</v>
      </c>
      <c r="C297" s="17">
        <f>CHOOSE(CONTROL!$C$42, 12.3066, 12.3066) * CHOOSE(CONTROL!$C$21, $C$9, 100%, $E$9)</f>
        <v>12.3066</v>
      </c>
      <c r="D297" s="17">
        <f>CHOOSE(CONTROL!$C$42, 12.5511, 12.5511) * CHOOSE(CONTROL!$C$21, $C$9, 100%, $E$9)</f>
        <v>12.5511</v>
      </c>
      <c r="E297" s="17">
        <f>CHOOSE(CONTROL!$C$42, 12.5822, 12.5822) * CHOOSE(CONTROL!$C$21, $C$9, 100%, $E$9)</f>
        <v>12.5822</v>
      </c>
      <c r="F297" s="17">
        <f>CHOOSE(CONTROL!$C$42, 12.3102, 12.3102)*CHOOSE(CONTROL!$C$21, $C$9, 100%, $E$9)</f>
        <v>12.3102</v>
      </c>
      <c r="G297" s="17">
        <f>CHOOSE(CONTROL!$C$42, 12.3267, 12.3267)*CHOOSE(CONTROL!$C$21, $C$9, 100%, $E$9)</f>
        <v>12.326700000000001</v>
      </c>
      <c r="H297" s="17">
        <f>CHOOSE(CONTROL!$C$42, 12.5706, 12.5706) * CHOOSE(CONTROL!$C$21, $C$9, 100%, $E$9)</f>
        <v>12.570600000000001</v>
      </c>
      <c r="I297" s="17">
        <f>CHOOSE(CONTROL!$C$42, 12.358, 12.358)* CHOOSE(CONTROL!$C$21, $C$9, 100%, $E$9)</f>
        <v>12.358000000000001</v>
      </c>
      <c r="J297" s="17">
        <f>CHOOSE(CONTROL!$C$42, 12.3028, 12.3028)* CHOOSE(CONTROL!$C$21, $C$9, 100%, $E$9)</f>
        <v>12.3028</v>
      </c>
      <c r="K297" s="52">
        <f>CHOOSE(CONTROL!$C$42, 12.352, 12.352) * CHOOSE(CONTROL!$C$21, $C$9, 100%, $E$9)</f>
        <v>12.352</v>
      </c>
      <c r="L297" s="17">
        <f>CHOOSE(CONTROL!$C$42, 13.1576, 13.1576) * CHOOSE(CONTROL!$C$21, $C$9, 100%, $E$9)</f>
        <v>13.1576</v>
      </c>
      <c r="M297" s="17">
        <f>CHOOSE(CONTROL!$C$42, 12.1992, 12.1992) * CHOOSE(CONTROL!$C$21, $C$9, 100%, $E$9)</f>
        <v>12.199199999999999</v>
      </c>
      <c r="N297" s="17">
        <f>CHOOSE(CONTROL!$C$42, 12.2155, 12.2155) * CHOOSE(CONTROL!$C$21, $C$9, 100%, $E$9)</f>
        <v>12.2155</v>
      </c>
      <c r="O297" s="17">
        <f>CHOOSE(CONTROL!$C$42, 12.4645, 12.4645) * CHOOSE(CONTROL!$C$21, $C$9, 100%, $E$9)</f>
        <v>12.464499999999999</v>
      </c>
      <c r="P297" s="17">
        <f>CHOOSE(CONTROL!$C$42, 12.2536, 12.2536) * CHOOSE(CONTROL!$C$21, $C$9, 100%, $E$9)</f>
        <v>12.2536</v>
      </c>
      <c r="Q297" s="17">
        <f>CHOOSE(CONTROL!$C$42, 13.0592, 13.0592) * CHOOSE(CONTROL!$C$21, $C$9, 100%, $E$9)</f>
        <v>13.059200000000001</v>
      </c>
      <c r="R297" s="17">
        <f>CHOOSE(CONTROL!$C$42, 13.6789, 13.6789) * CHOOSE(CONTROL!$C$21, $C$9, 100%, $E$9)</f>
        <v>13.678900000000001</v>
      </c>
      <c r="S297" s="17">
        <f>CHOOSE(CONTROL!$C$42, 11.9144, 11.9144) * CHOOSE(CONTROL!$C$21, $C$9, 100%, $E$9)</f>
        <v>11.914400000000001</v>
      </c>
      <c r="T29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97" s="56">
        <f>(1000*CHOOSE(CONTROL!$C$42, 695, 695)*CHOOSE(CONTROL!$C$42, 0.5599, 0.5599)*CHOOSE(CONTROL!$C$42, 30, 30))/1000000</f>
        <v>11.673914999999997</v>
      </c>
      <c r="V297" s="56">
        <f>(1000*CHOOSE(CONTROL!$C$42, 500, 500)*CHOOSE(CONTROL!$C$42, 0.275, 0.275)*CHOOSE(CONTROL!$C$42, 30, 30))/1000000</f>
        <v>4.125</v>
      </c>
      <c r="W297" s="56">
        <f>(1000*CHOOSE(CONTROL!$C$42, 0.0916, 0.0916)*CHOOSE(CONTROL!$C$42, 121.5, 121.5)*CHOOSE(CONTROL!$C$42, 30, 30))/1000000</f>
        <v>0.33388200000000001</v>
      </c>
      <c r="X297" s="56">
        <f>(30*0.1790888*145000/1000000)+(30*0.2374*100000/1000000)</f>
        <v>1.4912362799999999</v>
      </c>
      <c r="Y297" s="56"/>
      <c r="Z297" s="17"/>
      <c r="AA297" s="55"/>
      <c r="AB297" s="48">
        <f>(B297*194.205+C297*267.466+D297*133.845+E297*153.484+F297*40+G297*85+H297*0+I297*100+J297*300)/(194.205+267.466+133.845+153.484+0+40+85+100+300)</f>
        <v>12.368863856279434</v>
      </c>
      <c r="AC297" s="45">
        <f>(M297*'RAP TEMPLATE-GAS AVAILABILITY'!O296+N297*'RAP TEMPLATE-GAS AVAILABILITY'!P296+O297*'RAP TEMPLATE-GAS AVAILABILITY'!Q296+P297*'RAP TEMPLATE-GAS AVAILABILITY'!R296)/('RAP TEMPLATE-GAS AVAILABILITY'!O296+'RAP TEMPLATE-GAS AVAILABILITY'!P296+'RAP TEMPLATE-GAS AVAILABILITY'!Q296+'RAP TEMPLATE-GAS AVAILABILITY'!R296)</f>
        <v>12.285216546762591</v>
      </c>
    </row>
    <row r="298" spans="1:29" ht="15.75" x14ac:dyDescent="0.25">
      <c r="A298" s="15">
        <v>49949</v>
      </c>
      <c r="B298" s="17">
        <f>CHOOSE(CONTROL!$C$42, 12.0474, 12.0474) * CHOOSE(CONTROL!$C$21, $C$9, 100%, $E$9)</f>
        <v>12.0474</v>
      </c>
      <c r="C298" s="17">
        <f>CHOOSE(CONTROL!$C$42, 12.0528, 12.0528) * CHOOSE(CONTROL!$C$21, $C$9, 100%, $E$9)</f>
        <v>12.0528</v>
      </c>
      <c r="D298" s="17">
        <f>CHOOSE(CONTROL!$C$42, 12.3021, 12.3021) * CHOOSE(CONTROL!$C$21, $C$9, 100%, $E$9)</f>
        <v>12.302099999999999</v>
      </c>
      <c r="E298" s="17">
        <f>CHOOSE(CONTROL!$C$42, 12.331, 12.331) * CHOOSE(CONTROL!$C$21, $C$9, 100%, $E$9)</f>
        <v>12.331</v>
      </c>
      <c r="F298" s="17">
        <f>CHOOSE(CONTROL!$C$42, 12.0612, 12.0612)*CHOOSE(CONTROL!$C$21, $C$9, 100%, $E$9)</f>
        <v>12.061199999999999</v>
      </c>
      <c r="G298" s="17">
        <f>CHOOSE(CONTROL!$C$42, 12.0776, 12.0776)*CHOOSE(CONTROL!$C$21, $C$9, 100%, $E$9)</f>
        <v>12.0776</v>
      </c>
      <c r="H298" s="17">
        <f>CHOOSE(CONTROL!$C$42, 12.3211, 12.3211) * CHOOSE(CONTROL!$C$21, $C$9, 100%, $E$9)</f>
        <v>12.321099999999999</v>
      </c>
      <c r="I298" s="17">
        <f>CHOOSE(CONTROL!$C$42, 12.1078, 12.1078)* CHOOSE(CONTROL!$C$21, $C$9, 100%, $E$9)</f>
        <v>12.107799999999999</v>
      </c>
      <c r="J298" s="17">
        <f>CHOOSE(CONTROL!$C$42, 12.0538, 12.0538)* CHOOSE(CONTROL!$C$21, $C$9, 100%, $E$9)</f>
        <v>12.053800000000001</v>
      </c>
      <c r="K298" s="52">
        <f>CHOOSE(CONTROL!$C$42, 12.1018, 12.1018) * CHOOSE(CONTROL!$C$21, $C$9, 100%, $E$9)</f>
        <v>12.101800000000001</v>
      </c>
      <c r="L298" s="17">
        <f>CHOOSE(CONTROL!$C$42, 12.9081, 12.9081) * CHOOSE(CONTROL!$C$21, $C$9, 100%, $E$9)</f>
        <v>12.908099999999999</v>
      </c>
      <c r="M298" s="17">
        <f>CHOOSE(CONTROL!$C$42, 11.9524, 11.9524) * CHOOSE(CONTROL!$C$21, $C$9, 100%, $E$9)</f>
        <v>11.952400000000001</v>
      </c>
      <c r="N298" s="17">
        <f>CHOOSE(CONTROL!$C$42, 11.9687, 11.9687) * CHOOSE(CONTROL!$C$21, $C$9, 100%, $E$9)</f>
        <v>11.9687</v>
      </c>
      <c r="O298" s="17">
        <f>CHOOSE(CONTROL!$C$42, 12.2173, 12.2173) * CHOOSE(CONTROL!$C$21, $C$9, 100%, $E$9)</f>
        <v>12.2173</v>
      </c>
      <c r="P298" s="17">
        <f>CHOOSE(CONTROL!$C$42, 12.0056, 12.0056) * CHOOSE(CONTROL!$C$21, $C$9, 100%, $E$9)</f>
        <v>12.005599999999999</v>
      </c>
      <c r="Q298" s="17">
        <f>CHOOSE(CONTROL!$C$42, 12.812, 12.812) * CHOOSE(CONTROL!$C$21, $C$9, 100%, $E$9)</f>
        <v>12.811999999999999</v>
      </c>
      <c r="R298" s="17">
        <f>CHOOSE(CONTROL!$C$42, 13.431, 13.431) * CHOOSE(CONTROL!$C$21, $C$9, 100%, $E$9)</f>
        <v>13.430999999999999</v>
      </c>
      <c r="S298" s="17">
        <f>CHOOSE(CONTROL!$C$42, 11.6725, 11.6725) * CHOOSE(CONTROL!$C$21, $C$9, 100%, $E$9)</f>
        <v>11.672499999999999</v>
      </c>
      <c r="T29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98" s="56">
        <f>(1000*CHOOSE(CONTROL!$C$42, 695, 695)*CHOOSE(CONTROL!$C$42, 0.5599, 0.5599)*CHOOSE(CONTROL!$C$42, 31, 31))/1000000</f>
        <v>12.063045499999998</v>
      </c>
      <c r="V298" s="56">
        <f>(1000*CHOOSE(CONTROL!$C$42, 500, 500)*CHOOSE(CONTROL!$C$42, 0.275, 0.275)*CHOOSE(CONTROL!$C$42, 31, 31))/1000000</f>
        <v>4.2625000000000002</v>
      </c>
      <c r="W298" s="56">
        <f>(1000*CHOOSE(CONTROL!$C$42, 0.0916, 0.0916)*CHOOSE(CONTROL!$C$42, 121.5, 121.5)*CHOOSE(CONTROL!$C$42, 31, 31))/1000000</f>
        <v>0.34501139999999997</v>
      </c>
      <c r="X298" s="56">
        <f>(31*0.1790888*145000/1000000)+(31*0.2374*100000/1000000)</f>
        <v>1.5409441560000001</v>
      </c>
      <c r="Y298" s="56"/>
      <c r="Z298" s="17"/>
      <c r="AA298" s="55"/>
      <c r="AB298" s="48">
        <f>(B298*131.881+C298*277.167+D298*79.08+E298*225.872+F298*40+G298*85+H298*0+I298*100+J298*300)/(131.881+277.167+79.08+225.872+0+40+85+100+300)</f>
        <v>12.125507083938659</v>
      </c>
      <c r="AC298" s="45">
        <f>(M298*'RAP TEMPLATE-GAS AVAILABILITY'!O297+N298*'RAP TEMPLATE-GAS AVAILABILITY'!P297+O298*'RAP TEMPLATE-GAS AVAILABILITY'!Q297+P298*'RAP TEMPLATE-GAS AVAILABILITY'!R297)/('RAP TEMPLATE-GAS AVAILABILITY'!O297+'RAP TEMPLATE-GAS AVAILABILITY'!P297+'RAP TEMPLATE-GAS AVAILABILITY'!Q297+'RAP TEMPLATE-GAS AVAILABILITY'!R297)</f>
        <v>12.03813165467626</v>
      </c>
    </row>
    <row r="299" spans="1:29" ht="15.75" x14ac:dyDescent="0.25">
      <c r="A299" s="15">
        <v>49980</v>
      </c>
      <c r="B299" s="17">
        <f>CHOOSE(CONTROL!$C$42, 12.3641, 12.3641) * CHOOSE(CONTROL!$C$21, $C$9, 100%, $E$9)</f>
        <v>12.364100000000001</v>
      </c>
      <c r="C299" s="17">
        <f>CHOOSE(CONTROL!$C$42, 12.3692, 12.3692) * CHOOSE(CONTROL!$C$21, $C$9, 100%, $E$9)</f>
        <v>12.369199999999999</v>
      </c>
      <c r="D299" s="17">
        <f>CHOOSE(CONTROL!$C$42, 12.4506, 12.4506) * CHOOSE(CONTROL!$C$21, $C$9, 100%, $E$9)</f>
        <v>12.4506</v>
      </c>
      <c r="E299" s="17">
        <f>CHOOSE(CONTROL!$C$42, 12.4843, 12.4843) * CHOOSE(CONTROL!$C$21, $C$9, 100%, $E$9)</f>
        <v>12.484299999999999</v>
      </c>
      <c r="F299" s="17">
        <f>CHOOSE(CONTROL!$C$42, 12.3821, 12.3821)*CHOOSE(CONTROL!$C$21, $C$9, 100%, $E$9)</f>
        <v>12.382099999999999</v>
      </c>
      <c r="G299" s="17">
        <f>CHOOSE(CONTROL!$C$42, 12.3988, 12.3988)*CHOOSE(CONTROL!$C$21, $C$9, 100%, $E$9)</f>
        <v>12.3988</v>
      </c>
      <c r="H299" s="17">
        <f>CHOOSE(CONTROL!$C$42, 12.4732, 12.4732) * CHOOSE(CONTROL!$C$21, $C$9, 100%, $E$9)</f>
        <v>12.4732</v>
      </c>
      <c r="I299" s="17">
        <f>CHOOSE(CONTROL!$C$42, 12.4274, 12.4274)* CHOOSE(CONTROL!$C$21, $C$9, 100%, $E$9)</f>
        <v>12.4274</v>
      </c>
      <c r="J299" s="17">
        <f>CHOOSE(CONTROL!$C$42, 12.3747, 12.3747)* CHOOSE(CONTROL!$C$21, $C$9, 100%, $E$9)</f>
        <v>12.374700000000001</v>
      </c>
      <c r="K299" s="52">
        <f>CHOOSE(CONTROL!$C$42, 12.4214, 12.4214) * CHOOSE(CONTROL!$C$21, $C$9, 100%, $E$9)</f>
        <v>12.4214</v>
      </c>
      <c r="L299" s="17">
        <f>CHOOSE(CONTROL!$C$42, 13.0602, 13.0602) * CHOOSE(CONTROL!$C$21, $C$9, 100%, $E$9)</f>
        <v>13.0602</v>
      </c>
      <c r="M299" s="17">
        <f>CHOOSE(CONTROL!$C$42, 12.2704, 12.2704) * CHOOSE(CONTROL!$C$21, $C$9, 100%, $E$9)</f>
        <v>12.2704</v>
      </c>
      <c r="N299" s="17">
        <f>CHOOSE(CONTROL!$C$42, 12.2869, 12.2869) * CHOOSE(CONTROL!$C$21, $C$9, 100%, $E$9)</f>
        <v>12.286899999999999</v>
      </c>
      <c r="O299" s="17">
        <f>CHOOSE(CONTROL!$C$42, 12.368, 12.368) * CHOOSE(CONTROL!$C$21, $C$9, 100%, $E$9)</f>
        <v>12.368</v>
      </c>
      <c r="P299" s="17">
        <f>CHOOSE(CONTROL!$C$42, 12.3224, 12.3224) * CHOOSE(CONTROL!$C$21, $C$9, 100%, $E$9)</f>
        <v>12.3224</v>
      </c>
      <c r="Q299" s="17">
        <f>CHOOSE(CONTROL!$C$42, 12.9627, 12.9627) * CHOOSE(CONTROL!$C$21, $C$9, 100%, $E$9)</f>
        <v>12.9627</v>
      </c>
      <c r="R299" s="17">
        <f>CHOOSE(CONTROL!$C$42, 13.5821, 13.5821) * CHOOSE(CONTROL!$C$21, $C$9, 100%, $E$9)</f>
        <v>13.582100000000001</v>
      </c>
      <c r="S299" s="17">
        <f>CHOOSE(CONTROL!$C$42, 11.98, 11.98) * CHOOSE(CONTROL!$C$21, $C$9, 100%, $E$9)</f>
        <v>11.98</v>
      </c>
      <c r="T29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99" s="56">
        <f>(1000*CHOOSE(CONTROL!$C$42, 695, 695)*CHOOSE(CONTROL!$C$42, 0.5599, 0.5599)*CHOOSE(CONTROL!$C$42, 30, 30))/1000000</f>
        <v>11.673914999999997</v>
      </c>
      <c r="V299" s="56">
        <f>(1000*CHOOSE(CONTROL!$C$42, 500, 500)*CHOOSE(CONTROL!$C$42, 0.275, 0.275)*CHOOSE(CONTROL!$C$42, 30, 30))/1000000</f>
        <v>4.125</v>
      </c>
      <c r="W299" s="56">
        <f>(1000*CHOOSE(CONTROL!$C$42, 0.0916, 0.0916)*CHOOSE(CONTROL!$C$42, 121.5, 121.5)*CHOOSE(CONTROL!$C$42, 30, 30))/1000000</f>
        <v>0.33388200000000001</v>
      </c>
      <c r="X299" s="56">
        <f>(30*0.2374*100000/1000000)</f>
        <v>0.71220000000000006</v>
      </c>
      <c r="Y299" s="56"/>
      <c r="Z299" s="17"/>
      <c r="AA299" s="55"/>
      <c r="AB299" s="48">
        <f>(B299*122.58+C299*297.941+D299*89.177+E299*140.302+F299*40+G299*60+H299*0+I299*100+J299*300)/(122.58+297.941+89.177+140.302+0+40+60+100+300)</f>
        <v>12.397499660869565</v>
      </c>
      <c r="AC299" s="45">
        <f>(M299*'RAP TEMPLATE-GAS AVAILABILITY'!O298+N299*'RAP TEMPLATE-GAS AVAILABILITY'!P298+O299*'RAP TEMPLATE-GAS AVAILABILITY'!Q298+P299*'RAP TEMPLATE-GAS AVAILABILITY'!R298)/('RAP TEMPLATE-GAS AVAILABILITY'!O298+'RAP TEMPLATE-GAS AVAILABILITY'!P298+'RAP TEMPLATE-GAS AVAILABILITY'!Q298+'RAP TEMPLATE-GAS AVAILABILITY'!R298)</f>
        <v>12.323067625899283</v>
      </c>
    </row>
    <row r="300" spans="1:29" ht="15.75" x14ac:dyDescent="0.25">
      <c r="A300" s="15">
        <v>50010</v>
      </c>
      <c r="B300" s="17">
        <f>CHOOSE(CONTROL!$C$42, 13.2064, 13.2064) * CHOOSE(CONTROL!$C$21, $C$9, 100%, $E$9)</f>
        <v>13.2064</v>
      </c>
      <c r="C300" s="17">
        <f>CHOOSE(CONTROL!$C$42, 13.2115, 13.2115) * CHOOSE(CONTROL!$C$21, $C$9, 100%, $E$9)</f>
        <v>13.211499999999999</v>
      </c>
      <c r="D300" s="17">
        <f>CHOOSE(CONTROL!$C$42, 13.2928, 13.2928) * CHOOSE(CONTROL!$C$21, $C$9, 100%, $E$9)</f>
        <v>13.2928</v>
      </c>
      <c r="E300" s="17">
        <f>CHOOSE(CONTROL!$C$42, 13.3266, 13.3266) * CHOOSE(CONTROL!$C$21, $C$9, 100%, $E$9)</f>
        <v>13.326599999999999</v>
      </c>
      <c r="F300" s="17">
        <f>CHOOSE(CONTROL!$C$42, 13.2267, 13.2267)*CHOOSE(CONTROL!$C$21, $C$9, 100%, $E$9)</f>
        <v>13.226699999999999</v>
      </c>
      <c r="G300" s="17">
        <f>CHOOSE(CONTROL!$C$42, 13.244, 13.244)*CHOOSE(CONTROL!$C$21, $C$9, 100%, $E$9)</f>
        <v>13.244</v>
      </c>
      <c r="H300" s="17">
        <f>CHOOSE(CONTROL!$C$42, 13.3155, 13.3155) * CHOOSE(CONTROL!$C$21, $C$9, 100%, $E$9)</f>
        <v>13.3155</v>
      </c>
      <c r="I300" s="17">
        <f>CHOOSE(CONTROL!$C$42, 13.2723, 13.2723)* CHOOSE(CONTROL!$C$21, $C$9, 100%, $E$9)</f>
        <v>13.2723</v>
      </c>
      <c r="J300" s="17">
        <f>CHOOSE(CONTROL!$C$42, 13.2193, 13.2193)* CHOOSE(CONTROL!$C$21, $C$9, 100%, $E$9)</f>
        <v>13.2193</v>
      </c>
      <c r="K300" s="52">
        <f>CHOOSE(CONTROL!$C$42, 13.2663, 13.2663) * CHOOSE(CONTROL!$C$21, $C$9, 100%, $E$9)</f>
        <v>13.266299999999999</v>
      </c>
      <c r="L300" s="17">
        <f>CHOOSE(CONTROL!$C$42, 13.9025, 13.9025) * CHOOSE(CONTROL!$C$21, $C$9, 100%, $E$9)</f>
        <v>13.9025</v>
      </c>
      <c r="M300" s="17">
        <f>CHOOSE(CONTROL!$C$42, 13.1074, 13.1074) * CHOOSE(CONTROL!$C$21, $C$9, 100%, $E$9)</f>
        <v>13.1074</v>
      </c>
      <c r="N300" s="17">
        <f>CHOOSE(CONTROL!$C$42, 13.1246, 13.1246) * CHOOSE(CONTROL!$C$21, $C$9, 100%, $E$9)</f>
        <v>13.124599999999999</v>
      </c>
      <c r="O300" s="17">
        <f>CHOOSE(CONTROL!$C$42, 13.2027, 13.2027) * CHOOSE(CONTROL!$C$21, $C$9, 100%, $E$9)</f>
        <v>13.2027</v>
      </c>
      <c r="P300" s="17">
        <f>CHOOSE(CONTROL!$C$42, 13.1596, 13.1596) * CHOOSE(CONTROL!$C$21, $C$9, 100%, $E$9)</f>
        <v>13.159599999999999</v>
      </c>
      <c r="Q300" s="17">
        <f>CHOOSE(CONTROL!$C$42, 13.7974, 13.7974) * CHOOSE(CONTROL!$C$21, $C$9, 100%, $E$9)</f>
        <v>13.7974</v>
      </c>
      <c r="R300" s="17">
        <f>CHOOSE(CONTROL!$C$42, 14.4189, 14.4189) * CHOOSE(CONTROL!$C$21, $C$9, 100%, $E$9)</f>
        <v>14.418900000000001</v>
      </c>
      <c r="S300" s="17">
        <f>CHOOSE(CONTROL!$C$42, 12.7967, 12.7967) * CHOOSE(CONTROL!$C$21, $C$9, 100%, $E$9)</f>
        <v>12.7967</v>
      </c>
      <c r="T30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00" s="56">
        <f>(1000*CHOOSE(CONTROL!$C$42, 695, 695)*CHOOSE(CONTROL!$C$42, 0.5599, 0.5599)*CHOOSE(CONTROL!$C$42, 31, 31))/1000000</f>
        <v>12.063045499999998</v>
      </c>
      <c r="V300" s="56">
        <f>(1000*CHOOSE(CONTROL!$C$42, 500, 500)*CHOOSE(CONTROL!$C$42, 0.275, 0.275)*CHOOSE(CONTROL!$C$42, 31, 31))/1000000</f>
        <v>4.2625000000000002</v>
      </c>
      <c r="W300" s="56">
        <f>(1000*CHOOSE(CONTROL!$C$42, 0.0916, 0.0916)*CHOOSE(CONTROL!$C$42, 121.5, 121.5)*CHOOSE(CONTROL!$C$42, 31, 31))/1000000</f>
        <v>0.34501139999999997</v>
      </c>
      <c r="X300" s="56">
        <f>(31*0.2374*100000/1000000)</f>
        <v>0.73594000000000004</v>
      </c>
      <c r="Y300" s="56"/>
      <c r="Z300" s="17"/>
      <c r="AA300" s="55"/>
      <c r="AB300" s="48">
        <f>(B300*122.58+C300*297.941+D300*89.177+E300*140.302+F300*40+G300*60+H300*0+I300*100+J300*300)/(122.58+297.941+89.177+140.302+0+40+60+100+300)</f>
        <v>13.240849297652172</v>
      </c>
      <c r="AC300" s="45">
        <f>(M300*'RAP TEMPLATE-GAS AVAILABILITY'!O299+N300*'RAP TEMPLATE-GAS AVAILABILITY'!P299+O300*'RAP TEMPLATE-GAS AVAILABILITY'!Q299+P300*'RAP TEMPLATE-GAS AVAILABILITY'!R299)/('RAP TEMPLATE-GAS AVAILABILITY'!O299+'RAP TEMPLATE-GAS AVAILABILITY'!P299+'RAP TEMPLATE-GAS AVAILABILITY'!Q299+'RAP TEMPLATE-GAS AVAILABILITY'!R299)</f>
        <v>13.159094244604319</v>
      </c>
    </row>
    <row r="301" spans="1:29" ht="15.75" x14ac:dyDescent="0.25">
      <c r="A301" s="15">
        <v>50041</v>
      </c>
      <c r="B301" s="17">
        <f>CHOOSE(CONTROL!$C$42, 14.3003, 14.3003) * CHOOSE(CONTROL!$C$21, $C$9, 100%, $E$9)</f>
        <v>14.3003</v>
      </c>
      <c r="C301" s="17">
        <f>CHOOSE(CONTROL!$C$42, 14.3054, 14.3054) * CHOOSE(CONTROL!$C$21, $C$9, 100%, $E$9)</f>
        <v>14.305400000000001</v>
      </c>
      <c r="D301" s="17">
        <f>CHOOSE(CONTROL!$C$42, 14.4022, 14.4022) * CHOOSE(CONTROL!$C$21, $C$9, 100%, $E$9)</f>
        <v>14.402200000000001</v>
      </c>
      <c r="E301" s="17">
        <f>CHOOSE(CONTROL!$C$42, 14.436, 14.436) * CHOOSE(CONTROL!$C$21, $C$9, 100%, $E$9)</f>
        <v>14.436</v>
      </c>
      <c r="F301" s="17">
        <f>CHOOSE(CONTROL!$C$42, 14.3146, 14.3146)*CHOOSE(CONTROL!$C$21, $C$9, 100%, $E$9)</f>
        <v>14.3146</v>
      </c>
      <c r="G301" s="17">
        <f>CHOOSE(CONTROL!$C$42, 14.331, 14.331)*CHOOSE(CONTROL!$C$21, $C$9, 100%, $E$9)</f>
        <v>14.331</v>
      </c>
      <c r="H301" s="17">
        <f>CHOOSE(CONTROL!$C$42, 14.4249, 14.4249) * CHOOSE(CONTROL!$C$21, $C$9, 100%, $E$9)</f>
        <v>14.424899999999999</v>
      </c>
      <c r="I301" s="17">
        <f>CHOOSE(CONTROL!$C$42, 14.3697, 14.3697)* CHOOSE(CONTROL!$C$21, $C$9, 100%, $E$9)</f>
        <v>14.3697</v>
      </c>
      <c r="J301" s="17">
        <f>CHOOSE(CONTROL!$C$42, 14.3072, 14.3072)* CHOOSE(CONTROL!$C$21, $C$9, 100%, $E$9)</f>
        <v>14.3072</v>
      </c>
      <c r="K301" s="52">
        <f>CHOOSE(CONTROL!$C$42, 14.3636, 14.3636) * CHOOSE(CONTROL!$C$21, $C$9, 100%, $E$9)</f>
        <v>14.3636</v>
      </c>
      <c r="L301" s="17">
        <f>CHOOSE(CONTROL!$C$42, 15.0119, 15.0119) * CHOOSE(CONTROL!$C$21, $C$9, 100%, $E$9)</f>
        <v>15.011900000000001</v>
      </c>
      <c r="M301" s="17">
        <f>CHOOSE(CONTROL!$C$42, 14.1855, 14.1855) * CHOOSE(CONTROL!$C$21, $C$9, 100%, $E$9)</f>
        <v>14.185499999999999</v>
      </c>
      <c r="N301" s="17">
        <f>CHOOSE(CONTROL!$C$42, 14.2018, 14.2018) * CHOOSE(CONTROL!$C$21, $C$9, 100%, $E$9)</f>
        <v>14.2018</v>
      </c>
      <c r="O301" s="17">
        <f>CHOOSE(CONTROL!$C$42, 14.3022, 14.3022) * CHOOSE(CONTROL!$C$21, $C$9, 100%, $E$9)</f>
        <v>14.302199999999999</v>
      </c>
      <c r="P301" s="17">
        <f>CHOOSE(CONTROL!$C$42, 14.2471, 14.2471) * CHOOSE(CONTROL!$C$21, $C$9, 100%, $E$9)</f>
        <v>14.2471</v>
      </c>
      <c r="Q301" s="17">
        <f>CHOOSE(CONTROL!$C$42, 14.8969, 14.8969) * CHOOSE(CONTROL!$C$21, $C$9, 100%, $E$9)</f>
        <v>14.8969</v>
      </c>
      <c r="R301" s="17">
        <f>CHOOSE(CONTROL!$C$42, 15.5211, 15.5211) * CHOOSE(CONTROL!$C$21, $C$9, 100%, $E$9)</f>
        <v>15.521100000000001</v>
      </c>
      <c r="S301" s="17">
        <f>CHOOSE(CONTROL!$C$42, 13.8575, 13.8575) * CHOOSE(CONTROL!$C$21, $C$9, 100%, $E$9)</f>
        <v>13.8575</v>
      </c>
      <c r="T30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01" s="56">
        <f>(1000*CHOOSE(CONTROL!$C$42, 695, 695)*CHOOSE(CONTROL!$C$42, 0.5599, 0.5599)*CHOOSE(CONTROL!$C$42, 31, 31))/1000000</f>
        <v>12.063045499999998</v>
      </c>
      <c r="V301" s="56">
        <f>(1000*CHOOSE(CONTROL!$C$42, 500, 500)*CHOOSE(CONTROL!$C$42, 0.275, 0.275)*CHOOSE(CONTROL!$C$42, 31, 31))/1000000</f>
        <v>4.2625000000000002</v>
      </c>
      <c r="W301" s="56">
        <f>(1000*CHOOSE(CONTROL!$C$42, 0.0916, 0.0916)*CHOOSE(CONTROL!$C$42, 121.5, 121.5)*CHOOSE(CONTROL!$C$42, 31, 31))/1000000</f>
        <v>0.34501139999999997</v>
      </c>
      <c r="X301" s="56">
        <f>(31*0.2374*100000/1000000)</f>
        <v>0.73594000000000004</v>
      </c>
      <c r="Y301" s="56"/>
      <c r="Z301" s="17"/>
      <c r="AA301" s="55"/>
      <c r="AB301" s="48">
        <f>(B301*122.58+C301*297.941+D301*89.177+E301*140.302+F301*40+G301*60+H301*0+I301*100+J301*300)/(122.58+297.941+89.177+140.302+0+40+60+100+300)</f>
        <v>14.336012710260871</v>
      </c>
      <c r="AC301" s="45">
        <f>(M301*'RAP TEMPLATE-GAS AVAILABILITY'!O300+N301*'RAP TEMPLATE-GAS AVAILABILITY'!P300+O301*'RAP TEMPLATE-GAS AVAILABILITY'!Q300+P301*'RAP TEMPLATE-GAS AVAILABILITY'!R300)/('RAP TEMPLATE-GAS AVAILABILITY'!O300+'RAP TEMPLATE-GAS AVAILABILITY'!P300+'RAP TEMPLATE-GAS AVAILABILITY'!Q300+'RAP TEMPLATE-GAS AVAILABILITY'!R300)</f>
        <v>14.248194244604315</v>
      </c>
    </row>
    <row r="302" spans="1:29" ht="15.75" x14ac:dyDescent="0.25">
      <c r="A302" s="15">
        <v>50072</v>
      </c>
      <c r="B302" s="17">
        <f>CHOOSE(CONTROL!$C$42, 14.5547, 14.5547) * CHOOSE(CONTROL!$C$21, $C$9, 100%, $E$9)</f>
        <v>14.5547</v>
      </c>
      <c r="C302" s="17">
        <f>CHOOSE(CONTROL!$C$42, 14.5598, 14.5598) * CHOOSE(CONTROL!$C$21, $C$9, 100%, $E$9)</f>
        <v>14.559799999999999</v>
      </c>
      <c r="D302" s="17">
        <f>CHOOSE(CONTROL!$C$42, 14.6566, 14.6566) * CHOOSE(CONTROL!$C$21, $C$9, 100%, $E$9)</f>
        <v>14.656599999999999</v>
      </c>
      <c r="E302" s="17">
        <f>CHOOSE(CONTROL!$C$42, 14.6904, 14.6904) * CHOOSE(CONTROL!$C$21, $C$9, 100%, $E$9)</f>
        <v>14.6904</v>
      </c>
      <c r="F302" s="17">
        <f>CHOOSE(CONTROL!$C$42, 14.569, 14.569)*CHOOSE(CONTROL!$C$21, $C$9, 100%, $E$9)</f>
        <v>14.569000000000001</v>
      </c>
      <c r="G302" s="17">
        <f>CHOOSE(CONTROL!$C$42, 14.5854, 14.5854)*CHOOSE(CONTROL!$C$21, $C$9, 100%, $E$9)</f>
        <v>14.5854</v>
      </c>
      <c r="H302" s="17">
        <f>CHOOSE(CONTROL!$C$42, 14.6793, 14.6793) * CHOOSE(CONTROL!$C$21, $C$9, 100%, $E$9)</f>
        <v>14.6793</v>
      </c>
      <c r="I302" s="17">
        <f>CHOOSE(CONTROL!$C$42, 14.6248, 14.6248)* CHOOSE(CONTROL!$C$21, $C$9, 100%, $E$9)</f>
        <v>14.6248</v>
      </c>
      <c r="J302" s="17">
        <f>CHOOSE(CONTROL!$C$42, 14.5616, 14.5616)* CHOOSE(CONTROL!$C$21, $C$9, 100%, $E$9)</f>
        <v>14.5616</v>
      </c>
      <c r="K302" s="52">
        <f>CHOOSE(CONTROL!$C$42, 14.6188, 14.6188) * CHOOSE(CONTROL!$C$21, $C$9, 100%, $E$9)</f>
        <v>14.6188</v>
      </c>
      <c r="L302" s="17">
        <f>CHOOSE(CONTROL!$C$42, 15.2663, 15.2663) * CHOOSE(CONTROL!$C$21, $C$9, 100%, $E$9)</f>
        <v>15.266299999999999</v>
      </c>
      <c r="M302" s="17">
        <f>CHOOSE(CONTROL!$C$42, 14.4376, 14.4376) * CHOOSE(CONTROL!$C$21, $C$9, 100%, $E$9)</f>
        <v>14.4376</v>
      </c>
      <c r="N302" s="17">
        <f>CHOOSE(CONTROL!$C$42, 14.4539, 14.4539) * CHOOSE(CONTROL!$C$21, $C$9, 100%, $E$9)</f>
        <v>14.453900000000001</v>
      </c>
      <c r="O302" s="17">
        <f>CHOOSE(CONTROL!$C$42, 14.5542, 14.5542) * CHOOSE(CONTROL!$C$21, $C$9, 100%, $E$9)</f>
        <v>14.5542</v>
      </c>
      <c r="P302" s="17">
        <f>CHOOSE(CONTROL!$C$42, 14.4999, 14.4999) * CHOOSE(CONTROL!$C$21, $C$9, 100%, $E$9)</f>
        <v>14.4999</v>
      </c>
      <c r="Q302" s="17">
        <f>CHOOSE(CONTROL!$C$42, 15.1489, 15.1489) * CHOOSE(CONTROL!$C$21, $C$9, 100%, $E$9)</f>
        <v>15.148899999999999</v>
      </c>
      <c r="R302" s="17">
        <f>CHOOSE(CONTROL!$C$42, 15.7738, 15.7738) * CHOOSE(CONTROL!$C$21, $C$9, 100%, $E$9)</f>
        <v>15.7738</v>
      </c>
      <c r="S302" s="17">
        <f>CHOOSE(CONTROL!$C$42, 14.1042, 14.1042) * CHOOSE(CONTROL!$C$21, $C$9, 100%, $E$9)</f>
        <v>14.104200000000001</v>
      </c>
      <c r="T30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02" s="56">
        <f>(1000*CHOOSE(CONTROL!$C$42, 695, 695)*CHOOSE(CONTROL!$C$42, 0.5599, 0.5599)*CHOOSE(CONTROL!$C$42, 28, 28))/1000000</f>
        <v>10.895653999999999</v>
      </c>
      <c r="V302" s="56">
        <f>(1000*CHOOSE(CONTROL!$C$42, 500, 500)*CHOOSE(CONTROL!$C$42, 0.275, 0.275)*CHOOSE(CONTROL!$C$42, 28, 28))/1000000</f>
        <v>3.85</v>
      </c>
      <c r="W302" s="56">
        <f>(1000*CHOOSE(CONTROL!$C$42, 0.0916, 0.0916)*CHOOSE(CONTROL!$C$42, 121.5, 121.5)*CHOOSE(CONTROL!$C$42, 28, 28))/1000000</f>
        <v>0.31162319999999999</v>
      </c>
      <c r="X302" s="56">
        <f>(28*0.2374*100000/1000000)</f>
        <v>0.66471999999999998</v>
      </c>
      <c r="Y302" s="56"/>
      <c r="Z302" s="17"/>
      <c r="AA302" s="55"/>
      <c r="AB302" s="48">
        <f>(B302*122.58+C302*297.941+D302*89.177+E302*140.302+F302*40+G302*60+H302*0+I302*100+J302*300)/(122.58+297.941+89.177+140.302+0+40+60+100+300)</f>
        <v>14.590473579826085</v>
      </c>
      <c r="AC302" s="45">
        <f>(M302*'RAP TEMPLATE-GAS AVAILABILITY'!O301+N302*'RAP TEMPLATE-GAS AVAILABILITY'!P301+O302*'RAP TEMPLATE-GAS AVAILABILITY'!Q301+P302*'RAP TEMPLATE-GAS AVAILABILITY'!R301)/('RAP TEMPLATE-GAS AVAILABILITY'!O301+'RAP TEMPLATE-GAS AVAILABILITY'!P301+'RAP TEMPLATE-GAS AVAILABILITY'!Q301+'RAP TEMPLATE-GAS AVAILABILITY'!R301)</f>
        <v>14.500349640287771</v>
      </c>
    </row>
    <row r="303" spans="1:29" ht="15.75" x14ac:dyDescent="0.25">
      <c r="A303" s="15">
        <v>50100</v>
      </c>
      <c r="B303" s="17">
        <f>CHOOSE(CONTROL!$C$42, 14.1418, 14.1418) * CHOOSE(CONTROL!$C$21, $C$9, 100%, $E$9)</f>
        <v>14.1418</v>
      </c>
      <c r="C303" s="17">
        <f>CHOOSE(CONTROL!$C$42, 14.1469, 14.1469) * CHOOSE(CONTROL!$C$21, $C$9, 100%, $E$9)</f>
        <v>14.1469</v>
      </c>
      <c r="D303" s="17">
        <f>CHOOSE(CONTROL!$C$42, 14.2437, 14.2437) * CHOOSE(CONTROL!$C$21, $C$9, 100%, $E$9)</f>
        <v>14.2437</v>
      </c>
      <c r="E303" s="17">
        <f>CHOOSE(CONTROL!$C$42, 14.2775, 14.2775) * CHOOSE(CONTROL!$C$21, $C$9, 100%, $E$9)</f>
        <v>14.2775</v>
      </c>
      <c r="F303" s="17">
        <f>CHOOSE(CONTROL!$C$42, 14.1554, 14.1554)*CHOOSE(CONTROL!$C$21, $C$9, 100%, $E$9)</f>
        <v>14.1554</v>
      </c>
      <c r="G303" s="17">
        <f>CHOOSE(CONTROL!$C$42, 14.1717, 14.1717)*CHOOSE(CONTROL!$C$21, $C$9, 100%, $E$9)</f>
        <v>14.1717</v>
      </c>
      <c r="H303" s="17">
        <f>CHOOSE(CONTROL!$C$42, 14.2663, 14.2663) * CHOOSE(CONTROL!$C$21, $C$9, 100%, $E$9)</f>
        <v>14.266299999999999</v>
      </c>
      <c r="I303" s="17">
        <f>CHOOSE(CONTROL!$C$42, 14.2106, 14.2106)* CHOOSE(CONTROL!$C$21, $C$9, 100%, $E$9)</f>
        <v>14.210599999999999</v>
      </c>
      <c r="J303" s="17">
        <f>CHOOSE(CONTROL!$C$42, 14.148, 14.148)* CHOOSE(CONTROL!$C$21, $C$9, 100%, $E$9)</f>
        <v>14.148</v>
      </c>
      <c r="K303" s="52">
        <f>CHOOSE(CONTROL!$C$42, 14.2046, 14.2046) * CHOOSE(CONTROL!$C$21, $C$9, 100%, $E$9)</f>
        <v>14.204599999999999</v>
      </c>
      <c r="L303" s="17">
        <f>CHOOSE(CONTROL!$C$42, 14.8533, 14.8533) * CHOOSE(CONTROL!$C$21, $C$9, 100%, $E$9)</f>
        <v>14.853300000000001</v>
      </c>
      <c r="M303" s="17">
        <f>CHOOSE(CONTROL!$C$42, 14.0278, 14.0278) * CHOOSE(CONTROL!$C$21, $C$9, 100%, $E$9)</f>
        <v>14.027799999999999</v>
      </c>
      <c r="N303" s="17">
        <f>CHOOSE(CONTROL!$C$42, 14.0439, 14.0439) * CHOOSE(CONTROL!$C$21, $C$9, 100%, $E$9)</f>
        <v>14.043900000000001</v>
      </c>
      <c r="O303" s="17">
        <f>CHOOSE(CONTROL!$C$42, 14.145, 14.145) * CHOOSE(CONTROL!$C$21, $C$9, 100%, $E$9)</f>
        <v>14.145</v>
      </c>
      <c r="P303" s="17">
        <f>CHOOSE(CONTROL!$C$42, 14.0895, 14.0895) * CHOOSE(CONTROL!$C$21, $C$9, 100%, $E$9)</f>
        <v>14.089499999999999</v>
      </c>
      <c r="Q303" s="17">
        <f>CHOOSE(CONTROL!$C$42, 14.7397, 14.7397) * CHOOSE(CONTROL!$C$21, $C$9, 100%, $E$9)</f>
        <v>14.739699999999999</v>
      </c>
      <c r="R303" s="17">
        <f>CHOOSE(CONTROL!$C$42, 15.3636, 15.3636) * CHOOSE(CONTROL!$C$21, $C$9, 100%, $E$9)</f>
        <v>15.3636</v>
      </c>
      <c r="S303" s="17">
        <f>CHOOSE(CONTROL!$C$42, 13.7038, 13.7038) * CHOOSE(CONTROL!$C$21, $C$9, 100%, $E$9)</f>
        <v>13.703799999999999</v>
      </c>
      <c r="T30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03" s="56">
        <f>(1000*CHOOSE(CONTROL!$C$42, 695, 695)*CHOOSE(CONTROL!$C$42, 0.5599, 0.5599)*CHOOSE(CONTROL!$C$42, 31, 31))/1000000</f>
        <v>12.063045499999998</v>
      </c>
      <c r="V303" s="56">
        <f>(1000*CHOOSE(CONTROL!$C$42, 500, 500)*CHOOSE(CONTROL!$C$42, 0.275, 0.275)*CHOOSE(CONTROL!$C$42, 31, 31))/1000000</f>
        <v>4.2625000000000002</v>
      </c>
      <c r="W303" s="56">
        <f>(1000*CHOOSE(CONTROL!$C$42, 0.0916, 0.0916)*CHOOSE(CONTROL!$C$42, 121.5, 121.5)*CHOOSE(CONTROL!$C$42, 31, 31))/1000000</f>
        <v>0.34501139999999997</v>
      </c>
      <c r="X303" s="56">
        <f>(31*0.2374*100000/1000000)</f>
        <v>0.73594000000000004</v>
      </c>
      <c r="Y303" s="56"/>
      <c r="Z303" s="17"/>
      <c r="AA303" s="55"/>
      <c r="AB303" s="48">
        <f>(B303*122.58+C303*297.941+D303*89.177+E303*140.302+F303*40+G303*60+H303*0+I303*100+J303*300)/(122.58+297.941+89.177+140.302+0+40+60+100+300)</f>
        <v>14.17721184069565</v>
      </c>
      <c r="AC303" s="45">
        <f>(M303*'RAP TEMPLATE-GAS AVAILABILITY'!O302+N303*'RAP TEMPLATE-GAS AVAILABILITY'!P302+O303*'RAP TEMPLATE-GAS AVAILABILITY'!Q302+P303*'RAP TEMPLATE-GAS AVAILABILITY'!R302)/('RAP TEMPLATE-GAS AVAILABILITY'!O302+'RAP TEMPLATE-GAS AVAILABILITY'!P302+'RAP TEMPLATE-GAS AVAILABILITY'!Q302+'RAP TEMPLATE-GAS AVAILABILITY'!R302)</f>
        <v>14.090723741007194</v>
      </c>
    </row>
    <row r="304" spans="1:29" ht="15.75" x14ac:dyDescent="0.25">
      <c r="A304" s="15">
        <v>50131</v>
      </c>
      <c r="B304" s="17">
        <f>CHOOSE(CONTROL!$C$42, 14.1005, 14.1005) * CHOOSE(CONTROL!$C$21, $C$9, 100%, $E$9)</f>
        <v>14.1005</v>
      </c>
      <c r="C304" s="17">
        <f>CHOOSE(CONTROL!$C$42, 14.105, 14.105) * CHOOSE(CONTROL!$C$21, $C$9, 100%, $E$9)</f>
        <v>14.105</v>
      </c>
      <c r="D304" s="17">
        <f>CHOOSE(CONTROL!$C$42, 14.3525, 14.3525) * CHOOSE(CONTROL!$C$21, $C$9, 100%, $E$9)</f>
        <v>14.352499999999999</v>
      </c>
      <c r="E304" s="17">
        <f>CHOOSE(CONTROL!$C$42, 14.3843, 14.3843) * CHOOSE(CONTROL!$C$21, $C$9, 100%, $E$9)</f>
        <v>14.3843</v>
      </c>
      <c r="F304" s="17">
        <f>CHOOSE(CONTROL!$C$42, 14.1121, 14.1121)*CHOOSE(CONTROL!$C$21, $C$9, 100%, $E$9)</f>
        <v>14.1121</v>
      </c>
      <c r="G304" s="17">
        <f>CHOOSE(CONTROL!$C$42, 14.128, 14.128)*CHOOSE(CONTROL!$C$21, $C$9, 100%, $E$9)</f>
        <v>14.128</v>
      </c>
      <c r="H304" s="17">
        <f>CHOOSE(CONTROL!$C$42, 14.3738, 14.3738) * CHOOSE(CONTROL!$C$21, $C$9, 100%, $E$9)</f>
        <v>14.373799999999999</v>
      </c>
      <c r="I304" s="17">
        <f>CHOOSE(CONTROL!$C$42, 14.1669, 14.1669)* CHOOSE(CONTROL!$C$21, $C$9, 100%, $E$9)</f>
        <v>14.1669</v>
      </c>
      <c r="J304" s="17">
        <f>CHOOSE(CONTROL!$C$42, 14.1047, 14.1047)* CHOOSE(CONTROL!$C$21, $C$9, 100%, $E$9)</f>
        <v>14.104699999999999</v>
      </c>
      <c r="K304" s="52">
        <f>CHOOSE(CONTROL!$C$42, 14.1608, 14.1608) * CHOOSE(CONTROL!$C$21, $C$9, 100%, $E$9)</f>
        <v>14.1608</v>
      </c>
      <c r="L304" s="17">
        <f>CHOOSE(CONTROL!$C$42, 14.9608, 14.9608) * CHOOSE(CONTROL!$C$21, $C$9, 100%, $E$9)</f>
        <v>14.960800000000001</v>
      </c>
      <c r="M304" s="17">
        <f>CHOOSE(CONTROL!$C$42, 13.9849, 13.9849) * CHOOSE(CONTROL!$C$21, $C$9, 100%, $E$9)</f>
        <v>13.9849</v>
      </c>
      <c r="N304" s="17">
        <f>CHOOSE(CONTROL!$C$42, 14.0007, 14.0007) * CHOOSE(CONTROL!$C$21, $C$9, 100%, $E$9)</f>
        <v>14.0007</v>
      </c>
      <c r="O304" s="17">
        <f>CHOOSE(CONTROL!$C$42, 14.2515, 14.2515) * CHOOSE(CONTROL!$C$21, $C$9, 100%, $E$9)</f>
        <v>14.2515</v>
      </c>
      <c r="P304" s="17">
        <f>CHOOSE(CONTROL!$C$42, 14.0461, 14.0461) * CHOOSE(CONTROL!$C$21, $C$9, 100%, $E$9)</f>
        <v>14.046099999999999</v>
      </c>
      <c r="Q304" s="17">
        <f>CHOOSE(CONTROL!$C$42, 14.8462, 14.8462) * CHOOSE(CONTROL!$C$21, $C$9, 100%, $E$9)</f>
        <v>14.8462</v>
      </c>
      <c r="R304" s="17">
        <f>CHOOSE(CONTROL!$C$42, 15.4703, 15.4703) * CHOOSE(CONTROL!$C$21, $C$9, 100%, $E$9)</f>
        <v>15.4703</v>
      </c>
      <c r="S304" s="17">
        <f>CHOOSE(CONTROL!$C$42, 13.663, 13.663) * CHOOSE(CONTROL!$C$21, $C$9, 100%, $E$9)</f>
        <v>13.663</v>
      </c>
      <c r="T30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04" s="56">
        <f>(1000*CHOOSE(CONTROL!$C$42, 695, 695)*CHOOSE(CONTROL!$C$42, 0.5599, 0.5599)*CHOOSE(CONTROL!$C$42, 30, 30))/1000000</f>
        <v>11.673914999999997</v>
      </c>
      <c r="V304" s="56">
        <f>(1000*CHOOSE(CONTROL!$C$42, 500, 500)*CHOOSE(CONTROL!$C$42, 0.275, 0.275)*CHOOSE(CONTROL!$C$42, 30, 30))/1000000</f>
        <v>4.125</v>
      </c>
      <c r="W304" s="56">
        <f>(1000*CHOOSE(CONTROL!$C$42, 0.0916, 0.0916)*CHOOSE(CONTROL!$C$42, 121.5, 121.5)*CHOOSE(CONTROL!$C$42, 30, 30))/1000000</f>
        <v>0.33388200000000001</v>
      </c>
      <c r="X304" s="56">
        <f>(30*0.1790888*145000/1000000)+(30*0.2374*100000/1000000)</f>
        <v>1.4912362799999999</v>
      </c>
      <c r="Y304" s="56"/>
      <c r="Z304" s="17"/>
      <c r="AA304" s="55"/>
      <c r="AB304" s="48">
        <f>(B304*141.293+C304*267.993+D304*115.016+E304*189.698+F304*40+G304*85+H304*0+I304*100+J304*300)/(141.293+267.993+115.016+189.698+0+40+85+100+300)</f>
        <v>14.176955038660209</v>
      </c>
      <c r="AC304" s="45">
        <f>(M304*'RAP TEMPLATE-GAS AVAILABILITY'!O303+N304*'RAP TEMPLATE-GAS AVAILABILITY'!P303+O304*'RAP TEMPLATE-GAS AVAILABILITY'!Q303+P304*'RAP TEMPLATE-GAS AVAILABILITY'!R303)/('RAP TEMPLATE-GAS AVAILABILITY'!O303+'RAP TEMPLATE-GAS AVAILABILITY'!P303+'RAP TEMPLATE-GAS AVAILABILITY'!Q303+'RAP TEMPLATE-GAS AVAILABILITY'!R303)</f>
        <v>14.072144604316547</v>
      </c>
    </row>
    <row r="305" spans="1:29" ht="15.75" x14ac:dyDescent="0.25">
      <c r="A305" s="15">
        <v>50161</v>
      </c>
      <c r="B305" s="17">
        <f>CHOOSE(CONTROL!$C$42, 14.2262, 14.2262) * CHOOSE(CONTROL!$C$21, $C$9, 100%, $E$9)</f>
        <v>14.2262</v>
      </c>
      <c r="C305" s="17">
        <f>CHOOSE(CONTROL!$C$42, 14.2342, 14.2342) * CHOOSE(CONTROL!$C$21, $C$9, 100%, $E$9)</f>
        <v>14.2342</v>
      </c>
      <c r="D305" s="17">
        <f>CHOOSE(CONTROL!$C$42, 14.4786, 14.4786) * CHOOSE(CONTROL!$C$21, $C$9, 100%, $E$9)</f>
        <v>14.4786</v>
      </c>
      <c r="E305" s="17">
        <f>CHOOSE(CONTROL!$C$42, 14.5098, 14.5098) * CHOOSE(CONTROL!$C$21, $C$9, 100%, $E$9)</f>
        <v>14.5098</v>
      </c>
      <c r="F305" s="17">
        <f>CHOOSE(CONTROL!$C$42, 14.2367, 14.2367)*CHOOSE(CONTROL!$C$21, $C$9, 100%, $E$9)</f>
        <v>14.236700000000001</v>
      </c>
      <c r="G305" s="17">
        <f>CHOOSE(CONTROL!$C$42, 14.253, 14.253)*CHOOSE(CONTROL!$C$21, $C$9, 100%, $E$9)</f>
        <v>14.253</v>
      </c>
      <c r="H305" s="17">
        <f>CHOOSE(CONTROL!$C$42, 14.4981, 14.4981) * CHOOSE(CONTROL!$C$21, $C$9, 100%, $E$9)</f>
        <v>14.498100000000001</v>
      </c>
      <c r="I305" s="17">
        <f>CHOOSE(CONTROL!$C$42, 14.2916, 14.2916)* CHOOSE(CONTROL!$C$21, $C$9, 100%, $E$9)</f>
        <v>14.291600000000001</v>
      </c>
      <c r="J305" s="17">
        <f>CHOOSE(CONTROL!$C$42, 14.2293, 14.2293)* CHOOSE(CONTROL!$C$21, $C$9, 100%, $E$9)</f>
        <v>14.2293</v>
      </c>
      <c r="K305" s="52">
        <f>CHOOSE(CONTROL!$C$42, 14.2855, 14.2855) * CHOOSE(CONTROL!$C$21, $C$9, 100%, $E$9)</f>
        <v>14.285500000000001</v>
      </c>
      <c r="L305" s="17">
        <f>CHOOSE(CONTROL!$C$42, 15.0851, 15.0851) * CHOOSE(CONTROL!$C$21, $C$9, 100%, $E$9)</f>
        <v>15.085100000000001</v>
      </c>
      <c r="M305" s="17">
        <f>CHOOSE(CONTROL!$C$42, 14.1084, 14.1084) * CHOOSE(CONTROL!$C$21, $C$9, 100%, $E$9)</f>
        <v>14.1084</v>
      </c>
      <c r="N305" s="17">
        <f>CHOOSE(CONTROL!$C$42, 14.1244, 14.1244) * CHOOSE(CONTROL!$C$21, $C$9, 100%, $E$9)</f>
        <v>14.1244</v>
      </c>
      <c r="O305" s="17">
        <f>CHOOSE(CONTROL!$C$42, 14.3748, 14.3748) * CHOOSE(CONTROL!$C$21, $C$9, 100%, $E$9)</f>
        <v>14.3748</v>
      </c>
      <c r="P305" s="17">
        <f>CHOOSE(CONTROL!$C$42, 14.1697, 14.1697) * CHOOSE(CONTROL!$C$21, $C$9, 100%, $E$9)</f>
        <v>14.169700000000001</v>
      </c>
      <c r="Q305" s="17">
        <f>CHOOSE(CONTROL!$C$42, 14.9695, 14.9695) * CHOOSE(CONTROL!$C$21, $C$9, 100%, $E$9)</f>
        <v>14.9695</v>
      </c>
      <c r="R305" s="17">
        <f>CHOOSE(CONTROL!$C$42, 15.5939, 15.5939) * CHOOSE(CONTROL!$C$21, $C$9, 100%, $E$9)</f>
        <v>15.5939</v>
      </c>
      <c r="S305" s="17">
        <f>CHOOSE(CONTROL!$C$42, 13.7836, 13.7836) * CHOOSE(CONTROL!$C$21, $C$9, 100%, $E$9)</f>
        <v>13.7836</v>
      </c>
      <c r="T30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05" s="56">
        <f>(1000*CHOOSE(CONTROL!$C$42, 695, 695)*CHOOSE(CONTROL!$C$42, 0.5599, 0.5599)*CHOOSE(CONTROL!$C$42, 31, 31))/1000000</f>
        <v>12.063045499999998</v>
      </c>
      <c r="V305" s="56">
        <f>(1000*CHOOSE(CONTROL!$C$42, 500, 500)*CHOOSE(CONTROL!$C$42, 0.275, 0.275)*CHOOSE(CONTROL!$C$42, 31, 31))/1000000</f>
        <v>4.2625000000000002</v>
      </c>
      <c r="W305" s="56">
        <f>(1000*CHOOSE(CONTROL!$C$42, 0.0916, 0.0916)*CHOOSE(CONTROL!$C$42, 121.5, 121.5)*CHOOSE(CONTROL!$C$42, 31, 31))/1000000</f>
        <v>0.34501139999999997</v>
      </c>
      <c r="X305" s="56">
        <f>(31*0.1790888*145000/1000000)+(31*0.2374*100000/1000000)</f>
        <v>1.5409441560000001</v>
      </c>
      <c r="Y305" s="56"/>
      <c r="Z305" s="17"/>
      <c r="AA305" s="55"/>
      <c r="AB305" s="48">
        <f>(B305*194.205+C305*267.466+D305*133.845+E305*153.484+F305*40+G305*85+H305*0+I305*100+J305*300)/(194.205+267.466+133.845+153.484+0+40+85+100+300)</f>
        <v>14.296544009733127</v>
      </c>
      <c r="AC305" s="45">
        <f>(M305*'RAP TEMPLATE-GAS AVAILABILITY'!O304+N305*'RAP TEMPLATE-GAS AVAILABILITY'!P304+O305*'RAP TEMPLATE-GAS AVAILABILITY'!Q304+P305*'RAP TEMPLATE-GAS AVAILABILITY'!R304)/('RAP TEMPLATE-GAS AVAILABILITY'!O304+'RAP TEMPLATE-GAS AVAILABILITY'!P304+'RAP TEMPLATE-GAS AVAILABILITY'!Q304+'RAP TEMPLATE-GAS AVAILABILITY'!R304)</f>
        <v>14.195648920863309</v>
      </c>
    </row>
    <row r="306" spans="1:29" ht="15.75" x14ac:dyDescent="0.25">
      <c r="A306" s="15">
        <v>50192</v>
      </c>
      <c r="B306" s="17">
        <f>CHOOSE(CONTROL!$C$42, 14.6294, 14.6294) * CHOOSE(CONTROL!$C$21, $C$9, 100%, $E$9)</f>
        <v>14.6294</v>
      </c>
      <c r="C306" s="17">
        <f>CHOOSE(CONTROL!$C$42, 14.6373, 14.6373) * CHOOSE(CONTROL!$C$21, $C$9, 100%, $E$9)</f>
        <v>14.6373</v>
      </c>
      <c r="D306" s="17">
        <f>CHOOSE(CONTROL!$C$42, 14.8818, 14.8818) * CHOOSE(CONTROL!$C$21, $C$9, 100%, $E$9)</f>
        <v>14.8818</v>
      </c>
      <c r="E306" s="17">
        <f>CHOOSE(CONTROL!$C$42, 14.913, 14.913) * CHOOSE(CONTROL!$C$21, $C$9, 100%, $E$9)</f>
        <v>14.913</v>
      </c>
      <c r="F306" s="17">
        <f>CHOOSE(CONTROL!$C$42, 14.6402, 14.6402)*CHOOSE(CONTROL!$C$21, $C$9, 100%, $E$9)</f>
        <v>14.6402</v>
      </c>
      <c r="G306" s="17">
        <f>CHOOSE(CONTROL!$C$42, 14.6566, 14.6566)*CHOOSE(CONTROL!$C$21, $C$9, 100%, $E$9)</f>
        <v>14.656599999999999</v>
      </c>
      <c r="H306" s="17">
        <f>CHOOSE(CONTROL!$C$42, 14.9013, 14.9013) * CHOOSE(CONTROL!$C$21, $C$9, 100%, $E$9)</f>
        <v>14.901300000000001</v>
      </c>
      <c r="I306" s="17">
        <f>CHOOSE(CONTROL!$C$42, 14.696, 14.696)* CHOOSE(CONTROL!$C$21, $C$9, 100%, $E$9)</f>
        <v>14.696</v>
      </c>
      <c r="J306" s="17">
        <f>CHOOSE(CONTROL!$C$42, 14.6328, 14.6328)* CHOOSE(CONTROL!$C$21, $C$9, 100%, $E$9)</f>
        <v>14.6328</v>
      </c>
      <c r="K306" s="52">
        <f>CHOOSE(CONTROL!$C$42, 14.69, 14.69) * CHOOSE(CONTROL!$C$21, $C$9, 100%, $E$9)</f>
        <v>14.69</v>
      </c>
      <c r="L306" s="17">
        <f>CHOOSE(CONTROL!$C$42, 15.4883, 15.4883) * CHOOSE(CONTROL!$C$21, $C$9, 100%, $E$9)</f>
        <v>15.488300000000001</v>
      </c>
      <c r="M306" s="17">
        <f>CHOOSE(CONTROL!$C$42, 14.5082, 14.5082) * CHOOSE(CONTROL!$C$21, $C$9, 100%, $E$9)</f>
        <v>14.5082</v>
      </c>
      <c r="N306" s="17">
        <f>CHOOSE(CONTROL!$C$42, 14.5244, 14.5244) * CHOOSE(CONTROL!$C$21, $C$9, 100%, $E$9)</f>
        <v>14.5244</v>
      </c>
      <c r="O306" s="17">
        <f>CHOOSE(CONTROL!$C$42, 14.7743, 14.7743) * CHOOSE(CONTROL!$C$21, $C$9, 100%, $E$9)</f>
        <v>14.7743</v>
      </c>
      <c r="P306" s="17">
        <f>CHOOSE(CONTROL!$C$42, 14.5705, 14.5705) * CHOOSE(CONTROL!$C$21, $C$9, 100%, $E$9)</f>
        <v>14.570499999999999</v>
      </c>
      <c r="Q306" s="17">
        <f>CHOOSE(CONTROL!$C$42, 15.369, 15.369) * CHOOSE(CONTROL!$C$21, $C$9, 100%, $E$9)</f>
        <v>15.369</v>
      </c>
      <c r="R306" s="17">
        <f>CHOOSE(CONTROL!$C$42, 15.9944, 15.9944) * CHOOSE(CONTROL!$C$21, $C$9, 100%, $E$9)</f>
        <v>15.994400000000001</v>
      </c>
      <c r="S306" s="17">
        <f>CHOOSE(CONTROL!$C$42, 14.1745, 14.1745) * CHOOSE(CONTROL!$C$21, $C$9, 100%, $E$9)</f>
        <v>14.1745</v>
      </c>
      <c r="T30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06" s="56">
        <f>(1000*CHOOSE(CONTROL!$C$42, 695, 695)*CHOOSE(CONTROL!$C$42, 0.5599, 0.5599)*CHOOSE(CONTROL!$C$42, 30, 30))/1000000</f>
        <v>11.673914999999997</v>
      </c>
      <c r="V306" s="56">
        <f>(1000*CHOOSE(CONTROL!$C$42, 500, 500)*CHOOSE(CONTROL!$C$42, 0.275, 0.275)*CHOOSE(CONTROL!$C$42, 30, 30))/1000000</f>
        <v>4.125</v>
      </c>
      <c r="W306" s="56">
        <f>(1000*CHOOSE(CONTROL!$C$42, 0.0916, 0.0916)*CHOOSE(CONTROL!$C$42, 121.5, 121.5)*CHOOSE(CONTROL!$C$42, 30, 30))/1000000</f>
        <v>0.33388200000000001</v>
      </c>
      <c r="X306" s="56">
        <f>(30*0.1790888*145000/1000000)+(30*0.2374*100000/1000000)</f>
        <v>1.4912362799999999</v>
      </c>
      <c r="Y306" s="56"/>
      <c r="Z306" s="17"/>
      <c r="AA306" s="55"/>
      <c r="AB306" s="48">
        <f>(B306*194.205+C306*267.466+D306*133.845+E306*153.484+F306*40+G306*85+H306*0+I306*100+J306*300)/(194.205+267.466+133.845+153.484+0+40+85+100+300)</f>
        <v>14.69992395745683</v>
      </c>
      <c r="AC306" s="45">
        <f>(M306*'RAP TEMPLATE-GAS AVAILABILITY'!O305+N306*'RAP TEMPLATE-GAS AVAILABILITY'!P305+O306*'RAP TEMPLATE-GAS AVAILABILITY'!Q305+P306*'RAP TEMPLATE-GAS AVAILABILITY'!R305)/('RAP TEMPLATE-GAS AVAILABILITY'!O305+'RAP TEMPLATE-GAS AVAILABILITY'!P305+'RAP TEMPLATE-GAS AVAILABILITY'!Q305+'RAP TEMPLATE-GAS AVAILABILITY'!R305)</f>
        <v>14.595554676258994</v>
      </c>
    </row>
    <row r="307" spans="1:29" ht="15.75" x14ac:dyDescent="0.25">
      <c r="A307" s="15">
        <v>50222</v>
      </c>
      <c r="B307" s="17">
        <f>CHOOSE(CONTROL!$C$42, 14.349, 14.349) * CHOOSE(CONTROL!$C$21, $C$9, 100%, $E$9)</f>
        <v>14.349</v>
      </c>
      <c r="C307" s="17">
        <f>CHOOSE(CONTROL!$C$42, 14.3569, 14.3569) * CHOOSE(CONTROL!$C$21, $C$9, 100%, $E$9)</f>
        <v>14.3569</v>
      </c>
      <c r="D307" s="17">
        <f>CHOOSE(CONTROL!$C$42, 14.6014, 14.6014) * CHOOSE(CONTROL!$C$21, $C$9, 100%, $E$9)</f>
        <v>14.6014</v>
      </c>
      <c r="E307" s="17">
        <f>CHOOSE(CONTROL!$C$42, 14.6326, 14.6326) * CHOOSE(CONTROL!$C$21, $C$9, 100%, $E$9)</f>
        <v>14.6326</v>
      </c>
      <c r="F307" s="17">
        <f>CHOOSE(CONTROL!$C$42, 14.3603, 14.3603)*CHOOSE(CONTROL!$C$21, $C$9, 100%, $E$9)</f>
        <v>14.360300000000001</v>
      </c>
      <c r="G307" s="17">
        <f>CHOOSE(CONTROL!$C$42, 14.3767, 14.3767)*CHOOSE(CONTROL!$C$21, $C$9, 100%, $E$9)</f>
        <v>14.3767</v>
      </c>
      <c r="H307" s="17">
        <f>CHOOSE(CONTROL!$C$42, 14.6209, 14.6209) * CHOOSE(CONTROL!$C$21, $C$9, 100%, $E$9)</f>
        <v>14.620900000000001</v>
      </c>
      <c r="I307" s="17">
        <f>CHOOSE(CONTROL!$C$42, 14.4147, 14.4147)* CHOOSE(CONTROL!$C$21, $C$9, 100%, $E$9)</f>
        <v>14.4147</v>
      </c>
      <c r="J307" s="17">
        <f>CHOOSE(CONTROL!$C$42, 14.3529, 14.3529)* CHOOSE(CONTROL!$C$21, $C$9, 100%, $E$9)</f>
        <v>14.3529</v>
      </c>
      <c r="K307" s="52">
        <f>CHOOSE(CONTROL!$C$42, 14.4087, 14.4087) * CHOOSE(CONTROL!$C$21, $C$9, 100%, $E$9)</f>
        <v>14.4087</v>
      </c>
      <c r="L307" s="17">
        <f>CHOOSE(CONTROL!$C$42, 15.2079, 15.2079) * CHOOSE(CONTROL!$C$21, $C$9, 100%, $E$9)</f>
        <v>15.2079</v>
      </c>
      <c r="M307" s="17">
        <f>CHOOSE(CONTROL!$C$42, 14.2308, 14.2308) * CHOOSE(CONTROL!$C$21, $C$9, 100%, $E$9)</f>
        <v>14.2308</v>
      </c>
      <c r="N307" s="17">
        <f>CHOOSE(CONTROL!$C$42, 14.2471, 14.2471) * CHOOSE(CONTROL!$C$21, $C$9, 100%, $E$9)</f>
        <v>14.2471</v>
      </c>
      <c r="O307" s="17">
        <f>CHOOSE(CONTROL!$C$42, 14.4964, 14.4964) * CHOOSE(CONTROL!$C$21, $C$9, 100%, $E$9)</f>
        <v>14.4964</v>
      </c>
      <c r="P307" s="17">
        <f>CHOOSE(CONTROL!$C$42, 14.2918, 14.2918) * CHOOSE(CONTROL!$C$21, $C$9, 100%, $E$9)</f>
        <v>14.2918</v>
      </c>
      <c r="Q307" s="17">
        <f>CHOOSE(CONTROL!$C$42, 15.0911, 15.0911) * CHOOSE(CONTROL!$C$21, $C$9, 100%, $E$9)</f>
        <v>15.091100000000001</v>
      </c>
      <c r="R307" s="17">
        <f>CHOOSE(CONTROL!$C$42, 15.7158, 15.7158) * CHOOSE(CONTROL!$C$21, $C$9, 100%, $E$9)</f>
        <v>15.7158</v>
      </c>
      <c r="S307" s="17">
        <f>CHOOSE(CONTROL!$C$42, 13.9026, 13.9026) * CHOOSE(CONTROL!$C$21, $C$9, 100%, $E$9)</f>
        <v>13.9026</v>
      </c>
      <c r="T30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07" s="56">
        <f>(1000*CHOOSE(CONTROL!$C$42, 695, 695)*CHOOSE(CONTROL!$C$42, 0.5599, 0.5599)*CHOOSE(CONTROL!$C$42, 31, 31))/1000000</f>
        <v>12.063045499999998</v>
      </c>
      <c r="V307" s="56">
        <f>(1000*CHOOSE(CONTROL!$C$42, 500, 500)*CHOOSE(CONTROL!$C$42, 0.275, 0.275)*CHOOSE(CONTROL!$C$42, 31, 31))/1000000</f>
        <v>4.2625000000000002</v>
      </c>
      <c r="W307" s="56">
        <f>(1000*CHOOSE(CONTROL!$C$42, 0.0916, 0.0916)*CHOOSE(CONTROL!$C$42, 121.5, 121.5)*CHOOSE(CONTROL!$C$42, 31, 31))/1000000</f>
        <v>0.34501139999999997</v>
      </c>
      <c r="X307" s="56">
        <f>(31*0.1790888*145000/1000000)+(31*0.2374*100000/1000000)</f>
        <v>1.5409441560000001</v>
      </c>
      <c r="Y307" s="56"/>
      <c r="Z307" s="17"/>
      <c r="AA307" s="55"/>
      <c r="AB307" s="48">
        <f>(B307*194.205+C307*267.466+D307*133.845+E307*153.484+F307*40+G307*85+H307*0+I307*100+J307*300)/(194.205+267.466+133.845+153.484+0+40+85+100+300)</f>
        <v>14.419620111302983</v>
      </c>
      <c r="AC307" s="45">
        <f>(M307*'RAP TEMPLATE-GAS AVAILABILITY'!O306+N307*'RAP TEMPLATE-GAS AVAILABILITY'!P306+O307*'RAP TEMPLATE-GAS AVAILABILITY'!Q306+P307*'RAP TEMPLATE-GAS AVAILABILITY'!R306)/('RAP TEMPLATE-GAS AVAILABILITY'!O306+'RAP TEMPLATE-GAS AVAILABILITY'!P306+'RAP TEMPLATE-GAS AVAILABILITY'!Q306+'RAP TEMPLATE-GAS AVAILABILITY'!R306)</f>
        <v>14.317850359712228</v>
      </c>
    </row>
    <row r="308" spans="1:29" ht="15.75" x14ac:dyDescent="0.25">
      <c r="A308" s="15">
        <v>50253</v>
      </c>
      <c r="B308" s="17">
        <f>CHOOSE(CONTROL!$C$42, 13.6408, 13.6408) * CHOOSE(CONTROL!$C$21, $C$9, 100%, $E$9)</f>
        <v>13.6408</v>
      </c>
      <c r="C308" s="17">
        <f>CHOOSE(CONTROL!$C$42, 13.6488, 13.6488) * CHOOSE(CONTROL!$C$21, $C$9, 100%, $E$9)</f>
        <v>13.6488</v>
      </c>
      <c r="D308" s="17">
        <f>CHOOSE(CONTROL!$C$42, 13.8933, 13.8933) * CHOOSE(CONTROL!$C$21, $C$9, 100%, $E$9)</f>
        <v>13.8933</v>
      </c>
      <c r="E308" s="17">
        <f>CHOOSE(CONTROL!$C$42, 13.9244, 13.9244) * CHOOSE(CONTROL!$C$21, $C$9, 100%, $E$9)</f>
        <v>13.9244</v>
      </c>
      <c r="F308" s="17">
        <f>CHOOSE(CONTROL!$C$42, 13.6524, 13.6524)*CHOOSE(CONTROL!$C$21, $C$9, 100%, $E$9)</f>
        <v>13.6524</v>
      </c>
      <c r="G308" s="17">
        <f>CHOOSE(CONTROL!$C$42, 13.6689, 13.6689)*CHOOSE(CONTROL!$C$21, $C$9, 100%, $E$9)</f>
        <v>13.668900000000001</v>
      </c>
      <c r="H308" s="17">
        <f>CHOOSE(CONTROL!$C$42, 13.9128, 13.9128) * CHOOSE(CONTROL!$C$21, $C$9, 100%, $E$9)</f>
        <v>13.912800000000001</v>
      </c>
      <c r="I308" s="17">
        <f>CHOOSE(CONTROL!$C$42, 13.7044, 13.7044)* CHOOSE(CONTROL!$C$21, $C$9, 100%, $E$9)</f>
        <v>13.7044</v>
      </c>
      <c r="J308" s="17">
        <f>CHOOSE(CONTROL!$C$42, 13.645, 13.645)* CHOOSE(CONTROL!$C$21, $C$9, 100%, $E$9)</f>
        <v>13.645</v>
      </c>
      <c r="K308" s="52">
        <f>CHOOSE(CONTROL!$C$42, 13.6984, 13.6984) * CHOOSE(CONTROL!$C$21, $C$9, 100%, $E$9)</f>
        <v>13.698399999999999</v>
      </c>
      <c r="L308" s="17">
        <f>CHOOSE(CONTROL!$C$42, 14.4998, 14.4998) * CHOOSE(CONTROL!$C$21, $C$9, 100%, $E$9)</f>
        <v>14.4998</v>
      </c>
      <c r="M308" s="17">
        <f>CHOOSE(CONTROL!$C$42, 13.5293, 13.5293) * CHOOSE(CONTROL!$C$21, $C$9, 100%, $E$9)</f>
        <v>13.529299999999999</v>
      </c>
      <c r="N308" s="17">
        <f>CHOOSE(CONTROL!$C$42, 13.5456, 13.5456) * CHOOSE(CONTROL!$C$21, $C$9, 100%, $E$9)</f>
        <v>13.5456</v>
      </c>
      <c r="O308" s="17">
        <f>CHOOSE(CONTROL!$C$42, 13.7946, 13.7946) * CHOOSE(CONTROL!$C$21, $C$9, 100%, $E$9)</f>
        <v>13.794600000000001</v>
      </c>
      <c r="P308" s="17">
        <f>CHOOSE(CONTROL!$C$42, 13.5878, 13.5878) * CHOOSE(CONTROL!$C$21, $C$9, 100%, $E$9)</f>
        <v>13.5878</v>
      </c>
      <c r="Q308" s="17">
        <f>CHOOSE(CONTROL!$C$42, 14.3893, 14.3893) * CHOOSE(CONTROL!$C$21, $C$9, 100%, $E$9)</f>
        <v>14.3893</v>
      </c>
      <c r="R308" s="17">
        <f>CHOOSE(CONTROL!$C$42, 15.0123, 15.0123) * CHOOSE(CONTROL!$C$21, $C$9, 100%, $E$9)</f>
        <v>15.0123</v>
      </c>
      <c r="S308" s="17">
        <f>CHOOSE(CONTROL!$C$42, 13.2159, 13.2159) * CHOOSE(CONTROL!$C$21, $C$9, 100%, $E$9)</f>
        <v>13.2159</v>
      </c>
      <c r="T30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08" s="56">
        <f>(1000*CHOOSE(CONTROL!$C$42, 695, 695)*CHOOSE(CONTROL!$C$42, 0.5599, 0.5599)*CHOOSE(CONTROL!$C$42, 31, 31))/1000000</f>
        <v>12.063045499999998</v>
      </c>
      <c r="V308" s="56">
        <f>(1000*CHOOSE(CONTROL!$C$42, 500, 500)*CHOOSE(CONTROL!$C$42, 0.275, 0.275)*CHOOSE(CONTROL!$C$42, 31, 31))/1000000</f>
        <v>4.2625000000000002</v>
      </c>
      <c r="W308" s="56">
        <f>(1000*CHOOSE(CONTROL!$C$42, 0.0916, 0.0916)*CHOOSE(CONTROL!$C$42, 121.5, 121.5)*CHOOSE(CONTROL!$C$42, 31, 31))/1000000</f>
        <v>0.34501139999999997</v>
      </c>
      <c r="X308" s="56">
        <f>(31*0.1790888*145000/1000000)+(31*0.2374*100000/1000000)</f>
        <v>1.5409441560000001</v>
      </c>
      <c r="Y308" s="56"/>
      <c r="Z308" s="17"/>
      <c r="AA308" s="55"/>
      <c r="AB308" s="48">
        <f>(B308*194.205+C308*267.466+D308*133.845+E308*153.484+F308*40+G308*85+H308*0+I308*100+J308*300)/(194.205+267.466+133.845+153.484+0+40+85+100+300)</f>
        <v>13.711393526609102</v>
      </c>
      <c r="AC308" s="45">
        <f>(M308*'RAP TEMPLATE-GAS AVAILABILITY'!O307+N308*'RAP TEMPLATE-GAS AVAILABILITY'!P307+O308*'RAP TEMPLATE-GAS AVAILABILITY'!Q307+P308*'RAP TEMPLATE-GAS AVAILABILITY'!R307)/('RAP TEMPLATE-GAS AVAILABILITY'!O307+'RAP TEMPLATE-GAS AVAILABILITY'!P307+'RAP TEMPLATE-GAS AVAILABILITY'!Q307+'RAP TEMPLATE-GAS AVAILABILITY'!R307)</f>
        <v>13.615906474820145</v>
      </c>
    </row>
    <row r="309" spans="1:29" ht="15.75" x14ac:dyDescent="0.25">
      <c r="A309" s="15">
        <v>50284</v>
      </c>
      <c r="B309" s="17">
        <f>CHOOSE(CONTROL!$C$42, 12.7754, 12.7754) * CHOOSE(CONTROL!$C$21, $C$9, 100%, $E$9)</f>
        <v>12.775399999999999</v>
      </c>
      <c r="C309" s="17">
        <f>CHOOSE(CONTROL!$C$42, 12.7834, 12.7834) * CHOOSE(CONTROL!$C$21, $C$9, 100%, $E$9)</f>
        <v>12.7834</v>
      </c>
      <c r="D309" s="17">
        <f>CHOOSE(CONTROL!$C$42, 13.0278, 13.0278) * CHOOSE(CONTROL!$C$21, $C$9, 100%, $E$9)</f>
        <v>13.027799999999999</v>
      </c>
      <c r="E309" s="17">
        <f>CHOOSE(CONTROL!$C$42, 13.059, 13.059) * CHOOSE(CONTROL!$C$21, $C$9, 100%, $E$9)</f>
        <v>13.058999999999999</v>
      </c>
      <c r="F309" s="17">
        <f>CHOOSE(CONTROL!$C$42, 12.787, 12.787)*CHOOSE(CONTROL!$C$21, $C$9, 100%, $E$9)</f>
        <v>12.787000000000001</v>
      </c>
      <c r="G309" s="17">
        <f>CHOOSE(CONTROL!$C$42, 12.8035, 12.8035)*CHOOSE(CONTROL!$C$21, $C$9, 100%, $E$9)</f>
        <v>12.8035</v>
      </c>
      <c r="H309" s="17">
        <f>CHOOSE(CONTROL!$C$42, 13.0473, 13.0473) * CHOOSE(CONTROL!$C$21, $C$9, 100%, $E$9)</f>
        <v>13.0473</v>
      </c>
      <c r="I309" s="17">
        <f>CHOOSE(CONTROL!$C$42, 12.8363, 12.8363)* CHOOSE(CONTROL!$C$21, $C$9, 100%, $E$9)</f>
        <v>12.8363</v>
      </c>
      <c r="J309" s="17">
        <f>CHOOSE(CONTROL!$C$42, 12.7796, 12.7796)* CHOOSE(CONTROL!$C$21, $C$9, 100%, $E$9)</f>
        <v>12.7796</v>
      </c>
      <c r="K309" s="52">
        <f>CHOOSE(CONTROL!$C$42, 12.8302, 12.8302) * CHOOSE(CONTROL!$C$21, $C$9, 100%, $E$9)</f>
        <v>12.8302</v>
      </c>
      <c r="L309" s="17">
        <f>CHOOSE(CONTROL!$C$42, 13.6343, 13.6343) * CHOOSE(CONTROL!$C$21, $C$9, 100%, $E$9)</f>
        <v>13.6343</v>
      </c>
      <c r="M309" s="17">
        <f>CHOOSE(CONTROL!$C$42, 12.6717, 12.6717) * CHOOSE(CONTROL!$C$21, $C$9, 100%, $E$9)</f>
        <v>12.6717</v>
      </c>
      <c r="N309" s="17">
        <f>CHOOSE(CONTROL!$C$42, 12.688, 12.688) * CHOOSE(CONTROL!$C$21, $C$9, 100%, $E$9)</f>
        <v>12.688000000000001</v>
      </c>
      <c r="O309" s="17">
        <f>CHOOSE(CONTROL!$C$42, 12.937, 12.937) * CHOOSE(CONTROL!$C$21, $C$9, 100%, $E$9)</f>
        <v>12.936999999999999</v>
      </c>
      <c r="P309" s="17">
        <f>CHOOSE(CONTROL!$C$42, 12.7275, 12.7275) * CHOOSE(CONTROL!$C$21, $C$9, 100%, $E$9)</f>
        <v>12.727499999999999</v>
      </c>
      <c r="Q309" s="17">
        <f>CHOOSE(CONTROL!$C$42, 13.5317, 13.5317) * CHOOSE(CONTROL!$C$21, $C$9, 100%, $E$9)</f>
        <v>13.531700000000001</v>
      </c>
      <c r="R309" s="17">
        <f>CHOOSE(CONTROL!$C$42, 14.1525, 14.1525) * CHOOSE(CONTROL!$C$21, $C$9, 100%, $E$9)</f>
        <v>14.1525</v>
      </c>
      <c r="S309" s="17">
        <f>CHOOSE(CONTROL!$C$42, 12.3767, 12.3767) * CHOOSE(CONTROL!$C$21, $C$9, 100%, $E$9)</f>
        <v>12.3767</v>
      </c>
      <c r="T30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09" s="56">
        <f>(1000*CHOOSE(CONTROL!$C$42, 695, 695)*CHOOSE(CONTROL!$C$42, 0.5599, 0.5599)*CHOOSE(CONTROL!$C$42, 30, 30))/1000000</f>
        <v>11.673914999999997</v>
      </c>
      <c r="V309" s="56">
        <f>(1000*CHOOSE(CONTROL!$C$42, 500, 500)*CHOOSE(CONTROL!$C$42, 0.275, 0.275)*CHOOSE(CONTROL!$C$42, 30, 30))/1000000</f>
        <v>4.125</v>
      </c>
      <c r="W309" s="56">
        <f>(1000*CHOOSE(CONTROL!$C$42, 0.0916, 0.0916)*CHOOSE(CONTROL!$C$42, 121.5, 121.5)*CHOOSE(CONTROL!$C$42, 30, 30))/1000000</f>
        <v>0.33388200000000001</v>
      </c>
      <c r="X309" s="56">
        <f>(30*0.1790888*145000/1000000)+(30*0.2374*100000/1000000)</f>
        <v>1.4912362799999999</v>
      </c>
      <c r="Y309" s="56"/>
      <c r="Z309" s="17"/>
      <c r="AA309" s="55"/>
      <c r="AB309" s="48">
        <f>(B309*194.205+C309*267.466+D309*133.845+E309*153.484+F309*40+G309*85+H309*0+I309*100+J309*300)/(194.205+267.466+133.845+153.484+0+40+85+100+300)</f>
        <v>12.845771089795917</v>
      </c>
      <c r="AC309" s="45">
        <f>(M309*'RAP TEMPLATE-GAS AVAILABILITY'!O308+N309*'RAP TEMPLATE-GAS AVAILABILITY'!P308+O309*'RAP TEMPLATE-GAS AVAILABILITY'!Q308+P309*'RAP TEMPLATE-GAS AVAILABILITY'!R308)/('RAP TEMPLATE-GAS AVAILABILITY'!O308+'RAP TEMPLATE-GAS AVAILABILITY'!P308+'RAP TEMPLATE-GAS AVAILABILITY'!Q308+'RAP TEMPLATE-GAS AVAILABILITY'!R308)</f>
        <v>12.757917985611511</v>
      </c>
    </row>
    <row r="310" spans="1:29" ht="15.75" x14ac:dyDescent="0.25">
      <c r="A310" s="15">
        <v>50314</v>
      </c>
      <c r="B310" s="17">
        <f>CHOOSE(CONTROL!$C$42, 12.5145, 12.5145) * CHOOSE(CONTROL!$C$21, $C$9, 100%, $E$9)</f>
        <v>12.5145</v>
      </c>
      <c r="C310" s="17">
        <f>CHOOSE(CONTROL!$C$42, 12.5199, 12.5199) * CHOOSE(CONTROL!$C$21, $C$9, 100%, $E$9)</f>
        <v>12.5199</v>
      </c>
      <c r="D310" s="17">
        <f>CHOOSE(CONTROL!$C$42, 12.7692, 12.7692) * CHOOSE(CONTROL!$C$21, $C$9, 100%, $E$9)</f>
        <v>12.7692</v>
      </c>
      <c r="E310" s="17">
        <f>CHOOSE(CONTROL!$C$42, 12.7981, 12.7981) * CHOOSE(CONTROL!$C$21, $C$9, 100%, $E$9)</f>
        <v>12.7981</v>
      </c>
      <c r="F310" s="17">
        <f>CHOOSE(CONTROL!$C$42, 12.5283, 12.5283)*CHOOSE(CONTROL!$C$21, $C$9, 100%, $E$9)</f>
        <v>12.5283</v>
      </c>
      <c r="G310" s="17">
        <f>CHOOSE(CONTROL!$C$42, 12.5447, 12.5447)*CHOOSE(CONTROL!$C$21, $C$9, 100%, $E$9)</f>
        <v>12.544700000000001</v>
      </c>
      <c r="H310" s="17">
        <f>CHOOSE(CONTROL!$C$42, 12.7882, 12.7882) * CHOOSE(CONTROL!$C$21, $C$9, 100%, $E$9)</f>
        <v>12.7882</v>
      </c>
      <c r="I310" s="17">
        <f>CHOOSE(CONTROL!$C$42, 12.5763, 12.5763)* CHOOSE(CONTROL!$C$21, $C$9, 100%, $E$9)</f>
        <v>12.5763</v>
      </c>
      <c r="J310" s="17">
        <f>CHOOSE(CONTROL!$C$42, 12.5209, 12.5209)* CHOOSE(CONTROL!$C$21, $C$9, 100%, $E$9)</f>
        <v>12.520899999999999</v>
      </c>
      <c r="K310" s="52">
        <f>CHOOSE(CONTROL!$C$42, 12.5703, 12.5703) * CHOOSE(CONTROL!$C$21, $C$9, 100%, $E$9)</f>
        <v>12.5703</v>
      </c>
      <c r="L310" s="17">
        <f>CHOOSE(CONTROL!$C$42, 13.3752, 13.3752) * CHOOSE(CONTROL!$C$21, $C$9, 100%, $E$9)</f>
        <v>13.3752</v>
      </c>
      <c r="M310" s="17">
        <f>CHOOSE(CONTROL!$C$42, 12.4153, 12.4153) * CHOOSE(CONTROL!$C$21, $C$9, 100%, $E$9)</f>
        <v>12.4153</v>
      </c>
      <c r="N310" s="17">
        <f>CHOOSE(CONTROL!$C$42, 12.4316, 12.4316) * CHOOSE(CONTROL!$C$21, $C$9, 100%, $E$9)</f>
        <v>12.4316</v>
      </c>
      <c r="O310" s="17">
        <f>CHOOSE(CONTROL!$C$42, 12.6802, 12.6802) * CHOOSE(CONTROL!$C$21, $C$9, 100%, $E$9)</f>
        <v>12.680199999999999</v>
      </c>
      <c r="P310" s="17">
        <f>CHOOSE(CONTROL!$C$42, 12.4699, 12.4699) * CHOOSE(CONTROL!$C$21, $C$9, 100%, $E$9)</f>
        <v>12.469900000000001</v>
      </c>
      <c r="Q310" s="17">
        <f>CHOOSE(CONTROL!$C$42, 13.2749, 13.2749) * CHOOSE(CONTROL!$C$21, $C$9, 100%, $E$9)</f>
        <v>13.274900000000001</v>
      </c>
      <c r="R310" s="17">
        <f>CHOOSE(CONTROL!$C$42, 13.8951, 13.8951) * CHOOSE(CONTROL!$C$21, $C$9, 100%, $E$9)</f>
        <v>13.895099999999999</v>
      </c>
      <c r="S310" s="17">
        <f>CHOOSE(CONTROL!$C$42, 12.1254, 12.1254) * CHOOSE(CONTROL!$C$21, $C$9, 100%, $E$9)</f>
        <v>12.125400000000001</v>
      </c>
      <c r="T31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10" s="56">
        <f>(1000*CHOOSE(CONTROL!$C$42, 695, 695)*CHOOSE(CONTROL!$C$42, 0.5599, 0.5599)*CHOOSE(CONTROL!$C$42, 31, 31))/1000000</f>
        <v>12.063045499999998</v>
      </c>
      <c r="V310" s="56">
        <f>(1000*CHOOSE(CONTROL!$C$42, 500, 500)*CHOOSE(CONTROL!$C$42, 0.275, 0.275)*CHOOSE(CONTROL!$C$42, 31, 31))/1000000</f>
        <v>4.2625000000000002</v>
      </c>
      <c r="W310" s="56">
        <f>(1000*CHOOSE(CONTROL!$C$42, 0.0916, 0.0916)*CHOOSE(CONTROL!$C$42, 121.5, 121.5)*CHOOSE(CONTROL!$C$42, 31, 31))/1000000</f>
        <v>0.34501139999999997</v>
      </c>
      <c r="X310" s="56">
        <f>(31*0.1790888*145000/1000000)+(31*0.2374*100000/1000000)</f>
        <v>1.5409441560000001</v>
      </c>
      <c r="Y310" s="56"/>
      <c r="Z310" s="17"/>
      <c r="AA310" s="55"/>
      <c r="AB310" s="48">
        <f>(B310*131.881+C310*277.167+D310*79.08+E310*225.872+F310*40+G310*85+H310*0+I310*100+J310*300)/(131.881+277.167+79.08+225.872+0+40+85+100+300)</f>
        <v>12.59272007828894</v>
      </c>
      <c r="AC310" s="45">
        <f>(M310*'RAP TEMPLATE-GAS AVAILABILITY'!O309+N310*'RAP TEMPLATE-GAS AVAILABILITY'!P309+O310*'RAP TEMPLATE-GAS AVAILABILITY'!Q309+P310*'RAP TEMPLATE-GAS AVAILABILITY'!R309)/('RAP TEMPLATE-GAS AVAILABILITY'!O309+'RAP TEMPLATE-GAS AVAILABILITY'!P309+'RAP TEMPLATE-GAS AVAILABILITY'!Q309+'RAP TEMPLATE-GAS AVAILABILITY'!R309)</f>
        <v>12.50123309352518</v>
      </c>
    </row>
    <row r="311" spans="1:29" ht="15.75" x14ac:dyDescent="0.25">
      <c r="A311" s="15">
        <v>50345</v>
      </c>
      <c r="B311" s="17">
        <f>CHOOSE(CONTROL!$C$42, 12.8435, 12.8435) * CHOOSE(CONTROL!$C$21, $C$9, 100%, $E$9)</f>
        <v>12.843500000000001</v>
      </c>
      <c r="C311" s="17">
        <f>CHOOSE(CONTROL!$C$42, 12.8486, 12.8486) * CHOOSE(CONTROL!$C$21, $C$9, 100%, $E$9)</f>
        <v>12.848599999999999</v>
      </c>
      <c r="D311" s="17">
        <f>CHOOSE(CONTROL!$C$42, 12.93, 12.93) * CHOOSE(CONTROL!$C$21, $C$9, 100%, $E$9)</f>
        <v>12.93</v>
      </c>
      <c r="E311" s="17">
        <f>CHOOSE(CONTROL!$C$42, 12.9637, 12.9637) * CHOOSE(CONTROL!$C$21, $C$9, 100%, $E$9)</f>
        <v>12.963699999999999</v>
      </c>
      <c r="F311" s="17">
        <f>CHOOSE(CONTROL!$C$42, 12.8615, 12.8615)*CHOOSE(CONTROL!$C$21, $C$9, 100%, $E$9)</f>
        <v>12.861499999999999</v>
      </c>
      <c r="G311" s="17">
        <f>CHOOSE(CONTROL!$C$42, 12.8782, 12.8782)*CHOOSE(CONTROL!$C$21, $C$9, 100%, $E$9)</f>
        <v>12.8782</v>
      </c>
      <c r="H311" s="17">
        <f>CHOOSE(CONTROL!$C$42, 12.9526, 12.9526) * CHOOSE(CONTROL!$C$21, $C$9, 100%, $E$9)</f>
        <v>12.9526</v>
      </c>
      <c r="I311" s="17">
        <f>CHOOSE(CONTROL!$C$42, 12.9083, 12.9083)* CHOOSE(CONTROL!$C$21, $C$9, 100%, $E$9)</f>
        <v>12.908300000000001</v>
      </c>
      <c r="J311" s="17">
        <f>CHOOSE(CONTROL!$C$42, 12.8541, 12.8541)* CHOOSE(CONTROL!$C$21, $C$9, 100%, $E$9)</f>
        <v>12.854100000000001</v>
      </c>
      <c r="K311" s="52">
        <f>CHOOSE(CONTROL!$C$42, 12.9023, 12.9023) * CHOOSE(CONTROL!$C$21, $C$9, 100%, $E$9)</f>
        <v>12.9023</v>
      </c>
      <c r="L311" s="17">
        <f>CHOOSE(CONTROL!$C$42, 13.5396, 13.5396) * CHOOSE(CONTROL!$C$21, $C$9, 100%, $E$9)</f>
        <v>13.5396</v>
      </c>
      <c r="M311" s="17">
        <f>CHOOSE(CONTROL!$C$42, 12.7455, 12.7455) * CHOOSE(CONTROL!$C$21, $C$9, 100%, $E$9)</f>
        <v>12.7455</v>
      </c>
      <c r="N311" s="17">
        <f>CHOOSE(CONTROL!$C$42, 12.762, 12.762) * CHOOSE(CONTROL!$C$21, $C$9, 100%, $E$9)</f>
        <v>12.762</v>
      </c>
      <c r="O311" s="17">
        <f>CHOOSE(CONTROL!$C$42, 12.8431, 12.8431) * CHOOSE(CONTROL!$C$21, $C$9, 100%, $E$9)</f>
        <v>12.8431</v>
      </c>
      <c r="P311" s="17">
        <f>CHOOSE(CONTROL!$C$42, 12.7989, 12.7989) * CHOOSE(CONTROL!$C$21, $C$9, 100%, $E$9)</f>
        <v>12.7989</v>
      </c>
      <c r="Q311" s="17">
        <f>CHOOSE(CONTROL!$C$42, 13.4378, 13.4378) * CHOOSE(CONTROL!$C$21, $C$9, 100%, $E$9)</f>
        <v>13.437799999999999</v>
      </c>
      <c r="R311" s="17">
        <f>CHOOSE(CONTROL!$C$42, 14.0584, 14.0584) * CHOOSE(CONTROL!$C$21, $C$9, 100%, $E$9)</f>
        <v>14.058400000000001</v>
      </c>
      <c r="S311" s="17">
        <f>CHOOSE(CONTROL!$C$42, 12.4448, 12.4448) * CHOOSE(CONTROL!$C$21, $C$9, 100%, $E$9)</f>
        <v>12.444800000000001</v>
      </c>
      <c r="T31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11" s="56">
        <f>(1000*CHOOSE(CONTROL!$C$42, 695, 695)*CHOOSE(CONTROL!$C$42, 0.5599, 0.5599)*CHOOSE(CONTROL!$C$42, 30, 30))/1000000</f>
        <v>11.673914999999997</v>
      </c>
      <c r="V311" s="56">
        <f>(1000*CHOOSE(CONTROL!$C$42, 500, 500)*CHOOSE(CONTROL!$C$42, 0.275, 0.275)*CHOOSE(CONTROL!$C$42, 30, 30))/1000000</f>
        <v>4.125</v>
      </c>
      <c r="W311" s="56">
        <f>(1000*CHOOSE(CONTROL!$C$42, 0.0916, 0.0916)*CHOOSE(CONTROL!$C$42, 121.5, 121.5)*CHOOSE(CONTROL!$C$42, 30, 30))/1000000</f>
        <v>0.33388200000000001</v>
      </c>
      <c r="X311" s="56">
        <f>(30*0.2374*100000/1000000)</f>
        <v>0.71220000000000006</v>
      </c>
      <c r="Y311" s="56"/>
      <c r="Z311" s="17"/>
      <c r="AA311" s="55"/>
      <c r="AB311" s="48">
        <f>(B311*122.58+C311*297.941+D311*89.177+E311*140.302+F311*40+G311*60+H311*0+I311*100+J311*300)/(122.58+297.941+89.177+140.302+0+40+60+100+300)</f>
        <v>12.87703009565217</v>
      </c>
      <c r="AC311" s="45">
        <f>(M311*'RAP TEMPLATE-GAS AVAILABILITY'!O310+N311*'RAP TEMPLATE-GAS AVAILABILITY'!P310+O311*'RAP TEMPLATE-GAS AVAILABILITY'!Q310+P311*'RAP TEMPLATE-GAS AVAILABILITY'!R310)/('RAP TEMPLATE-GAS AVAILABILITY'!O310+'RAP TEMPLATE-GAS AVAILABILITY'!P310+'RAP TEMPLATE-GAS AVAILABILITY'!Q310+'RAP TEMPLATE-GAS AVAILABILITY'!R310)</f>
        <v>12.798369064748201</v>
      </c>
    </row>
    <row r="312" spans="1:29" ht="15.75" x14ac:dyDescent="0.25">
      <c r="A312" s="15">
        <v>50375</v>
      </c>
      <c r="B312" s="17">
        <f>CHOOSE(CONTROL!$C$42, 13.7185, 13.7185) * CHOOSE(CONTROL!$C$21, $C$9, 100%, $E$9)</f>
        <v>13.718500000000001</v>
      </c>
      <c r="C312" s="17">
        <f>CHOOSE(CONTROL!$C$42, 13.7235, 13.7235) * CHOOSE(CONTROL!$C$21, $C$9, 100%, $E$9)</f>
        <v>13.7235</v>
      </c>
      <c r="D312" s="17">
        <f>CHOOSE(CONTROL!$C$42, 13.8049, 13.8049) * CHOOSE(CONTROL!$C$21, $C$9, 100%, $E$9)</f>
        <v>13.8049</v>
      </c>
      <c r="E312" s="17">
        <f>CHOOSE(CONTROL!$C$42, 13.8387, 13.8387) * CHOOSE(CONTROL!$C$21, $C$9, 100%, $E$9)</f>
        <v>13.838699999999999</v>
      </c>
      <c r="F312" s="17">
        <f>CHOOSE(CONTROL!$C$42, 13.7388, 13.7388)*CHOOSE(CONTROL!$C$21, $C$9, 100%, $E$9)</f>
        <v>13.738799999999999</v>
      </c>
      <c r="G312" s="17">
        <f>CHOOSE(CONTROL!$C$42, 13.7561, 13.7561)*CHOOSE(CONTROL!$C$21, $C$9, 100%, $E$9)</f>
        <v>13.7561</v>
      </c>
      <c r="H312" s="17">
        <f>CHOOSE(CONTROL!$C$42, 13.8275, 13.8275) * CHOOSE(CONTROL!$C$21, $C$9, 100%, $E$9)</f>
        <v>13.827500000000001</v>
      </c>
      <c r="I312" s="17">
        <f>CHOOSE(CONTROL!$C$42, 13.786, 13.786)* CHOOSE(CONTROL!$C$21, $C$9, 100%, $E$9)</f>
        <v>13.786</v>
      </c>
      <c r="J312" s="17">
        <f>CHOOSE(CONTROL!$C$42, 13.7314, 13.7314)* CHOOSE(CONTROL!$C$21, $C$9, 100%, $E$9)</f>
        <v>13.731400000000001</v>
      </c>
      <c r="K312" s="52">
        <f>CHOOSE(CONTROL!$C$42, 13.7799, 13.7799) * CHOOSE(CONTROL!$C$21, $C$9, 100%, $E$9)</f>
        <v>13.7799</v>
      </c>
      <c r="L312" s="17">
        <f>CHOOSE(CONTROL!$C$42, 14.4145, 14.4145) * CHOOSE(CONTROL!$C$21, $C$9, 100%, $E$9)</f>
        <v>14.4145</v>
      </c>
      <c r="M312" s="17">
        <f>CHOOSE(CONTROL!$C$42, 13.6149, 13.6149) * CHOOSE(CONTROL!$C$21, $C$9, 100%, $E$9)</f>
        <v>13.6149</v>
      </c>
      <c r="N312" s="17">
        <f>CHOOSE(CONTROL!$C$42, 13.6321, 13.6321) * CHOOSE(CONTROL!$C$21, $C$9, 100%, $E$9)</f>
        <v>13.632099999999999</v>
      </c>
      <c r="O312" s="17">
        <f>CHOOSE(CONTROL!$C$42, 13.7102, 13.7102) * CHOOSE(CONTROL!$C$21, $C$9, 100%, $E$9)</f>
        <v>13.7102</v>
      </c>
      <c r="P312" s="17">
        <f>CHOOSE(CONTROL!$C$42, 13.6687, 13.6687) * CHOOSE(CONTROL!$C$21, $C$9, 100%, $E$9)</f>
        <v>13.668699999999999</v>
      </c>
      <c r="Q312" s="17">
        <f>CHOOSE(CONTROL!$C$42, 14.3049, 14.3049) * CHOOSE(CONTROL!$C$21, $C$9, 100%, $E$9)</f>
        <v>14.3049</v>
      </c>
      <c r="R312" s="17">
        <f>CHOOSE(CONTROL!$C$42, 14.9277, 14.9277) * CHOOSE(CONTROL!$C$21, $C$9, 100%, $E$9)</f>
        <v>14.9277</v>
      </c>
      <c r="S312" s="17">
        <f>CHOOSE(CONTROL!$C$42, 13.2933, 13.2933) * CHOOSE(CONTROL!$C$21, $C$9, 100%, $E$9)</f>
        <v>13.2933</v>
      </c>
      <c r="T31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12" s="56">
        <f>(1000*CHOOSE(CONTROL!$C$42, 695, 695)*CHOOSE(CONTROL!$C$42, 0.5599, 0.5599)*CHOOSE(CONTROL!$C$42, 31, 31))/1000000</f>
        <v>12.063045499999998</v>
      </c>
      <c r="V312" s="56">
        <f>(1000*CHOOSE(CONTROL!$C$42, 500, 500)*CHOOSE(CONTROL!$C$42, 0.275, 0.275)*CHOOSE(CONTROL!$C$42, 31, 31))/1000000</f>
        <v>4.2625000000000002</v>
      </c>
      <c r="W312" s="56">
        <f>(1000*CHOOSE(CONTROL!$C$42, 0.0916, 0.0916)*CHOOSE(CONTROL!$C$42, 121.5, 121.5)*CHOOSE(CONTROL!$C$42, 31, 31))/1000000</f>
        <v>0.34501139999999997</v>
      </c>
      <c r="X312" s="56">
        <f>(31*0.2374*100000/1000000)</f>
        <v>0.73594000000000004</v>
      </c>
      <c r="Y312" s="56"/>
      <c r="Z312" s="17"/>
      <c r="AA312" s="55"/>
      <c r="AB312" s="48">
        <f>(B312*122.58+C312*297.941+D312*89.177+E312*140.302+F312*40+G312*60+H312*0+I312*100+J312*300)/(122.58+297.941+89.177+140.302+0+40+60+100+300)</f>
        <v>13.753062520173913</v>
      </c>
      <c r="AC312" s="45">
        <f>(M312*'RAP TEMPLATE-GAS AVAILABILITY'!O311+N312*'RAP TEMPLATE-GAS AVAILABILITY'!P311+O312*'RAP TEMPLATE-GAS AVAILABILITY'!Q311+P312*'RAP TEMPLATE-GAS AVAILABILITY'!R311)/('RAP TEMPLATE-GAS AVAILABILITY'!O311+'RAP TEMPLATE-GAS AVAILABILITY'!P311+'RAP TEMPLATE-GAS AVAILABILITY'!Q311+'RAP TEMPLATE-GAS AVAILABILITY'!R311)</f>
        <v>13.666824460431654</v>
      </c>
    </row>
    <row r="313" spans="1:29" ht="15.75" x14ac:dyDescent="0.25">
      <c r="A313" s="14">
        <v>50436</v>
      </c>
      <c r="B313" s="17">
        <f>CHOOSE(CONTROL!$C$42, 14.8549, 14.8549) * CHOOSE(CONTROL!$C$21, $C$9, 100%, $E$9)</f>
        <v>14.854900000000001</v>
      </c>
      <c r="C313" s="17">
        <f>CHOOSE(CONTROL!$C$42, 14.8599, 14.8599) * CHOOSE(CONTROL!$C$21, $C$9, 100%, $E$9)</f>
        <v>14.8599</v>
      </c>
      <c r="D313" s="17">
        <f>CHOOSE(CONTROL!$C$42, 14.9568, 14.9568) * CHOOSE(CONTROL!$C$21, $C$9, 100%, $E$9)</f>
        <v>14.956799999999999</v>
      </c>
      <c r="E313" s="17">
        <f>CHOOSE(CONTROL!$C$42, 14.9905, 14.9905) * CHOOSE(CONTROL!$C$21, $C$9, 100%, $E$9)</f>
        <v>14.990500000000001</v>
      </c>
      <c r="F313" s="17">
        <f>CHOOSE(CONTROL!$C$42, 14.8691, 14.8691)*CHOOSE(CONTROL!$C$21, $C$9, 100%, $E$9)</f>
        <v>14.8691</v>
      </c>
      <c r="G313" s="17">
        <f>CHOOSE(CONTROL!$C$42, 14.8855, 14.8855)*CHOOSE(CONTROL!$C$21, $C$9, 100%, $E$9)</f>
        <v>14.8855</v>
      </c>
      <c r="H313" s="17">
        <f>CHOOSE(CONTROL!$C$42, 14.9794, 14.9794) * CHOOSE(CONTROL!$C$21, $C$9, 100%, $E$9)</f>
        <v>14.9794</v>
      </c>
      <c r="I313" s="17">
        <f>CHOOSE(CONTROL!$C$42, 14.9259, 14.9259)* CHOOSE(CONTROL!$C$21, $C$9, 100%, $E$9)</f>
        <v>14.9259</v>
      </c>
      <c r="J313" s="17">
        <f>CHOOSE(CONTROL!$C$42, 14.8617, 14.8617)* CHOOSE(CONTROL!$C$21, $C$9, 100%, $E$9)</f>
        <v>14.861700000000001</v>
      </c>
      <c r="K313" s="52">
        <f>CHOOSE(CONTROL!$C$42, 14.9199, 14.9199) * CHOOSE(CONTROL!$C$21, $C$9, 100%, $E$9)</f>
        <v>14.9199</v>
      </c>
      <c r="L313" s="17">
        <f>CHOOSE(CONTROL!$C$42, 15.5664, 15.5664) * CHOOSE(CONTROL!$C$21, $C$9, 100%, $E$9)</f>
        <v>15.5664</v>
      </c>
      <c r="M313" s="17">
        <f>CHOOSE(CONTROL!$C$42, 14.7351, 14.7351) * CHOOSE(CONTROL!$C$21, $C$9, 100%, $E$9)</f>
        <v>14.735099999999999</v>
      </c>
      <c r="N313" s="17">
        <f>CHOOSE(CONTROL!$C$42, 14.7513, 14.7513) * CHOOSE(CONTROL!$C$21, $C$9, 100%, $E$9)</f>
        <v>14.751300000000001</v>
      </c>
      <c r="O313" s="17">
        <f>CHOOSE(CONTROL!$C$42, 14.8517, 14.8517) * CHOOSE(CONTROL!$C$21, $C$9, 100%, $E$9)</f>
        <v>14.851699999999999</v>
      </c>
      <c r="P313" s="17">
        <f>CHOOSE(CONTROL!$C$42, 14.7983, 14.7983) * CHOOSE(CONTROL!$C$21, $C$9, 100%, $E$9)</f>
        <v>14.798299999999999</v>
      </c>
      <c r="Q313" s="17">
        <f>CHOOSE(CONTROL!$C$42, 15.4464, 15.4464) * CHOOSE(CONTROL!$C$21, $C$9, 100%, $E$9)</f>
        <v>15.446400000000001</v>
      </c>
      <c r="R313" s="17">
        <f>CHOOSE(CONTROL!$C$42, 16.072, 16.072) * CHOOSE(CONTROL!$C$21, $C$9, 100%, $E$9)</f>
        <v>16.071999999999999</v>
      </c>
      <c r="S313" s="17">
        <f>CHOOSE(CONTROL!$C$42, 14.3952, 14.3952) * CHOOSE(CONTROL!$C$21, $C$9, 100%, $E$9)</f>
        <v>14.395200000000001</v>
      </c>
      <c r="T31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13" s="56">
        <f>(1000*CHOOSE(CONTROL!$C$42, 695, 695)*CHOOSE(CONTROL!$C$42, 0.5599, 0.5599)*CHOOSE(CONTROL!$C$42, 31, 31))/1000000</f>
        <v>12.063045499999998</v>
      </c>
      <c r="V313" s="56">
        <f>(1000*CHOOSE(CONTROL!$C$42, 500, 500)*CHOOSE(CONTROL!$C$42, 0.275, 0.275)*CHOOSE(CONTROL!$C$42, 31, 31))/1000000</f>
        <v>4.2625000000000002</v>
      </c>
      <c r="W313" s="56">
        <f>(1000*CHOOSE(CONTROL!$C$42, 0.0916, 0.0916)*CHOOSE(CONTROL!$C$42, 121.5, 121.5)*CHOOSE(CONTROL!$C$42, 31, 31))/1000000</f>
        <v>0.34501139999999997</v>
      </c>
      <c r="X313" s="56">
        <f>(31*0.2374*100000/1000000)</f>
        <v>0.73594000000000004</v>
      </c>
      <c r="Y313" s="56"/>
      <c r="Z313" s="17"/>
      <c r="AA313" s="55"/>
      <c r="AB313" s="48">
        <f>(B313*122.58+C313*297.941+D313*89.177+E313*140.302+F313*40+G313*60+H313*0+I313*100+J313*300)/(122.58+297.941+89.177+140.302+0+40+60+100+300)</f>
        <v>14.890678949999998</v>
      </c>
      <c r="AC313" s="45">
        <f>(M313*'RAP TEMPLATE-GAS AVAILABILITY'!O312+N313*'RAP TEMPLATE-GAS AVAILABILITY'!P312+O313*'RAP TEMPLATE-GAS AVAILABILITY'!Q312+P313*'RAP TEMPLATE-GAS AVAILABILITY'!R312)/('RAP TEMPLATE-GAS AVAILABILITY'!O312+'RAP TEMPLATE-GAS AVAILABILITY'!P312+'RAP TEMPLATE-GAS AVAILABILITY'!Q312+'RAP TEMPLATE-GAS AVAILABILITY'!R312)</f>
        <v>14.797973381294964</v>
      </c>
    </row>
    <row r="314" spans="1:29" ht="15.75" x14ac:dyDescent="0.25">
      <c r="A314" s="14">
        <v>50464</v>
      </c>
      <c r="B314" s="17">
        <f>CHOOSE(CONTROL!$C$42, 15.1191, 15.1191) * CHOOSE(CONTROL!$C$21, $C$9, 100%, $E$9)</f>
        <v>15.1191</v>
      </c>
      <c r="C314" s="17">
        <f>CHOOSE(CONTROL!$C$42, 15.1242, 15.1242) * CHOOSE(CONTROL!$C$21, $C$9, 100%, $E$9)</f>
        <v>15.1242</v>
      </c>
      <c r="D314" s="17">
        <f>CHOOSE(CONTROL!$C$42, 15.221, 15.221) * CHOOSE(CONTROL!$C$21, $C$9, 100%, $E$9)</f>
        <v>15.221</v>
      </c>
      <c r="E314" s="17">
        <f>CHOOSE(CONTROL!$C$42, 15.2548, 15.2548) * CHOOSE(CONTROL!$C$21, $C$9, 100%, $E$9)</f>
        <v>15.254799999999999</v>
      </c>
      <c r="F314" s="17">
        <f>CHOOSE(CONTROL!$C$42, 15.1334, 15.1334)*CHOOSE(CONTROL!$C$21, $C$9, 100%, $E$9)</f>
        <v>15.1334</v>
      </c>
      <c r="G314" s="17">
        <f>CHOOSE(CONTROL!$C$42, 15.1498, 15.1498)*CHOOSE(CONTROL!$C$21, $C$9, 100%, $E$9)</f>
        <v>15.149800000000001</v>
      </c>
      <c r="H314" s="17">
        <f>CHOOSE(CONTROL!$C$42, 15.2437, 15.2437) * CHOOSE(CONTROL!$C$21, $C$9, 100%, $E$9)</f>
        <v>15.2437</v>
      </c>
      <c r="I314" s="17">
        <f>CHOOSE(CONTROL!$C$42, 15.191, 15.191)* CHOOSE(CONTROL!$C$21, $C$9, 100%, $E$9)</f>
        <v>15.191000000000001</v>
      </c>
      <c r="J314" s="17">
        <f>CHOOSE(CONTROL!$C$42, 15.126, 15.126)* CHOOSE(CONTROL!$C$21, $C$9, 100%, $E$9)</f>
        <v>15.125999999999999</v>
      </c>
      <c r="K314" s="52">
        <f>CHOOSE(CONTROL!$C$42, 15.1849, 15.1849) * CHOOSE(CONTROL!$C$21, $C$9, 100%, $E$9)</f>
        <v>15.184900000000001</v>
      </c>
      <c r="L314" s="17">
        <f>CHOOSE(CONTROL!$C$42, 15.8307, 15.8307) * CHOOSE(CONTROL!$C$21, $C$9, 100%, $E$9)</f>
        <v>15.8307</v>
      </c>
      <c r="M314" s="17">
        <f>CHOOSE(CONTROL!$C$42, 14.9969, 14.9969) * CHOOSE(CONTROL!$C$21, $C$9, 100%, $E$9)</f>
        <v>14.9969</v>
      </c>
      <c r="N314" s="17">
        <f>CHOOSE(CONTROL!$C$42, 15.0132, 15.0132) * CHOOSE(CONTROL!$C$21, $C$9, 100%, $E$9)</f>
        <v>15.013199999999999</v>
      </c>
      <c r="O314" s="17">
        <f>CHOOSE(CONTROL!$C$42, 15.1136, 15.1136) * CHOOSE(CONTROL!$C$21, $C$9, 100%, $E$9)</f>
        <v>15.1136</v>
      </c>
      <c r="P314" s="17">
        <f>CHOOSE(CONTROL!$C$42, 15.061, 15.061) * CHOOSE(CONTROL!$C$21, $C$9, 100%, $E$9)</f>
        <v>15.061</v>
      </c>
      <c r="Q314" s="17">
        <f>CHOOSE(CONTROL!$C$42, 15.7083, 15.7083) * CHOOSE(CONTROL!$C$21, $C$9, 100%, $E$9)</f>
        <v>15.708299999999999</v>
      </c>
      <c r="R314" s="17">
        <f>CHOOSE(CONTROL!$C$42, 16.3345, 16.3345) * CHOOSE(CONTROL!$C$21, $C$9, 100%, $E$9)</f>
        <v>16.334499999999998</v>
      </c>
      <c r="S314" s="17">
        <f>CHOOSE(CONTROL!$C$42, 14.6515, 14.6515) * CHOOSE(CONTROL!$C$21, $C$9, 100%, $E$9)</f>
        <v>14.6515</v>
      </c>
      <c r="T31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14" s="56">
        <f>(1000*CHOOSE(CONTROL!$C$42, 695, 695)*CHOOSE(CONTROL!$C$42, 0.5599, 0.5599)*CHOOSE(CONTROL!$C$42, 28, 28))/1000000</f>
        <v>10.895653999999999</v>
      </c>
      <c r="V314" s="56">
        <f>(1000*CHOOSE(CONTROL!$C$42, 500, 500)*CHOOSE(CONTROL!$C$42, 0.275, 0.275)*CHOOSE(CONTROL!$C$42, 28, 28))/1000000</f>
        <v>3.85</v>
      </c>
      <c r="W314" s="56">
        <f>(1000*CHOOSE(CONTROL!$C$42, 0.0916, 0.0916)*CHOOSE(CONTROL!$C$42, 121.5, 121.5)*CHOOSE(CONTROL!$C$42, 28, 28))/1000000</f>
        <v>0.31162319999999999</v>
      </c>
      <c r="X314" s="56">
        <f>(28*0.2374*100000/1000000)</f>
        <v>0.66471999999999998</v>
      </c>
      <c r="Y314" s="56"/>
      <c r="Z314" s="17"/>
      <c r="AA314" s="55"/>
      <c r="AB314" s="48">
        <f>(B314*122.58+C314*297.941+D314*89.177+E314*140.302+F314*40+G314*60+H314*0+I314*100+J314*300)/(122.58+297.941+89.177+140.302+0+40+60+100+300)</f>
        <v>15.155030101565217</v>
      </c>
      <c r="AC314" s="45">
        <f>(M314*'RAP TEMPLATE-GAS AVAILABILITY'!O313+N314*'RAP TEMPLATE-GAS AVAILABILITY'!P313+O314*'RAP TEMPLATE-GAS AVAILABILITY'!Q313+P314*'RAP TEMPLATE-GAS AVAILABILITY'!R313)/('RAP TEMPLATE-GAS AVAILABILITY'!O313+'RAP TEMPLATE-GAS AVAILABILITY'!P313+'RAP TEMPLATE-GAS AVAILABILITY'!Q313+'RAP TEMPLATE-GAS AVAILABILITY'!R313)</f>
        <v>15.059953956834532</v>
      </c>
    </row>
    <row r="315" spans="1:29" ht="15.75" x14ac:dyDescent="0.25">
      <c r="A315" s="14">
        <v>50495</v>
      </c>
      <c r="B315" s="17">
        <f>CHOOSE(CONTROL!$C$42, 14.6902, 14.6902) * CHOOSE(CONTROL!$C$21, $C$9, 100%, $E$9)</f>
        <v>14.690200000000001</v>
      </c>
      <c r="C315" s="17">
        <f>CHOOSE(CONTROL!$C$42, 14.6953, 14.6953) * CHOOSE(CONTROL!$C$21, $C$9, 100%, $E$9)</f>
        <v>14.6953</v>
      </c>
      <c r="D315" s="17">
        <f>CHOOSE(CONTROL!$C$42, 14.7921, 14.7921) * CHOOSE(CONTROL!$C$21, $C$9, 100%, $E$9)</f>
        <v>14.7921</v>
      </c>
      <c r="E315" s="17">
        <f>CHOOSE(CONTROL!$C$42, 14.8258, 14.8258) * CHOOSE(CONTROL!$C$21, $C$9, 100%, $E$9)</f>
        <v>14.825799999999999</v>
      </c>
      <c r="F315" s="17">
        <f>CHOOSE(CONTROL!$C$42, 14.7038, 14.7038)*CHOOSE(CONTROL!$C$21, $C$9, 100%, $E$9)</f>
        <v>14.703799999999999</v>
      </c>
      <c r="G315" s="17">
        <f>CHOOSE(CONTROL!$C$42, 14.72, 14.72)*CHOOSE(CONTROL!$C$21, $C$9, 100%, $E$9)</f>
        <v>14.72</v>
      </c>
      <c r="H315" s="17">
        <f>CHOOSE(CONTROL!$C$42, 14.8147, 14.8147) * CHOOSE(CONTROL!$C$21, $C$9, 100%, $E$9)</f>
        <v>14.8147</v>
      </c>
      <c r="I315" s="17">
        <f>CHOOSE(CONTROL!$C$42, 14.7607, 14.7607)* CHOOSE(CONTROL!$C$21, $C$9, 100%, $E$9)</f>
        <v>14.7607</v>
      </c>
      <c r="J315" s="17">
        <f>CHOOSE(CONTROL!$C$42, 14.6964, 14.6964)* CHOOSE(CONTROL!$C$21, $C$9, 100%, $E$9)</f>
        <v>14.696400000000001</v>
      </c>
      <c r="K315" s="52">
        <f>CHOOSE(CONTROL!$C$42, 14.7547, 14.7547) * CHOOSE(CONTROL!$C$21, $C$9, 100%, $E$9)</f>
        <v>14.7547</v>
      </c>
      <c r="L315" s="17">
        <f>CHOOSE(CONTROL!$C$42, 15.4017, 15.4017) * CHOOSE(CONTROL!$C$21, $C$9, 100%, $E$9)</f>
        <v>15.4017</v>
      </c>
      <c r="M315" s="17">
        <f>CHOOSE(CONTROL!$C$42, 14.5712, 14.5712) * CHOOSE(CONTROL!$C$21, $C$9, 100%, $E$9)</f>
        <v>14.571199999999999</v>
      </c>
      <c r="N315" s="17">
        <f>CHOOSE(CONTROL!$C$42, 14.5873, 14.5873) * CHOOSE(CONTROL!$C$21, $C$9, 100%, $E$9)</f>
        <v>14.587300000000001</v>
      </c>
      <c r="O315" s="17">
        <f>CHOOSE(CONTROL!$C$42, 14.6885, 14.6885) * CHOOSE(CONTROL!$C$21, $C$9, 100%, $E$9)</f>
        <v>14.688499999999999</v>
      </c>
      <c r="P315" s="17">
        <f>CHOOSE(CONTROL!$C$42, 14.6346, 14.6346) * CHOOSE(CONTROL!$C$21, $C$9, 100%, $E$9)</f>
        <v>14.634600000000001</v>
      </c>
      <c r="Q315" s="17">
        <f>CHOOSE(CONTROL!$C$42, 15.2832, 15.2832) * CHOOSE(CONTROL!$C$21, $C$9, 100%, $E$9)</f>
        <v>15.283200000000001</v>
      </c>
      <c r="R315" s="17">
        <f>CHOOSE(CONTROL!$C$42, 15.9084, 15.9084) * CHOOSE(CONTROL!$C$21, $C$9, 100%, $E$9)</f>
        <v>15.9084</v>
      </c>
      <c r="S315" s="17">
        <f>CHOOSE(CONTROL!$C$42, 14.2355, 14.2355) * CHOOSE(CONTROL!$C$21, $C$9, 100%, $E$9)</f>
        <v>14.2355</v>
      </c>
      <c r="T31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15" s="56">
        <f>(1000*CHOOSE(CONTROL!$C$42, 695, 695)*CHOOSE(CONTROL!$C$42, 0.5599, 0.5599)*CHOOSE(CONTROL!$C$42, 31, 31))/1000000</f>
        <v>12.063045499999998</v>
      </c>
      <c r="V315" s="56">
        <f>(1000*CHOOSE(CONTROL!$C$42, 500, 500)*CHOOSE(CONTROL!$C$42, 0.275, 0.275)*CHOOSE(CONTROL!$C$42, 31, 31))/1000000</f>
        <v>4.2625000000000002</v>
      </c>
      <c r="W315" s="56">
        <f>(1000*CHOOSE(CONTROL!$C$42, 0.0916, 0.0916)*CHOOSE(CONTROL!$C$42, 121.5, 121.5)*CHOOSE(CONTROL!$C$42, 31, 31))/1000000</f>
        <v>0.34501139999999997</v>
      </c>
      <c r="X315" s="56">
        <f>(31*0.2374*100000/1000000)</f>
        <v>0.73594000000000004</v>
      </c>
      <c r="Y315" s="56"/>
      <c r="Z315" s="17"/>
      <c r="AA315" s="55"/>
      <c r="AB315" s="48">
        <f>(B315*122.58+C315*297.941+D315*89.177+E315*140.302+F315*40+G315*60+H315*0+I315*100+J315*300)/(122.58+297.941+89.177+140.302+0+40+60+100+300)</f>
        <v>14.725742249217394</v>
      </c>
      <c r="AC315" s="45">
        <f>(M315*'RAP TEMPLATE-GAS AVAILABILITY'!O314+N315*'RAP TEMPLATE-GAS AVAILABILITY'!P314+O315*'RAP TEMPLATE-GAS AVAILABILITY'!Q314+P315*'RAP TEMPLATE-GAS AVAILABILITY'!R314)/('RAP TEMPLATE-GAS AVAILABILITY'!O314+'RAP TEMPLATE-GAS AVAILABILITY'!P314+'RAP TEMPLATE-GAS AVAILABILITY'!Q314+'RAP TEMPLATE-GAS AVAILABILITY'!R314)</f>
        <v>14.634413669064747</v>
      </c>
    </row>
    <row r="316" spans="1:29" ht="15.75" x14ac:dyDescent="0.25">
      <c r="A316" s="14">
        <v>50525</v>
      </c>
      <c r="B316" s="17">
        <f>CHOOSE(CONTROL!$C$42, 14.6472, 14.6472) * CHOOSE(CONTROL!$C$21, $C$9, 100%, $E$9)</f>
        <v>14.6472</v>
      </c>
      <c r="C316" s="17">
        <f>CHOOSE(CONTROL!$C$42, 14.6517, 14.6517) * CHOOSE(CONTROL!$C$21, $C$9, 100%, $E$9)</f>
        <v>14.6517</v>
      </c>
      <c r="D316" s="17">
        <f>CHOOSE(CONTROL!$C$42, 14.8993, 14.8993) * CHOOSE(CONTROL!$C$21, $C$9, 100%, $E$9)</f>
        <v>14.8993</v>
      </c>
      <c r="E316" s="17">
        <f>CHOOSE(CONTROL!$C$42, 14.9311, 14.9311) * CHOOSE(CONTROL!$C$21, $C$9, 100%, $E$9)</f>
        <v>14.931100000000001</v>
      </c>
      <c r="F316" s="17">
        <f>CHOOSE(CONTROL!$C$42, 14.6588, 14.6588)*CHOOSE(CONTROL!$C$21, $C$9, 100%, $E$9)</f>
        <v>14.658799999999999</v>
      </c>
      <c r="G316" s="17">
        <f>CHOOSE(CONTROL!$C$42, 14.6748, 14.6748)*CHOOSE(CONTROL!$C$21, $C$9, 100%, $E$9)</f>
        <v>14.674799999999999</v>
      </c>
      <c r="H316" s="17">
        <f>CHOOSE(CONTROL!$C$42, 14.9205, 14.9205) * CHOOSE(CONTROL!$C$21, $C$9, 100%, $E$9)</f>
        <v>14.920500000000001</v>
      </c>
      <c r="I316" s="17">
        <f>CHOOSE(CONTROL!$C$42, 14.7153, 14.7153)* CHOOSE(CONTROL!$C$21, $C$9, 100%, $E$9)</f>
        <v>14.715299999999999</v>
      </c>
      <c r="J316" s="17">
        <f>CHOOSE(CONTROL!$C$42, 14.6514, 14.6514)* CHOOSE(CONTROL!$C$21, $C$9, 100%, $E$9)</f>
        <v>14.651400000000001</v>
      </c>
      <c r="K316" s="52">
        <f>CHOOSE(CONTROL!$C$42, 14.7093, 14.7093) * CHOOSE(CONTROL!$C$21, $C$9, 100%, $E$9)</f>
        <v>14.709300000000001</v>
      </c>
      <c r="L316" s="17">
        <f>CHOOSE(CONTROL!$C$42, 15.5075, 15.5075) * CHOOSE(CONTROL!$C$21, $C$9, 100%, $E$9)</f>
        <v>15.5075</v>
      </c>
      <c r="M316" s="17">
        <f>CHOOSE(CONTROL!$C$42, 14.5267, 14.5267) * CHOOSE(CONTROL!$C$21, $C$9, 100%, $E$9)</f>
        <v>14.5267</v>
      </c>
      <c r="N316" s="17">
        <f>CHOOSE(CONTROL!$C$42, 14.5425, 14.5425) * CHOOSE(CONTROL!$C$21, $C$9, 100%, $E$9)</f>
        <v>14.5425</v>
      </c>
      <c r="O316" s="17">
        <f>CHOOSE(CONTROL!$C$42, 14.7933, 14.7933) * CHOOSE(CONTROL!$C$21, $C$9, 100%, $E$9)</f>
        <v>14.7933</v>
      </c>
      <c r="P316" s="17">
        <f>CHOOSE(CONTROL!$C$42, 14.5896, 14.5896) * CHOOSE(CONTROL!$C$21, $C$9, 100%, $E$9)</f>
        <v>14.589600000000001</v>
      </c>
      <c r="Q316" s="17">
        <f>CHOOSE(CONTROL!$C$42, 15.388, 15.388) * CHOOSE(CONTROL!$C$21, $C$9, 100%, $E$9)</f>
        <v>15.388</v>
      </c>
      <c r="R316" s="17">
        <f>CHOOSE(CONTROL!$C$42, 16.0135, 16.0135) * CHOOSE(CONTROL!$C$21, $C$9, 100%, $E$9)</f>
        <v>16.013500000000001</v>
      </c>
      <c r="S316" s="17">
        <f>CHOOSE(CONTROL!$C$42, 14.1931, 14.1931) * CHOOSE(CONTROL!$C$21, $C$9, 100%, $E$9)</f>
        <v>14.193099999999999</v>
      </c>
      <c r="T31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16" s="56">
        <f>(1000*CHOOSE(CONTROL!$C$42, 695, 695)*CHOOSE(CONTROL!$C$42, 0.5599, 0.5599)*CHOOSE(CONTROL!$C$42, 30, 30))/1000000</f>
        <v>11.673914999999997</v>
      </c>
      <c r="V316" s="56">
        <f>(1000*CHOOSE(CONTROL!$C$42, 500, 500)*CHOOSE(CONTROL!$C$42, 0.275, 0.275)*CHOOSE(CONTROL!$C$42, 30, 30))/1000000</f>
        <v>4.125</v>
      </c>
      <c r="W316" s="56">
        <f>(1000*CHOOSE(CONTROL!$C$42, 0.0916, 0.0916)*CHOOSE(CONTROL!$C$42, 121.5, 121.5)*CHOOSE(CONTROL!$C$42, 30, 30))/1000000</f>
        <v>0.33388200000000001</v>
      </c>
      <c r="X316" s="56">
        <f>(30*0.1790888*145000/1000000)+(30*0.2374*100000/1000000)</f>
        <v>1.4912362799999999</v>
      </c>
      <c r="Y316" s="56"/>
      <c r="Z316" s="17"/>
      <c r="AA316" s="55"/>
      <c r="AB316" s="48">
        <f>(B316*141.293+C316*267.993+D316*115.016+E316*189.698+F316*40+G316*85+H316*0+I316*100+J316*300)/(141.293+267.993+115.016+189.698+0+40+85+100+300)</f>
        <v>14.723823699999999</v>
      </c>
      <c r="AC316" s="45">
        <f>(M316*'RAP TEMPLATE-GAS AVAILABILITY'!O315+N316*'RAP TEMPLATE-GAS AVAILABILITY'!P315+O316*'RAP TEMPLATE-GAS AVAILABILITY'!Q315+P316*'RAP TEMPLATE-GAS AVAILABILITY'!R315)/('RAP TEMPLATE-GAS AVAILABILITY'!O315+'RAP TEMPLATE-GAS AVAILABILITY'!P315+'RAP TEMPLATE-GAS AVAILABILITY'!Q315+'RAP TEMPLATE-GAS AVAILABILITY'!R315)</f>
        <v>14.614189208633093</v>
      </c>
    </row>
    <row r="317" spans="1:29" ht="15.75" x14ac:dyDescent="0.25">
      <c r="A317" s="14">
        <v>50556</v>
      </c>
      <c r="B317" s="17">
        <f>CHOOSE(CONTROL!$C$42, 14.7778, 14.7778) * CHOOSE(CONTROL!$C$21, $C$9, 100%, $E$9)</f>
        <v>14.777799999999999</v>
      </c>
      <c r="C317" s="17">
        <f>CHOOSE(CONTROL!$C$42, 14.7857, 14.7857) * CHOOSE(CONTROL!$C$21, $C$9, 100%, $E$9)</f>
        <v>14.7857</v>
      </c>
      <c r="D317" s="17">
        <f>CHOOSE(CONTROL!$C$42, 15.0302, 15.0302) * CHOOSE(CONTROL!$C$21, $C$9, 100%, $E$9)</f>
        <v>15.030200000000001</v>
      </c>
      <c r="E317" s="17">
        <f>CHOOSE(CONTROL!$C$42, 15.0614, 15.0614) * CHOOSE(CONTROL!$C$21, $C$9, 100%, $E$9)</f>
        <v>15.061400000000001</v>
      </c>
      <c r="F317" s="17">
        <f>CHOOSE(CONTROL!$C$42, 14.7883, 14.7883)*CHOOSE(CONTROL!$C$21, $C$9, 100%, $E$9)</f>
        <v>14.7883</v>
      </c>
      <c r="G317" s="17">
        <f>CHOOSE(CONTROL!$C$42, 14.8045, 14.8045)*CHOOSE(CONTROL!$C$21, $C$9, 100%, $E$9)</f>
        <v>14.804500000000001</v>
      </c>
      <c r="H317" s="17">
        <f>CHOOSE(CONTROL!$C$42, 15.0497, 15.0497) * CHOOSE(CONTROL!$C$21, $C$9, 100%, $E$9)</f>
        <v>15.0497</v>
      </c>
      <c r="I317" s="17">
        <f>CHOOSE(CONTROL!$C$42, 14.8449, 14.8449)* CHOOSE(CONTROL!$C$21, $C$9, 100%, $E$9)</f>
        <v>14.844900000000001</v>
      </c>
      <c r="J317" s="17">
        <f>CHOOSE(CONTROL!$C$42, 14.7809, 14.7809)* CHOOSE(CONTROL!$C$21, $C$9, 100%, $E$9)</f>
        <v>14.780900000000001</v>
      </c>
      <c r="K317" s="52">
        <f>CHOOSE(CONTROL!$C$42, 14.8388, 14.8388) * CHOOSE(CONTROL!$C$21, $C$9, 100%, $E$9)</f>
        <v>14.838800000000001</v>
      </c>
      <c r="L317" s="17">
        <f>CHOOSE(CONTROL!$C$42, 15.6367, 15.6367) * CHOOSE(CONTROL!$C$21, $C$9, 100%, $E$9)</f>
        <v>15.636699999999999</v>
      </c>
      <c r="M317" s="17">
        <f>CHOOSE(CONTROL!$C$42, 14.655, 14.655) * CHOOSE(CONTROL!$C$21, $C$9, 100%, $E$9)</f>
        <v>14.654999999999999</v>
      </c>
      <c r="N317" s="17">
        <f>CHOOSE(CONTROL!$C$42, 14.671, 14.671) * CHOOSE(CONTROL!$C$21, $C$9, 100%, $E$9)</f>
        <v>14.670999999999999</v>
      </c>
      <c r="O317" s="17">
        <f>CHOOSE(CONTROL!$C$42, 14.9214, 14.9214) * CHOOSE(CONTROL!$C$21, $C$9, 100%, $E$9)</f>
        <v>14.9214</v>
      </c>
      <c r="P317" s="17">
        <f>CHOOSE(CONTROL!$C$42, 14.718, 14.718) * CHOOSE(CONTROL!$C$21, $C$9, 100%, $E$9)</f>
        <v>14.718</v>
      </c>
      <c r="Q317" s="17">
        <f>CHOOSE(CONTROL!$C$42, 15.5161, 15.5161) * CHOOSE(CONTROL!$C$21, $C$9, 100%, $E$9)</f>
        <v>15.5161</v>
      </c>
      <c r="R317" s="17">
        <f>CHOOSE(CONTROL!$C$42, 16.1418, 16.1418) * CHOOSE(CONTROL!$C$21, $C$9, 100%, $E$9)</f>
        <v>16.1418</v>
      </c>
      <c r="S317" s="17">
        <f>CHOOSE(CONTROL!$C$42, 14.3184, 14.3184) * CHOOSE(CONTROL!$C$21, $C$9, 100%, $E$9)</f>
        <v>14.3184</v>
      </c>
      <c r="T31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17" s="56">
        <f>(1000*CHOOSE(CONTROL!$C$42, 695, 695)*CHOOSE(CONTROL!$C$42, 0.5599, 0.5599)*CHOOSE(CONTROL!$C$42, 31, 31))/1000000</f>
        <v>12.063045499999998</v>
      </c>
      <c r="V317" s="56">
        <f>(1000*CHOOSE(CONTROL!$C$42, 500, 500)*CHOOSE(CONTROL!$C$42, 0.275, 0.275)*CHOOSE(CONTROL!$C$42, 31, 31))/1000000</f>
        <v>4.2625000000000002</v>
      </c>
      <c r="W317" s="56">
        <f>(1000*CHOOSE(CONTROL!$C$42, 0.0916, 0.0916)*CHOOSE(CONTROL!$C$42, 121.5, 121.5)*CHOOSE(CONTROL!$C$42, 31, 31))/1000000</f>
        <v>0.34501139999999997</v>
      </c>
      <c r="X317" s="56">
        <f>(31*0.1790888*145000/1000000)+(31*0.2374*100000/1000000)</f>
        <v>1.5409441560000001</v>
      </c>
      <c r="Y317" s="56"/>
      <c r="Z317" s="17"/>
      <c r="AA317" s="55"/>
      <c r="AB317" s="48">
        <f>(B317*194.205+C317*267.466+D317*133.845+E317*153.484+F317*40+G317*85+H317*0+I317*100+J317*300)/(194.205+267.466+133.845+153.484+0+40+85+100+300)</f>
        <v>14.848249781632653</v>
      </c>
      <c r="AC317" s="45">
        <f>(M317*'RAP TEMPLATE-GAS AVAILABILITY'!O316+N317*'RAP TEMPLATE-GAS AVAILABILITY'!P316+O317*'RAP TEMPLATE-GAS AVAILABILITY'!Q316+P317*'RAP TEMPLATE-GAS AVAILABILITY'!R316)/('RAP TEMPLATE-GAS AVAILABILITY'!O316+'RAP TEMPLATE-GAS AVAILABILITY'!P316+'RAP TEMPLATE-GAS AVAILABILITY'!Q316+'RAP TEMPLATE-GAS AVAILABILITY'!R316)</f>
        <v>14.742493525179855</v>
      </c>
    </row>
    <row r="318" spans="1:29" ht="15.75" x14ac:dyDescent="0.25">
      <c r="A318" s="14">
        <v>50586</v>
      </c>
      <c r="B318" s="17">
        <f>CHOOSE(CONTROL!$C$42, 15.1966, 15.1966) * CHOOSE(CONTROL!$C$21, $C$9, 100%, $E$9)</f>
        <v>15.1966</v>
      </c>
      <c r="C318" s="17">
        <f>CHOOSE(CONTROL!$C$42, 15.2046, 15.2046) * CHOOSE(CONTROL!$C$21, $C$9, 100%, $E$9)</f>
        <v>15.204599999999999</v>
      </c>
      <c r="D318" s="17">
        <f>CHOOSE(CONTROL!$C$42, 15.449, 15.449) * CHOOSE(CONTROL!$C$21, $C$9, 100%, $E$9)</f>
        <v>15.449</v>
      </c>
      <c r="E318" s="17">
        <f>CHOOSE(CONTROL!$C$42, 15.4802, 15.4802) * CHOOSE(CONTROL!$C$21, $C$9, 100%, $E$9)</f>
        <v>15.4802</v>
      </c>
      <c r="F318" s="17">
        <f>CHOOSE(CONTROL!$C$42, 15.2074, 15.2074)*CHOOSE(CONTROL!$C$21, $C$9, 100%, $E$9)</f>
        <v>15.2074</v>
      </c>
      <c r="G318" s="17">
        <f>CHOOSE(CONTROL!$C$42, 15.2238, 15.2238)*CHOOSE(CONTROL!$C$21, $C$9, 100%, $E$9)</f>
        <v>15.223800000000001</v>
      </c>
      <c r="H318" s="17">
        <f>CHOOSE(CONTROL!$C$42, 15.4685, 15.4685) * CHOOSE(CONTROL!$C$21, $C$9, 100%, $E$9)</f>
        <v>15.468500000000001</v>
      </c>
      <c r="I318" s="17">
        <f>CHOOSE(CONTROL!$C$42, 15.265, 15.265)* CHOOSE(CONTROL!$C$21, $C$9, 100%, $E$9)</f>
        <v>15.265000000000001</v>
      </c>
      <c r="J318" s="17">
        <f>CHOOSE(CONTROL!$C$42, 15.2, 15.2)* CHOOSE(CONTROL!$C$21, $C$9, 100%, $E$9)</f>
        <v>15.2</v>
      </c>
      <c r="K318" s="52">
        <f>CHOOSE(CONTROL!$C$42, 15.259, 15.259) * CHOOSE(CONTROL!$C$21, $C$9, 100%, $E$9)</f>
        <v>15.259</v>
      </c>
      <c r="L318" s="17">
        <f>CHOOSE(CONTROL!$C$42, 16.0555, 16.0555) * CHOOSE(CONTROL!$C$21, $C$9, 100%, $E$9)</f>
        <v>16.055499999999999</v>
      </c>
      <c r="M318" s="17">
        <f>CHOOSE(CONTROL!$C$42, 15.0704, 15.0704) * CHOOSE(CONTROL!$C$21, $C$9, 100%, $E$9)</f>
        <v>15.070399999999999</v>
      </c>
      <c r="N318" s="17">
        <f>CHOOSE(CONTROL!$C$42, 15.0865, 15.0865) * CHOOSE(CONTROL!$C$21, $C$9, 100%, $E$9)</f>
        <v>15.086499999999999</v>
      </c>
      <c r="O318" s="17">
        <f>CHOOSE(CONTROL!$C$42, 15.3364, 15.3364) * CHOOSE(CONTROL!$C$21, $C$9, 100%, $E$9)</f>
        <v>15.336399999999999</v>
      </c>
      <c r="P318" s="17">
        <f>CHOOSE(CONTROL!$C$42, 15.1343, 15.1343) * CHOOSE(CONTROL!$C$21, $C$9, 100%, $E$9)</f>
        <v>15.1343</v>
      </c>
      <c r="Q318" s="17">
        <f>CHOOSE(CONTROL!$C$42, 15.9311, 15.9311) * CHOOSE(CONTROL!$C$21, $C$9, 100%, $E$9)</f>
        <v>15.931100000000001</v>
      </c>
      <c r="R318" s="17">
        <f>CHOOSE(CONTROL!$C$42, 16.5579, 16.5579) * CHOOSE(CONTROL!$C$21, $C$9, 100%, $E$9)</f>
        <v>16.5579</v>
      </c>
      <c r="S318" s="17">
        <f>CHOOSE(CONTROL!$C$42, 14.7245, 14.7245) * CHOOSE(CONTROL!$C$21, $C$9, 100%, $E$9)</f>
        <v>14.724500000000001</v>
      </c>
      <c r="T31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18" s="56">
        <f>(1000*CHOOSE(CONTROL!$C$42, 695, 695)*CHOOSE(CONTROL!$C$42, 0.5599, 0.5599)*CHOOSE(CONTROL!$C$42, 30, 30))/1000000</f>
        <v>11.673914999999997</v>
      </c>
      <c r="V318" s="56">
        <f>(1000*CHOOSE(CONTROL!$C$42, 500, 500)*CHOOSE(CONTROL!$C$42, 0.275, 0.275)*CHOOSE(CONTROL!$C$42, 30, 30))/1000000</f>
        <v>4.125</v>
      </c>
      <c r="W318" s="56">
        <f>(1000*CHOOSE(CONTROL!$C$42, 0.0916, 0.0916)*CHOOSE(CONTROL!$C$42, 121.5, 121.5)*CHOOSE(CONTROL!$C$42, 30, 30))/1000000</f>
        <v>0.33388200000000001</v>
      </c>
      <c r="X318" s="56">
        <f>(30*0.1790888*145000/1000000)+(30*0.2374*100000/1000000)</f>
        <v>1.4912362799999999</v>
      </c>
      <c r="Y318" s="56"/>
      <c r="Z318" s="17"/>
      <c r="AA318" s="55"/>
      <c r="AB318" s="48">
        <f>(B318*194.205+C318*267.466+D318*133.845+E318*153.484+F318*40+G318*85+H318*0+I318*100+J318*300)/(194.205+267.466+133.845+153.484+0+40+85+100+300)</f>
        <v>15.267286238932497</v>
      </c>
      <c r="AC318" s="45">
        <f>(M318*'RAP TEMPLATE-GAS AVAILABILITY'!O317+N318*'RAP TEMPLATE-GAS AVAILABILITY'!P317+O318*'RAP TEMPLATE-GAS AVAILABILITY'!Q317+P318*'RAP TEMPLATE-GAS AVAILABILITY'!R317)/('RAP TEMPLATE-GAS AVAILABILITY'!O317+'RAP TEMPLATE-GAS AVAILABILITY'!P317+'RAP TEMPLATE-GAS AVAILABILITY'!Q317+'RAP TEMPLATE-GAS AVAILABILITY'!R317)</f>
        <v>15.15793381294964</v>
      </c>
    </row>
    <row r="319" spans="1:29" ht="15.75" x14ac:dyDescent="0.25">
      <c r="A319" s="14">
        <v>50617</v>
      </c>
      <c r="B319" s="17">
        <f>CHOOSE(CONTROL!$C$42, 14.9053, 14.9053) * CHOOSE(CONTROL!$C$21, $C$9, 100%, $E$9)</f>
        <v>14.9053</v>
      </c>
      <c r="C319" s="17">
        <f>CHOOSE(CONTROL!$C$42, 14.9133, 14.9133) * CHOOSE(CONTROL!$C$21, $C$9, 100%, $E$9)</f>
        <v>14.9133</v>
      </c>
      <c r="D319" s="17">
        <f>CHOOSE(CONTROL!$C$42, 15.1577, 15.1577) * CHOOSE(CONTROL!$C$21, $C$9, 100%, $E$9)</f>
        <v>15.1577</v>
      </c>
      <c r="E319" s="17">
        <f>CHOOSE(CONTROL!$C$42, 15.1889, 15.1889) * CHOOSE(CONTROL!$C$21, $C$9, 100%, $E$9)</f>
        <v>15.1889</v>
      </c>
      <c r="F319" s="17">
        <f>CHOOSE(CONTROL!$C$42, 14.9166, 14.9166)*CHOOSE(CONTROL!$C$21, $C$9, 100%, $E$9)</f>
        <v>14.916600000000001</v>
      </c>
      <c r="G319" s="17">
        <f>CHOOSE(CONTROL!$C$42, 14.933, 14.933)*CHOOSE(CONTROL!$C$21, $C$9, 100%, $E$9)</f>
        <v>14.933</v>
      </c>
      <c r="H319" s="17">
        <f>CHOOSE(CONTROL!$C$42, 15.1772, 15.1772) * CHOOSE(CONTROL!$C$21, $C$9, 100%, $E$9)</f>
        <v>15.177199999999999</v>
      </c>
      <c r="I319" s="17">
        <f>CHOOSE(CONTROL!$C$42, 14.9728, 14.9728)* CHOOSE(CONTROL!$C$21, $C$9, 100%, $E$9)</f>
        <v>14.972799999999999</v>
      </c>
      <c r="J319" s="17">
        <f>CHOOSE(CONTROL!$C$42, 14.9092, 14.9092)* CHOOSE(CONTROL!$C$21, $C$9, 100%, $E$9)</f>
        <v>14.9092</v>
      </c>
      <c r="K319" s="52">
        <f>CHOOSE(CONTROL!$C$42, 14.9668, 14.9668) * CHOOSE(CONTROL!$C$21, $C$9, 100%, $E$9)</f>
        <v>14.966799999999999</v>
      </c>
      <c r="L319" s="17">
        <f>CHOOSE(CONTROL!$C$42, 15.7642, 15.7642) * CHOOSE(CONTROL!$C$21, $C$9, 100%, $E$9)</f>
        <v>15.764200000000001</v>
      </c>
      <c r="M319" s="17">
        <f>CHOOSE(CONTROL!$C$42, 14.7821, 14.7821) * CHOOSE(CONTROL!$C$21, $C$9, 100%, $E$9)</f>
        <v>14.7821</v>
      </c>
      <c r="N319" s="17">
        <f>CHOOSE(CONTROL!$C$42, 14.7984, 14.7984) * CHOOSE(CONTROL!$C$21, $C$9, 100%, $E$9)</f>
        <v>14.798400000000001</v>
      </c>
      <c r="O319" s="17">
        <f>CHOOSE(CONTROL!$C$42, 15.0477, 15.0477) * CHOOSE(CONTROL!$C$21, $C$9, 100%, $E$9)</f>
        <v>15.047700000000001</v>
      </c>
      <c r="P319" s="17">
        <f>CHOOSE(CONTROL!$C$42, 14.8448, 14.8448) * CHOOSE(CONTROL!$C$21, $C$9, 100%, $E$9)</f>
        <v>14.844799999999999</v>
      </c>
      <c r="Q319" s="17">
        <f>CHOOSE(CONTROL!$C$42, 15.6424, 15.6424) * CHOOSE(CONTROL!$C$21, $C$9, 100%, $E$9)</f>
        <v>15.6424</v>
      </c>
      <c r="R319" s="17">
        <f>CHOOSE(CONTROL!$C$42, 16.2685, 16.2685) * CHOOSE(CONTROL!$C$21, $C$9, 100%, $E$9)</f>
        <v>16.2685</v>
      </c>
      <c r="S319" s="17">
        <f>CHOOSE(CONTROL!$C$42, 14.4421, 14.4421) * CHOOSE(CONTROL!$C$21, $C$9, 100%, $E$9)</f>
        <v>14.4421</v>
      </c>
      <c r="T31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19" s="56">
        <f>(1000*CHOOSE(CONTROL!$C$42, 695, 695)*CHOOSE(CONTROL!$C$42, 0.5599, 0.5599)*CHOOSE(CONTROL!$C$42, 31, 31))/1000000</f>
        <v>12.063045499999998</v>
      </c>
      <c r="V319" s="56">
        <f>(1000*CHOOSE(CONTROL!$C$42, 500, 500)*CHOOSE(CONTROL!$C$42, 0.275, 0.275)*CHOOSE(CONTROL!$C$42, 31, 31))/1000000</f>
        <v>4.2625000000000002</v>
      </c>
      <c r="W319" s="56">
        <f>(1000*CHOOSE(CONTROL!$C$42, 0.0916, 0.0916)*CHOOSE(CONTROL!$C$42, 121.5, 121.5)*CHOOSE(CONTROL!$C$42, 31, 31))/1000000</f>
        <v>0.34501139999999997</v>
      </c>
      <c r="X319" s="56">
        <f>(31*0.1790888*145000/1000000)+(31*0.2374*100000/1000000)</f>
        <v>1.5409441560000001</v>
      </c>
      <c r="Y319" s="56"/>
      <c r="Z319" s="17"/>
      <c r="AA319" s="55"/>
      <c r="AB319" s="48">
        <f>(B319*194.205+C319*267.466+D319*133.845+E319*153.484+F319*40+G319*85+H319*0+I319*100+J319*300)/(194.205+267.466+133.845+153.484+0+40+85+100+300)</f>
        <v>14.976082392778652</v>
      </c>
      <c r="AC319" s="45">
        <f>(M319*'RAP TEMPLATE-GAS AVAILABILITY'!O318+N319*'RAP TEMPLATE-GAS AVAILABILITY'!P318+O319*'RAP TEMPLATE-GAS AVAILABILITY'!Q318+P319*'RAP TEMPLATE-GAS AVAILABILITY'!R318)/('RAP TEMPLATE-GAS AVAILABILITY'!O318+'RAP TEMPLATE-GAS AVAILABILITY'!P318+'RAP TEMPLATE-GAS AVAILABILITY'!Q318+'RAP TEMPLATE-GAS AVAILABILITY'!R318)</f>
        <v>14.869394964028777</v>
      </c>
    </row>
    <row r="320" spans="1:29" ht="15.75" x14ac:dyDescent="0.25">
      <c r="A320" s="14">
        <v>50648</v>
      </c>
      <c r="B320" s="17">
        <f>CHOOSE(CONTROL!$C$42, 14.1697, 14.1697) * CHOOSE(CONTROL!$C$21, $C$9, 100%, $E$9)</f>
        <v>14.169700000000001</v>
      </c>
      <c r="C320" s="17">
        <f>CHOOSE(CONTROL!$C$42, 14.1776, 14.1776) * CHOOSE(CONTROL!$C$21, $C$9, 100%, $E$9)</f>
        <v>14.1776</v>
      </c>
      <c r="D320" s="17">
        <f>CHOOSE(CONTROL!$C$42, 14.4221, 14.4221) * CHOOSE(CONTROL!$C$21, $C$9, 100%, $E$9)</f>
        <v>14.4221</v>
      </c>
      <c r="E320" s="17">
        <f>CHOOSE(CONTROL!$C$42, 14.4533, 14.4533) * CHOOSE(CONTROL!$C$21, $C$9, 100%, $E$9)</f>
        <v>14.4533</v>
      </c>
      <c r="F320" s="17">
        <f>CHOOSE(CONTROL!$C$42, 14.1812, 14.1812)*CHOOSE(CONTROL!$C$21, $C$9, 100%, $E$9)</f>
        <v>14.1812</v>
      </c>
      <c r="G320" s="17">
        <f>CHOOSE(CONTROL!$C$42, 14.1977, 14.1977)*CHOOSE(CONTROL!$C$21, $C$9, 100%, $E$9)</f>
        <v>14.197699999999999</v>
      </c>
      <c r="H320" s="17">
        <f>CHOOSE(CONTROL!$C$42, 14.4416, 14.4416) * CHOOSE(CONTROL!$C$21, $C$9, 100%, $E$9)</f>
        <v>14.441599999999999</v>
      </c>
      <c r="I320" s="17">
        <f>CHOOSE(CONTROL!$C$42, 14.2349, 14.2349)* CHOOSE(CONTROL!$C$21, $C$9, 100%, $E$9)</f>
        <v>14.2349</v>
      </c>
      <c r="J320" s="17">
        <f>CHOOSE(CONTROL!$C$42, 14.1738, 14.1738)* CHOOSE(CONTROL!$C$21, $C$9, 100%, $E$9)</f>
        <v>14.1738</v>
      </c>
      <c r="K320" s="52">
        <f>CHOOSE(CONTROL!$C$42, 14.2289, 14.2289) * CHOOSE(CONTROL!$C$21, $C$9, 100%, $E$9)</f>
        <v>14.228899999999999</v>
      </c>
      <c r="L320" s="17">
        <f>CHOOSE(CONTROL!$C$42, 15.0286, 15.0286) * CHOOSE(CONTROL!$C$21, $C$9, 100%, $E$9)</f>
        <v>15.028600000000001</v>
      </c>
      <c r="M320" s="17">
        <f>CHOOSE(CONTROL!$C$42, 14.0534, 14.0534) * CHOOSE(CONTROL!$C$21, $C$9, 100%, $E$9)</f>
        <v>14.0534</v>
      </c>
      <c r="N320" s="17">
        <f>CHOOSE(CONTROL!$C$42, 14.0697, 14.0697) * CHOOSE(CONTROL!$C$21, $C$9, 100%, $E$9)</f>
        <v>14.069699999999999</v>
      </c>
      <c r="O320" s="17">
        <f>CHOOSE(CONTROL!$C$42, 14.3187, 14.3187) * CHOOSE(CONTROL!$C$21, $C$9, 100%, $E$9)</f>
        <v>14.3187</v>
      </c>
      <c r="P320" s="17">
        <f>CHOOSE(CONTROL!$C$42, 14.1135, 14.1135) * CHOOSE(CONTROL!$C$21, $C$9, 100%, $E$9)</f>
        <v>14.1135</v>
      </c>
      <c r="Q320" s="17">
        <f>CHOOSE(CONTROL!$C$42, 14.9134, 14.9134) * CHOOSE(CONTROL!$C$21, $C$9, 100%, $E$9)</f>
        <v>14.913399999999999</v>
      </c>
      <c r="R320" s="17">
        <f>CHOOSE(CONTROL!$C$42, 15.5377, 15.5377) * CHOOSE(CONTROL!$C$21, $C$9, 100%, $E$9)</f>
        <v>15.537699999999999</v>
      </c>
      <c r="S320" s="17">
        <f>CHOOSE(CONTROL!$C$42, 13.7287, 13.7287) * CHOOSE(CONTROL!$C$21, $C$9, 100%, $E$9)</f>
        <v>13.7287</v>
      </c>
      <c r="T32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20" s="56">
        <f>(1000*CHOOSE(CONTROL!$C$42, 695, 695)*CHOOSE(CONTROL!$C$42, 0.5599, 0.5599)*CHOOSE(CONTROL!$C$42, 31, 31))/1000000</f>
        <v>12.063045499999998</v>
      </c>
      <c r="V320" s="56">
        <f>(1000*CHOOSE(CONTROL!$C$42, 500, 500)*CHOOSE(CONTROL!$C$42, 0.275, 0.275)*CHOOSE(CONTROL!$C$42, 31, 31))/1000000</f>
        <v>4.2625000000000002</v>
      </c>
      <c r="W320" s="56">
        <f>(1000*CHOOSE(CONTROL!$C$42, 0.0916, 0.0916)*CHOOSE(CONTROL!$C$42, 121.5, 121.5)*CHOOSE(CONTROL!$C$42, 31, 31))/1000000</f>
        <v>0.34501139999999997</v>
      </c>
      <c r="X320" s="56">
        <f>(31*0.1790888*145000/1000000)+(31*0.2374*100000/1000000)</f>
        <v>1.5409441560000001</v>
      </c>
      <c r="Y320" s="56"/>
      <c r="Z320" s="17"/>
      <c r="AA320" s="55"/>
      <c r="AB320" s="48">
        <f>(B320*194.205+C320*267.466+D320*133.845+E320*153.484+F320*40+G320*85+H320*0+I320*100+J320*300)/(194.205+267.466+133.845+153.484+0+40+85+100+300)</f>
        <v>14.240354255729985</v>
      </c>
      <c r="AC320" s="45">
        <f>(M320*'RAP TEMPLATE-GAS AVAILABILITY'!O319+N320*'RAP TEMPLATE-GAS AVAILABILITY'!P319+O320*'RAP TEMPLATE-GAS AVAILABILITY'!Q319+P320*'RAP TEMPLATE-GAS AVAILABILITY'!R319)/('RAP TEMPLATE-GAS AVAILABILITY'!O319+'RAP TEMPLATE-GAS AVAILABILITY'!P319+'RAP TEMPLATE-GAS AVAILABILITY'!Q319+'RAP TEMPLATE-GAS AVAILABILITY'!R319)</f>
        <v>14.140236690647482</v>
      </c>
    </row>
    <row r="321" spans="1:29" ht="15.75" x14ac:dyDescent="0.25">
      <c r="A321" s="14">
        <v>50678</v>
      </c>
      <c r="B321" s="17">
        <f>CHOOSE(CONTROL!$C$42, 13.2707, 13.2707) * CHOOSE(CONTROL!$C$21, $C$9, 100%, $E$9)</f>
        <v>13.2707</v>
      </c>
      <c r="C321" s="17">
        <f>CHOOSE(CONTROL!$C$42, 13.2786, 13.2786) * CHOOSE(CONTROL!$C$21, $C$9, 100%, $E$9)</f>
        <v>13.278600000000001</v>
      </c>
      <c r="D321" s="17">
        <f>CHOOSE(CONTROL!$C$42, 13.5231, 13.5231) * CHOOSE(CONTROL!$C$21, $C$9, 100%, $E$9)</f>
        <v>13.523099999999999</v>
      </c>
      <c r="E321" s="17">
        <f>CHOOSE(CONTROL!$C$42, 13.5543, 13.5543) * CHOOSE(CONTROL!$C$21, $C$9, 100%, $E$9)</f>
        <v>13.5543</v>
      </c>
      <c r="F321" s="17">
        <f>CHOOSE(CONTROL!$C$42, 13.2823, 13.2823)*CHOOSE(CONTROL!$C$21, $C$9, 100%, $E$9)</f>
        <v>13.282299999999999</v>
      </c>
      <c r="G321" s="17">
        <f>CHOOSE(CONTROL!$C$42, 13.2988, 13.2988)*CHOOSE(CONTROL!$C$21, $C$9, 100%, $E$9)</f>
        <v>13.2988</v>
      </c>
      <c r="H321" s="17">
        <f>CHOOSE(CONTROL!$C$42, 13.5426, 13.5426) * CHOOSE(CONTROL!$C$21, $C$9, 100%, $E$9)</f>
        <v>13.5426</v>
      </c>
      <c r="I321" s="17">
        <f>CHOOSE(CONTROL!$C$42, 13.3331, 13.3331)* CHOOSE(CONTROL!$C$21, $C$9, 100%, $E$9)</f>
        <v>13.3331</v>
      </c>
      <c r="J321" s="17">
        <f>CHOOSE(CONTROL!$C$42, 13.2749, 13.2749)* CHOOSE(CONTROL!$C$21, $C$9, 100%, $E$9)</f>
        <v>13.274900000000001</v>
      </c>
      <c r="K321" s="52">
        <f>CHOOSE(CONTROL!$C$42, 13.3271, 13.3271) * CHOOSE(CONTROL!$C$21, $C$9, 100%, $E$9)</f>
        <v>13.3271</v>
      </c>
      <c r="L321" s="17">
        <f>CHOOSE(CONTROL!$C$42, 14.1296, 14.1296) * CHOOSE(CONTROL!$C$21, $C$9, 100%, $E$9)</f>
        <v>14.1296</v>
      </c>
      <c r="M321" s="17">
        <f>CHOOSE(CONTROL!$C$42, 13.1625, 13.1625) * CHOOSE(CONTROL!$C$21, $C$9, 100%, $E$9)</f>
        <v>13.1625</v>
      </c>
      <c r="N321" s="17">
        <f>CHOOSE(CONTROL!$C$42, 13.1789, 13.1789) * CHOOSE(CONTROL!$C$21, $C$9, 100%, $E$9)</f>
        <v>13.178900000000001</v>
      </c>
      <c r="O321" s="17">
        <f>CHOOSE(CONTROL!$C$42, 13.4278, 13.4278) * CHOOSE(CONTROL!$C$21, $C$9, 100%, $E$9)</f>
        <v>13.4278</v>
      </c>
      <c r="P321" s="17">
        <f>CHOOSE(CONTROL!$C$42, 13.2199, 13.2199) * CHOOSE(CONTROL!$C$21, $C$9, 100%, $E$9)</f>
        <v>13.219900000000001</v>
      </c>
      <c r="Q321" s="17">
        <f>CHOOSE(CONTROL!$C$42, 14.0225, 14.0225) * CHOOSE(CONTROL!$C$21, $C$9, 100%, $E$9)</f>
        <v>14.022500000000001</v>
      </c>
      <c r="R321" s="17">
        <f>CHOOSE(CONTROL!$C$42, 14.6446, 14.6446) * CHOOSE(CONTROL!$C$21, $C$9, 100%, $E$9)</f>
        <v>14.644600000000001</v>
      </c>
      <c r="S321" s="17">
        <f>CHOOSE(CONTROL!$C$42, 12.857, 12.857) * CHOOSE(CONTROL!$C$21, $C$9, 100%, $E$9)</f>
        <v>12.856999999999999</v>
      </c>
      <c r="T32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21" s="56">
        <f>(1000*CHOOSE(CONTROL!$C$42, 695, 695)*CHOOSE(CONTROL!$C$42, 0.5599, 0.5599)*CHOOSE(CONTROL!$C$42, 30, 30))/1000000</f>
        <v>11.673914999999997</v>
      </c>
      <c r="V321" s="56">
        <f>(1000*CHOOSE(CONTROL!$C$42, 500, 500)*CHOOSE(CONTROL!$C$42, 0.275, 0.275)*CHOOSE(CONTROL!$C$42, 30, 30))/1000000</f>
        <v>4.125</v>
      </c>
      <c r="W321" s="56">
        <f>(1000*CHOOSE(CONTROL!$C$42, 0.0916, 0.0916)*CHOOSE(CONTROL!$C$42, 121.5, 121.5)*CHOOSE(CONTROL!$C$42, 30, 30))/1000000</f>
        <v>0.33388200000000001</v>
      </c>
      <c r="X321" s="56">
        <f>(30*0.1790888*145000/1000000)+(30*0.2374*100000/1000000)</f>
        <v>1.4912362799999999</v>
      </c>
      <c r="Y321" s="56"/>
      <c r="Z321" s="17"/>
      <c r="AA321" s="55"/>
      <c r="AB321" s="48">
        <f>(B321*194.205+C321*267.466+D321*133.845+E321*153.484+F321*40+G321*85+H321*0+I321*100+J321*300)/(194.205+267.466+133.845+153.484+0+40+85+100+300)</f>
        <v>13.341167835007848</v>
      </c>
      <c r="AC321" s="45">
        <f>(M321*'RAP TEMPLATE-GAS AVAILABILITY'!O320+N321*'RAP TEMPLATE-GAS AVAILABILITY'!P320+O321*'RAP TEMPLATE-GAS AVAILABILITY'!Q320+P321*'RAP TEMPLATE-GAS AVAILABILITY'!R320)/('RAP TEMPLATE-GAS AVAILABILITY'!O320+'RAP TEMPLATE-GAS AVAILABILITY'!P320+'RAP TEMPLATE-GAS AVAILABILITY'!Q320+'RAP TEMPLATE-GAS AVAILABILITY'!R320)</f>
        <v>13.248971223021583</v>
      </c>
    </row>
    <row r="322" spans="1:29" ht="15.75" x14ac:dyDescent="0.25">
      <c r="A322" s="14">
        <v>50709</v>
      </c>
      <c r="B322" s="17">
        <f>CHOOSE(CONTROL!$C$42, 12.9997, 12.9997) * CHOOSE(CONTROL!$C$21, $C$9, 100%, $E$9)</f>
        <v>12.999700000000001</v>
      </c>
      <c r="C322" s="17">
        <f>CHOOSE(CONTROL!$C$42, 13.0051, 13.0051) * CHOOSE(CONTROL!$C$21, $C$9, 100%, $E$9)</f>
        <v>13.005100000000001</v>
      </c>
      <c r="D322" s="17">
        <f>CHOOSE(CONTROL!$C$42, 13.2544, 13.2544) * CHOOSE(CONTROL!$C$21, $C$9, 100%, $E$9)</f>
        <v>13.2544</v>
      </c>
      <c r="E322" s="17">
        <f>CHOOSE(CONTROL!$C$42, 13.2833, 13.2833) * CHOOSE(CONTROL!$C$21, $C$9, 100%, $E$9)</f>
        <v>13.283300000000001</v>
      </c>
      <c r="F322" s="17">
        <f>CHOOSE(CONTROL!$C$42, 13.0135, 13.0135)*CHOOSE(CONTROL!$C$21, $C$9, 100%, $E$9)</f>
        <v>13.013500000000001</v>
      </c>
      <c r="G322" s="17">
        <f>CHOOSE(CONTROL!$C$42, 13.03, 13.03)*CHOOSE(CONTROL!$C$21, $C$9, 100%, $E$9)</f>
        <v>13.03</v>
      </c>
      <c r="H322" s="17">
        <f>CHOOSE(CONTROL!$C$42, 13.2734, 13.2734) * CHOOSE(CONTROL!$C$21, $C$9, 100%, $E$9)</f>
        <v>13.273400000000001</v>
      </c>
      <c r="I322" s="17">
        <f>CHOOSE(CONTROL!$C$42, 13.0631, 13.0631)* CHOOSE(CONTROL!$C$21, $C$9, 100%, $E$9)</f>
        <v>13.0631</v>
      </c>
      <c r="J322" s="17">
        <f>CHOOSE(CONTROL!$C$42, 13.0061, 13.0061)* CHOOSE(CONTROL!$C$21, $C$9, 100%, $E$9)</f>
        <v>13.0061</v>
      </c>
      <c r="K322" s="52">
        <f>CHOOSE(CONTROL!$C$42, 13.057, 13.057) * CHOOSE(CONTROL!$C$21, $C$9, 100%, $E$9)</f>
        <v>13.057</v>
      </c>
      <c r="L322" s="17">
        <f>CHOOSE(CONTROL!$C$42, 13.8604, 13.8604) * CHOOSE(CONTROL!$C$21, $C$9, 100%, $E$9)</f>
        <v>13.8604</v>
      </c>
      <c r="M322" s="17">
        <f>CHOOSE(CONTROL!$C$42, 12.8962, 12.8962) * CHOOSE(CONTROL!$C$21, $C$9, 100%, $E$9)</f>
        <v>12.8962</v>
      </c>
      <c r="N322" s="17">
        <f>CHOOSE(CONTROL!$C$42, 12.9124, 12.9124) * CHOOSE(CONTROL!$C$21, $C$9, 100%, $E$9)</f>
        <v>12.9124</v>
      </c>
      <c r="O322" s="17">
        <f>CHOOSE(CONTROL!$C$42, 13.161, 13.161) * CHOOSE(CONTROL!$C$21, $C$9, 100%, $E$9)</f>
        <v>13.161</v>
      </c>
      <c r="P322" s="17">
        <f>CHOOSE(CONTROL!$C$42, 12.9523, 12.9523) * CHOOSE(CONTROL!$C$21, $C$9, 100%, $E$9)</f>
        <v>12.952299999999999</v>
      </c>
      <c r="Q322" s="17">
        <f>CHOOSE(CONTROL!$C$42, 13.7557, 13.7557) * CHOOSE(CONTROL!$C$21, $C$9, 100%, $E$9)</f>
        <v>13.755699999999999</v>
      </c>
      <c r="R322" s="17">
        <f>CHOOSE(CONTROL!$C$42, 14.3771, 14.3771) * CHOOSE(CONTROL!$C$21, $C$9, 100%, $E$9)</f>
        <v>14.3771</v>
      </c>
      <c r="S322" s="17">
        <f>CHOOSE(CONTROL!$C$42, 12.5959, 12.5959) * CHOOSE(CONTROL!$C$21, $C$9, 100%, $E$9)</f>
        <v>12.5959</v>
      </c>
      <c r="T32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22" s="56">
        <f>(1000*CHOOSE(CONTROL!$C$42, 695, 695)*CHOOSE(CONTROL!$C$42, 0.5599, 0.5599)*CHOOSE(CONTROL!$C$42, 31, 31))/1000000</f>
        <v>12.063045499999998</v>
      </c>
      <c r="V322" s="56">
        <f>(1000*CHOOSE(CONTROL!$C$42, 500, 500)*CHOOSE(CONTROL!$C$42, 0.275, 0.275)*CHOOSE(CONTROL!$C$42, 31, 31))/1000000</f>
        <v>4.2625000000000002</v>
      </c>
      <c r="W322" s="56">
        <f>(1000*CHOOSE(CONTROL!$C$42, 0.0916, 0.0916)*CHOOSE(CONTROL!$C$42, 121.5, 121.5)*CHOOSE(CONTROL!$C$42, 31, 31))/1000000</f>
        <v>0.34501139999999997</v>
      </c>
      <c r="X322" s="56">
        <f>(31*0.1790888*145000/1000000)+(31*0.2374*100000/1000000)</f>
        <v>1.5409441560000001</v>
      </c>
      <c r="Y322" s="56"/>
      <c r="Z322" s="17"/>
      <c r="AA322" s="55"/>
      <c r="AB322" s="48">
        <f>(B322*131.881+C322*277.167+D322*79.08+E322*225.872+F322*40+G322*85+H322*0+I322*100+J322*300)/(131.881+277.167+79.08+225.872+0+40+85+100+300)</f>
        <v>13.07805607506053</v>
      </c>
      <c r="AC322" s="45">
        <f>(M322*'RAP TEMPLATE-GAS AVAILABILITY'!O321+N322*'RAP TEMPLATE-GAS AVAILABILITY'!P321+O322*'RAP TEMPLATE-GAS AVAILABILITY'!Q321+P322*'RAP TEMPLATE-GAS AVAILABILITY'!R321)/('RAP TEMPLATE-GAS AVAILABILITY'!O321+'RAP TEMPLATE-GAS AVAILABILITY'!P321+'RAP TEMPLATE-GAS AVAILABILITY'!Q321+'RAP TEMPLATE-GAS AVAILABILITY'!R321)</f>
        <v>12.982297841726618</v>
      </c>
    </row>
    <row r="323" spans="1:29" ht="15.75" x14ac:dyDescent="0.25">
      <c r="A323" s="14">
        <v>50739</v>
      </c>
      <c r="B323" s="17">
        <f>CHOOSE(CONTROL!$C$42, 13.3415, 13.3415) * CHOOSE(CONTROL!$C$21, $C$9, 100%, $E$9)</f>
        <v>13.3415</v>
      </c>
      <c r="C323" s="17">
        <f>CHOOSE(CONTROL!$C$42, 13.3466, 13.3466) * CHOOSE(CONTROL!$C$21, $C$9, 100%, $E$9)</f>
        <v>13.3466</v>
      </c>
      <c r="D323" s="17">
        <f>CHOOSE(CONTROL!$C$42, 13.428, 13.428) * CHOOSE(CONTROL!$C$21, $C$9, 100%, $E$9)</f>
        <v>13.428000000000001</v>
      </c>
      <c r="E323" s="17">
        <f>CHOOSE(CONTROL!$C$42, 13.4617, 13.4617) * CHOOSE(CONTROL!$C$21, $C$9, 100%, $E$9)</f>
        <v>13.4617</v>
      </c>
      <c r="F323" s="17">
        <f>CHOOSE(CONTROL!$C$42, 13.3595, 13.3595)*CHOOSE(CONTROL!$C$21, $C$9, 100%, $E$9)</f>
        <v>13.359500000000001</v>
      </c>
      <c r="G323" s="17">
        <f>CHOOSE(CONTROL!$C$42, 13.3762, 13.3762)*CHOOSE(CONTROL!$C$21, $C$9, 100%, $E$9)</f>
        <v>13.376200000000001</v>
      </c>
      <c r="H323" s="17">
        <f>CHOOSE(CONTROL!$C$42, 13.4506, 13.4506) * CHOOSE(CONTROL!$C$21, $C$9, 100%, $E$9)</f>
        <v>13.4506</v>
      </c>
      <c r="I323" s="17">
        <f>CHOOSE(CONTROL!$C$42, 13.4079, 13.4079)* CHOOSE(CONTROL!$C$21, $C$9, 100%, $E$9)</f>
        <v>13.4079</v>
      </c>
      <c r="J323" s="17">
        <f>CHOOSE(CONTROL!$C$42, 13.3521, 13.3521)* CHOOSE(CONTROL!$C$21, $C$9, 100%, $E$9)</f>
        <v>13.3521</v>
      </c>
      <c r="K323" s="52">
        <f>CHOOSE(CONTROL!$C$42, 13.4018, 13.4018) * CHOOSE(CONTROL!$C$21, $C$9, 100%, $E$9)</f>
        <v>13.4018</v>
      </c>
      <c r="L323" s="17">
        <f>CHOOSE(CONTROL!$C$42, 14.0376, 14.0376) * CHOOSE(CONTROL!$C$21, $C$9, 100%, $E$9)</f>
        <v>14.037599999999999</v>
      </c>
      <c r="M323" s="17">
        <f>CHOOSE(CONTROL!$C$42, 13.239, 13.239) * CHOOSE(CONTROL!$C$21, $C$9, 100%, $E$9)</f>
        <v>13.239000000000001</v>
      </c>
      <c r="N323" s="17">
        <f>CHOOSE(CONTROL!$C$42, 13.2556, 13.2556) * CHOOSE(CONTROL!$C$21, $C$9, 100%, $E$9)</f>
        <v>13.255599999999999</v>
      </c>
      <c r="O323" s="17">
        <f>CHOOSE(CONTROL!$C$42, 13.3366, 13.3366) * CHOOSE(CONTROL!$C$21, $C$9, 100%, $E$9)</f>
        <v>13.336600000000001</v>
      </c>
      <c r="P323" s="17">
        <f>CHOOSE(CONTROL!$C$42, 13.294, 13.294) * CHOOSE(CONTROL!$C$21, $C$9, 100%, $E$9)</f>
        <v>13.294</v>
      </c>
      <c r="Q323" s="17">
        <f>CHOOSE(CONTROL!$C$42, 13.9313, 13.9313) * CHOOSE(CONTROL!$C$21, $C$9, 100%, $E$9)</f>
        <v>13.9313</v>
      </c>
      <c r="R323" s="17">
        <f>CHOOSE(CONTROL!$C$42, 14.5532, 14.5532) * CHOOSE(CONTROL!$C$21, $C$9, 100%, $E$9)</f>
        <v>14.5532</v>
      </c>
      <c r="S323" s="17">
        <f>CHOOSE(CONTROL!$C$42, 12.9278, 12.9278) * CHOOSE(CONTROL!$C$21, $C$9, 100%, $E$9)</f>
        <v>12.9278</v>
      </c>
      <c r="T32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23" s="56">
        <f>(1000*CHOOSE(CONTROL!$C$42, 695, 695)*CHOOSE(CONTROL!$C$42, 0.5599, 0.5599)*CHOOSE(CONTROL!$C$42, 30, 30))/1000000</f>
        <v>11.673914999999997</v>
      </c>
      <c r="V323" s="56">
        <f>(1000*CHOOSE(CONTROL!$C$42, 500, 500)*CHOOSE(CONTROL!$C$42, 0.275, 0.275)*CHOOSE(CONTROL!$C$42, 30, 30))/1000000</f>
        <v>4.125</v>
      </c>
      <c r="W323" s="56">
        <f>(1000*CHOOSE(CONTROL!$C$42, 0.0916, 0.0916)*CHOOSE(CONTROL!$C$42, 121.5, 121.5)*CHOOSE(CONTROL!$C$42, 30, 30))/1000000</f>
        <v>0.33388200000000001</v>
      </c>
      <c r="X323" s="56">
        <f>(30*0.2374*100000/1000000)</f>
        <v>0.71220000000000006</v>
      </c>
      <c r="Y323" s="56"/>
      <c r="Z323" s="17"/>
      <c r="AA323" s="55"/>
      <c r="AB323" s="48">
        <f>(B323*122.58+C323*297.941+D323*89.177+E323*140.302+F323*40+G323*60+H323*0+I323*100+J323*300)/(122.58+297.941+89.177+140.302+0+40+60+100+300)</f>
        <v>13.375169226086955</v>
      </c>
      <c r="AC323" s="45">
        <f>(M323*'RAP TEMPLATE-GAS AVAILABILITY'!O322+N323*'RAP TEMPLATE-GAS AVAILABILITY'!P322+O323*'RAP TEMPLATE-GAS AVAILABILITY'!Q322+P323*'RAP TEMPLATE-GAS AVAILABILITY'!R322)/('RAP TEMPLATE-GAS AVAILABILITY'!O322+'RAP TEMPLATE-GAS AVAILABILITY'!P322+'RAP TEMPLATE-GAS AVAILABILITY'!Q322+'RAP TEMPLATE-GAS AVAILABILITY'!R322)</f>
        <v>13.292105035971224</v>
      </c>
    </row>
    <row r="324" spans="1:29" ht="15.75" x14ac:dyDescent="0.25">
      <c r="A324" s="14">
        <v>50770</v>
      </c>
      <c r="B324" s="17">
        <f>CHOOSE(CONTROL!$C$42, 14.2504, 14.2504) * CHOOSE(CONTROL!$C$21, $C$9, 100%, $E$9)</f>
        <v>14.250400000000001</v>
      </c>
      <c r="C324" s="17">
        <f>CHOOSE(CONTROL!$C$42, 14.2555, 14.2555) * CHOOSE(CONTROL!$C$21, $C$9, 100%, $E$9)</f>
        <v>14.2555</v>
      </c>
      <c r="D324" s="17">
        <f>CHOOSE(CONTROL!$C$42, 14.3369, 14.3369) * CHOOSE(CONTROL!$C$21, $C$9, 100%, $E$9)</f>
        <v>14.3369</v>
      </c>
      <c r="E324" s="17">
        <f>CHOOSE(CONTROL!$C$42, 14.3706, 14.3706) * CHOOSE(CONTROL!$C$21, $C$9, 100%, $E$9)</f>
        <v>14.3706</v>
      </c>
      <c r="F324" s="17">
        <f>CHOOSE(CONTROL!$C$42, 14.2707, 14.2707)*CHOOSE(CONTROL!$C$21, $C$9, 100%, $E$9)</f>
        <v>14.2707</v>
      </c>
      <c r="G324" s="17">
        <f>CHOOSE(CONTROL!$C$42, 14.2881, 14.2881)*CHOOSE(CONTROL!$C$21, $C$9, 100%, $E$9)</f>
        <v>14.2881</v>
      </c>
      <c r="H324" s="17">
        <f>CHOOSE(CONTROL!$C$42, 14.3595, 14.3595) * CHOOSE(CONTROL!$C$21, $C$9, 100%, $E$9)</f>
        <v>14.359500000000001</v>
      </c>
      <c r="I324" s="17">
        <f>CHOOSE(CONTROL!$C$42, 14.3196, 14.3196)* CHOOSE(CONTROL!$C$21, $C$9, 100%, $E$9)</f>
        <v>14.319599999999999</v>
      </c>
      <c r="J324" s="17">
        <f>CHOOSE(CONTROL!$C$42, 14.2633, 14.2633)* CHOOSE(CONTROL!$C$21, $C$9, 100%, $E$9)</f>
        <v>14.263299999999999</v>
      </c>
      <c r="K324" s="52">
        <f>CHOOSE(CONTROL!$C$42, 14.3136, 14.3136) * CHOOSE(CONTROL!$C$21, $C$9, 100%, $E$9)</f>
        <v>14.313599999999999</v>
      </c>
      <c r="L324" s="17">
        <f>CHOOSE(CONTROL!$C$42, 14.9465, 14.9465) * CHOOSE(CONTROL!$C$21, $C$9, 100%, $E$9)</f>
        <v>14.9465</v>
      </c>
      <c r="M324" s="17">
        <f>CHOOSE(CONTROL!$C$42, 14.1421, 14.1421) * CHOOSE(CONTROL!$C$21, $C$9, 100%, $E$9)</f>
        <v>14.142099999999999</v>
      </c>
      <c r="N324" s="17">
        <f>CHOOSE(CONTROL!$C$42, 14.1593, 14.1593) * CHOOSE(CONTROL!$C$21, $C$9, 100%, $E$9)</f>
        <v>14.1593</v>
      </c>
      <c r="O324" s="17">
        <f>CHOOSE(CONTROL!$C$42, 14.2374, 14.2374) * CHOOSE(CONTROL!$C$21, $C$9, 100%, $E$9)</f>
        <v>14.237399999999999</v>
      </c>
      <c r="P324" s="17">
        <f>CHOOSE(CONTROL!$C$42, 14.1975, 14.1975) * CHOOSE(CONTROL!$C$21, $C$9, 100%, $E$9)</f>
        <v>14.1975</v>
      </c>
      <c r="Q324" s="17">
        <f>CHOOSE(CONTROL!$C$42, 14.8321, 14.8321) * CHOOSE(CONTROL!$C$21, $C$9, 100%, $E$9)</f>
        <v>14.832100000000001</v>
      </c>
      <c r="R324" s="17">
        <f>CHOOSE(CONTROL!$C$42, 15.4561, 15.4561) * CHOOSE(CONTROL!$C$21, $C$9, 100%, $E$9)</f>
        <v>15.456099999999999</v>
      </c>
      <c r="S324" s="17">
        <f>CHOOSE(CONTROL!$C$42, 13.8091, 13.8091) * CHOOSE(CONTROL!$C$21, $C$9, 100%, $E$9)</f>
        <v>13.809100000000001</v>
      </c>
      <c r="T32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24" s="56">
        <f>(1000*CHOOSE(CONTROL!$C$42, 695, 695)*CHOOSE(CONTROL!$C$42, 0.5599, 0.5599)*CHOOSE(CONTROL!$C$42, 31, 31))/1000000</f>
        <v>12.063045499999998</v>
      </c>
      <c r="V324" s="56">
        <f>(1000*CHOOSE(CONTROL!$C$42, 500, 500)*CHOOSE(CONTROL!$C$42, 0.275, 0.275)*CHOOSE(CONTROL!$C$42, 31, 31))/1000000</f>
        <v>4.2625000000000002</v>
      </c>
      <c r="W324" s="56">
        <f>(1000*CHOOSE(CONTROL!$C$42, 0.0916, 0.0916)*CHOOSE(CONTROL!$C$42, 121.5, 121.5)*CHOOSE(CONTROL!$C$42, 31, 31))/1000000</f>
        <v>0.34501139999999997</v>
      </c>
      <c r="X324" s="56">
        <f>(31*0.2374*100000/1000000)</f>
        <v>0.73594000000000004</v>
      </c>
      <c r="Y324" s="56"/>
      <c r="Z324" s="17"/>
      <c r="AA324" s="55"/>
      <c r="AB324" s="48">
        <f>(B324*122.58+C324*297.941+D324*89.177+E324*140.302+F324*40+G324*60+H324*0+I324*100+J324*300)/(122.58+297.941+89.177+140.302+0+40+60+100+300)</f>
        <v>14.285149226086954</v>
      </c>
      <c r="AC324" s="45">
        <f>(M324*'RAP TEMPLATE-GAS AVAILABILITY'!O323+N324*'RAP TEMPLATE-GAS AVAILABILITY'!P323+O324*'RAP TEMPLATE-GAS AVAILABILITY'!Q323+P324*'RAP TEMPLATE-GAS AVAILABILITY'!R323)/('RAP TEMPLATE-GAS AVAILABILITY'!O323+'RAP TEMPLATE-GAS AVAILABILITY'!P323+'RAP TEMPLATE-GAS AVAILABILITY'!Q323+'RAP TEMPLATE-GAS AVAILABILITY'!R323)</f>
        <v>14.194254676258993</v>
      </c>
    </row>
    <row r="325" spans="1:29" ht="15.75" x14ac:dyDescent="0.25">
      <c r="A325" s="14">
        <v>50801</v>
      </c>
      <c r="B325" s="17">
        <f>CHOOSE(CONTROL!$C$42, 15.4309, 15.4309) * CHOOSE(CONTROL!$C$21, $C$9, 100%, $E$9)</f>
        <v>15.430899999999999</v>
      </c>
      <c r="C325" s="17">
        <f>CHOOSE(CONTROL!$C$42, 15.436, 15.436) * CHOOSE(CONTROL!$C$21, $C$9, 100%, $E$9)</f>
        <v>15.436</v>
      </c>
      <c r="D325" s="17">
        <f>CHOOSE(CONTROL!$C$42, 15.5328, 15.5328) * CHOOSE(CONTROL!$C$21, $C$9, 100%, $E$9)</f>
        <v>15.5328</v>
      </c>
      <c r="E325" s="17">
        <f>CHOOSE(CONTROL!$C$42, 15.5666, 15.5666) * CHOOSE(CONTROL!$C$21, $C$9, 100%, $E$9)</f>
        <v>15.566599999999999</v>
      </c>
      <c r="F325" s="17">
        <f>CHOOSE(CONTROL!$C$42, 15.4452, 15.4452)*CHOOSE(CONTROL!$C$21, $C$9, 100%, $E$9)</f>
        <v>15.4452</v>
      </c>
      <c r="G325" s="17">
        <f>CHOOSE(CONTROL!$C$42, 15.4616, 15.4616)*CHOOSE(CONTROL!$C$21, $C$9, 100%, $E$9)</f>
        <v>15.461600000000001</v>
      </c>
      <c r="H325" s="17">
        <f>CHOOSE(CONTROL!$C$42, 15.5555, 15.5555) * CHOOSE(CONTROL!$C$21, $C$9, 100%, $E$9)</f>
        <v>15.5555</v>
      </c>
      <c r="I325" s="17">
        <f>CHOOSE(CONTROL!$C$42, 15.5038, 15.5038)* CHOOSE(CONTROL!$C$21, $C$9, 100%, $E$9)</f>
        <v>15.5038</v>
      </c>
      <c r="J325" s="17">
        <f>CHOOSE(CONTROL!$C$42, 15.4378, 15.4378)* CHOOSE(CONTROL!$C$21, $C$9, 100%, $E$9)</f>
        <v>15.437799999999999</v>
      </c>
      <c r="K325" s="52">
        <f>CHOOSE(CONTROL!$C$42, 15.4977, 15.4977) * CHOOSE(CONTROL!$C$21, $C$9, 100%, $E$9)</f>
        <v>15.4977</v>
      </c>
      <c r="L325" s="17">
        <f>CHOOSE(CONTROL!$C$42, 16.1425, 16.1425) * CHOOSE(CONTROL!$C$21, $C$9, 100%, $E$9)</f>
        <v>16.142499999999998</v>
      </c>
      <c r="M325" s="17">
        <f>CHOOSE(CONTROL!$C$42, 15.3059, 15.3059) * CHOOSE(CONTROL!$C$21, $C$9, 100%, $E$9)</f>
        <v>15.305899999999999</v>
      </c>
      <c r="N325" s="17">
        <f>CHOOSE(CONTROL!$C$42, 15.3222, 15.3222) * CHOOSE(CONTROL!$C$21, $C$9, 100%, $E$9)</f>
        <v>15.3222</v>
      </c>
      <c r="O325" s="17">
        <f>CHOOSE(CONTROL!$C$42, 15.4226, 15.4226) * CHOOSE(CONTROL!$C$21, $C$9, 100%, $E$9)</f>
        <v>15.422599999999999</v>
      </c>
      <c r="P325" s="17">
        <f>CHOOSE(CONTROL!$C$42, 15.371, 15.371) * CHOOSE(CONTROL!$C$21, $C$9, 100%, $E$9)</f>
        <v>15.371</v>
      </c>
      <c r="Q325" s="17">
        <f>CHOOSE(CONTROL!$C$42, 16.0173, 16.0173) * CHOOSE(CONTROL!$C$21, $C$9, 100%, $E$9)</f>
        <v>16.017299999999999</v>
      </c>
      <c r="R325" s="17">
        <f>CHOOSE(CONTROL!$C$42, 16.6443, 16.6443) * CHOOSE(CONTROL!$C$21, $C$9, 100%, $E$9)</f>
        <v>16.644300000000001</v>
      </c>
      <c r="S325" s="17">
        <f>CHOOSE(CONTROL!$C$42, 14.9538, 14.9538) * CHOOSE(CONTROL!$C$21, $C$9, 100%, $E$9)</f>
        <v>14.953799999999999</v>
      </c>
      <c r="T32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25" s="56">
        <f>(1000*CHOOSE(CONTROL!$C$42, 695, 695)*CHOOSE(CONTROL!$C$42, 0.5599, 0.5599)*CHOOSE(CONTROL!$C$42, 31, 31))/1000000</f>
        <v>12.063045499999998</v>
      </c>
      <c r="V325" s="56">
        <f>(1000*CHOOSE(CONTROL!$C$42, 500, 500)*CHOOSE(CONTROL!$C$42, 0.275, 0.275)*CHOOSE(CONTROL!$C$42, 31, 31))/1000000</f>
        <v>4.2625000000000002</v>
      </c>
      <c r="W325" s="56">
        <f>(1000*CHOOSE(CONTROL!$C$42, 0.0916, 0.0916)*CHOOSE(CONTROL!$C$42, 121.5, 121.5)*CHOOSE(CONTROL!$C$42, 31, 31))/1000000</f>
        <v>0.34501139999999997</v>
      </c>
      <c r="X325" s="56">
        <f>(31*0.2374*100000/1000000)</f>
        <v>0.73594000000000004</v>
      </c>
      <c r="Y325" s="56"/>
      <c r="Z325" s="17"/>
      <c r="AA325" s="55"/>
      <c r="AB325" s="48">
        <f>(B325*122.58+C325*297.941+D325*89.177+E325*140.302+F325*40+G325*60+H325*0+I325*100+J325*300)/(122.58+297.941+89.177+140.302+0+40+60+100+300)</f>
        <v>15.466917058086958</v>
      </c>
      <c r="AC325" s="45">
        <f>(M325*'RAP TEMPLATE-GAS AVAILABILITY'!O324+N325*'RAP TEMPLATE-GAS AVAILABILITY'!P324+O325*'RAP TEMPLATE-GAS AVAILABILITY'!Q324+P325*'RAP TEMPLATE-GAS AVAILABILITY'!R324)/('RAP TEMPLATE-GAS AVAILABILITY'!O324+'RAP TEMPLATE-GAS AVAILABILITY'!P324+'RAP TEMPLATE-GAS AVAILABILITY'!Q324+'RAP TEMPLATE-GAS AVAILABILITY'!R324)</f>
        <v>15.369097841726617</v>
      </c>
    </row>
    <row r="326" spans="1:29" ht="15.75" x14ac:dyDescent="0.25">
      <c r="A326" s="14">
        <v>50829</v>
      </c>
      <c r="B326" s="17">
        <f>CHOOSE(CONTROL!$C$42, 15.7054, 15.7054) * CHOOSE(CONTROL!$C$21, $C$9, 100%, $E$9)</f>
        <v>15.705399999999999</v>
      </c>
      <c r="C326" s="17">
        <f>CHOOSE(CONTROL!$C$42, 15.7105, 15.7105) * CHOOSE(CONTROL!$C$21, $C$9, 100%, $E$9)</f>
        <v>15.7105</v>
      </c>
      <c r="D326" s="17">
        <f>CHOOSE(CONTROL!$C$42, 15.8073, 15.8073) * CHOOSE(CONTROL!$C$21, $C$9, 100%, $E$9)</f>
        <v>15.8073</v>
      </c>
      <c r="E326" s="17">
        <f>CHOOSE(CONTROL!$C$42, 15.8411, 15.8411) * CHOOSE(CONTROL!$C$21, $C$9, 100%, $E$9)</f>
        <v>15.841100000000001</v>
      </c>
      <c r="F326" s="17">
        <f>CHOOSE(CONTROL!$C$42, 15.7197, 15.7197)*CHOOSE(CONTROL!$C$21, $C$9, 100%, $E$9)</f>
        <v>15.7197</v>
      </c>
      <c r="G326" s="17">
        <f>CHOOSE(CONTROL!$C$42, 15.7361, 15.7361)*CHOOSE(CONTROL!$C$21, $C$9, 100%, $E$9)</f>
        <v>15.7361</v>
      </c>
      <c r="H326" s="17">
        <f>CHOOSE(CONTROL!$C$42, 15.83, 15.83) * CHOOSE(CONTROL!$C$21, $C$9, 100%, $E$9)</f>
        <v>15.83</v>
      </c>
      <c r="I326" s="17">
        <f>CHOOSE(CONTROL!$C$42, 15.7791, 15.7791)* CHOOSE(CONTROL!$C$21, $C$9, 100%, $E$9)</f>
        <v>15.7791</v>
      </c>
      <c r="J326" s="17">
        <f>CHOOSE(CONTROL!$C$42, 15.7123, 15.7123)* CHOOSE(CONTROL!$C$21, $C$9, 100%, $E$9)</f>
        <v>15.712300000000001</v>
      </c>
      <c r="K326" s="52">
        <f>CHOOSE(CONTROL!$C$42, 15.7731, 15.7731) * CHOOSE(CONTROL!$C$21, $C$9, 100%, $E$9)</f>
        <v>15.773099999999999</v>
      </c>
      <c r="L326" s="17">
        <f>CHOOSE(CONTROL!$C$42, 16.417, 16.417) * CHOOSE(CONTROL!$C$21, $C$9, 100%, $E$9)</f>
        <v>16.417000000000002</v>
      </c>
      <c r="M326" s="17">
        <f>CHOOSE(CONTROL!$C$42, 15.578, 15.578) * CHOOSE(CONTROL!$C$21, $C$9, 100%, $E$9)</f>
        <v>15.577999999999999</v>
      </c>
      <c r="N326" s="17">
        <f>CHOOSE(CONTROL!$C$42, 15.5942, 15.5942) * CHOOSE(CONTROL!$C$21, $C$9, 100%, $E$9)</f>
        <v>15.594200000000001</v>
      </c>
      <c r="O326" s="17">
        <f>CHOOSE(CONTROL!$C$42, 15.6946, 15.6946) * CHOOSE(CONTROL!$C$21, $C$9, 100%, $E$9)</f>
        <v>15.694599999999999</v>
      </c>
      <c r="P326" s="17">
        <f>CHOOSE(CONTROL!$C$42, 15.6438, 15.6438) * CHOOSE(CONTROL!$C$21, $C$9, 100%, $E$9)</f>
        <v>15.643800000000001</v>
      </c>
      <c r="Q326" s="17">
        <f>CHOOSE(CONTROL!$C$42, 16.2893, 16.2893) * CHOOSE(CONTROL!$C$21, $C$9, 100%, $E$9)</f>
        <v>16.289300000000001</v>
      </c>
      <c r="R326" s="17">
        <f>CHOOSE(CONTROL!$C$42, 16.917, 16.917) * CHOOSE(CONTROL!$C$21, $C$9, 100%, $E$9)</f>
        <v>16.917000000000002</v>
      </c>
      <c r="S326" s="17">
        <f>CHOOSE(CONTROL!$C$42, 15.22, 15.22) * CHOOSE(CONTROL!$C$21, $C$9, 100%, $E$9)</f>
        <v>15.22</v>
      </c>
      <c r="T32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26" s="56">
        <f>(1000*CHOOSE(CONTROL!$C$42, 695, 695)*CHOOSE(CONTROL!$C$42, 0.5599, 0.5599)*CHOOSE(CONTROL!$C$42, 28, 28))/1000000</f>
        <v>10.895653999999999</v>
      </c>
      <c r="V326" s="56">
        <f>(1000*CHOOSE(CONTROL!$C$42, 500, 500)*CHOOSE(CONTROL!$C$42, 0.275, 0.275)*CHOOSE(CONTROL!$C$42, 28, 28))/1000000</f>
        <v>3.85</v>
      </c>
      <c r="W326" s="56">
        <f>(1000*CHOOSE(CONTROL!$C$42, 0.0916, 0.0916)*CHOOSE(CONTROL!$C$42, 121.5, 121.5)*CHOOSE(CONTROL!$C$42, 28, 28))/1000000</f>
        <v>0.31162319999999999</v>
      </c>
      <c r="X326" s="56">
        <f>(28*0.2374*100000/1000000)</f>
        <v>0.66471999999999998</v>
      </c>
      <c r="Y326" s="56"/>
      <c r="Z326" s="17"/>
      <c r="AA326" s="55"/>
      <c r="AB326" s="48">
        <f>(B326*122.58+C326*297.941+D326*89.177+E326*140.302+F326*40+G326*60+H326*0+I326*100+J326*300)/(122.58+297.941+89.177+140.302+0+40+60+100+300)</f>
        <v>15.741486623304347</v>
      </c>
      <c r="AC326" s="45">
        <f>(M326*'RAP TEMPLATE-GAS AVAILABILITY'!O325+N326*'RAP TEMPLATE-GAS AVAILABILITY'!P325+O326*'RAP TEMPLATE-GAS AVAILABILITY'!Q325+P326*'RAP TEMPLATE-GAS AVAILABILITY'!R325)/('RAP TEMPLATE-GAS AVAILABILITY'!O325+'RAP TEMPLATE-GAS AVAILABILITY'!P325+'RAP TEMPLATE-GAS AVAILABILITY'!Q325+'RAP TEMPLATE-GAS AVAILABILITY'!R325)</f>
        <v>15.641247482014391</v>
      </c>
    </row>
    <row r="327" spans="1:29" ht="15.75" x14ac:dyDescent="0.25">
      <c r="A327" s="14">
        <v>50860</v>
      </c>
      <c r="B327" s="17">
        <f>CHOOSE(CONTROL!$C$42, 15.2598, 15.2598) * CHOOSE(CONTROL!$C$21, $C$9, 100%, $E$9)</f>
        <v>15.2598</v>
      </c>
      <c r="C327" s="17">
        <f>CHOOSE(CONTROL!$C$42, 15.2649, 15.2649) * CHOOSE(CONTROL!$C$21, $C$9, 100%, $E$9)</f>
        <v>15.264900000000001</v>
      </c>
      <c r="D327" s="17">
        <f>CHOOSE(CONTROL!$C$42, 15.3617, 15.3617) * CHOOSE(CONTROL!$C$21, $C$9, 100%, $E$9)</f>
        <v>15.361700000000001</v>
      </c>
      <c r="E327" s="17">
        <f>CHOOSE(CONTROL!$C$42, 15.3955, 15.3955) * CHOOSE(CONTROL!$C$21, $C$9, 100%, $E$9)</f>
        <v>15.3955</v>
      </c>
      <c r="F327" s="17">
        <f>CHOOSE(CONTROL!$C$42, 15.2734, 15.2734)*CHOOSE(CONTROL!$C$21, $C$9, 100%, $E$9)</f>
        <v>15.273400000000001</v>
      </c>
      <c r="G327" s="17">
        <f>CHOOSE(CONTROL!$C$42, 15.2897, 15.2897)*CHOOSE(CONTROL!$C$21, $C$9, 100%, $E$9)</f>
        <v>15.2897</v>
      </c>
      <c r="H327" s="17">
        <f>CHOOSE(CONTROL!$C$42, 15.3844, 15.3844) * CHOOSE(CONTROL!$C$21, $C$9, 100%, $E$9)</f>
        <v>15.384399999999999</v>
      </c>
      <c r="I327" s="17">
        <f>CHOOSE(CONTROL!$C$42, 15.3321, 15.3321)* CHOOSE(CONTROL!$C$21, $C$9, 100%, $E$9)</f>
        <v>15.332100000000001</v>
      </c>
      <c r="J327" s="17">
        <f>CHOOSE(CONTROL!$C$42, 15.266, 15.266)* CHOOSE(CONTROL!$C$21, $C$9, 100%, $E$9)</f>
        <v>15.266</v>
      </c>
      <c r="K327" s="52">
        <f>CHOOSE(CONTROL!$C$42, 15.3261, 15.3261) * CHOOSE(CONTROL!$C$21, $C$9, 100%, $E$9)</f>
        <v>15.3261</v>
      </c>
      <c r="L327" s="17">
        <f>CHOOSE(CONTROL!$C$42, 15.9714, 15.9714) * CHOOSE(CONTROL!$C$21, $C$9, 100%, $E$9)</f>
        <v>15.971399999999999</v>
      </c>
      <c r="M327" s="17">
        <f>CHOOSE(CONTROL!$C$42, 15.1358, 15.1358) * CHOOSE(CONTROL!$C$21, $C$9, 100%, $E$9)</f>
        <v>15.1358</v>
      </c>
      <c r="N327" s="17">
        <f>CHOOSE(CONTROL!$C$42, 15.1519, 15.1519) * CHOOSE(CONTROL!$C$21, $C$9, 100%, $E$9)</f>
        <v>15.151899999999999</v>
      </c>
      <c r="O327" s="17">
        <f>CHOOSE(CONTROL!$C$42, 15.253, 15.253) * CHOOSE(CONTROL!$C$21, $C$9, 100%, $E$9)</f>
        <v>15.253</v>
      </c>
      <c r="P327" s="17">
        <f>CHOOSE(CONTROL!$C$42, 15.2009, 15.2009) * CHOOSE(CONTROL!$C$21, $C$9, 100%, $E$9)</f>
        <v>15.200900000000001</v>
      </c>
      <c r="Q327" s="17">
        <f>CHOOSE(CONTROL!$C$42, 15.8477, 15.8477) * CHOOSE(CONTROL!$C$21, $C$9, 100%, $E$9)</f>
        <v>15.8477</v>
      </c>
      <c r="R327" s="17">
        <f>CHOOSE(CONTROL!$C$42, 16.4744, 16.4744) * CHOOSE(CONTROL!$C$21, $C$9, 100%, $E$9)</f>
        <v>16.474399999999999</v>
      </c>
      <c r="S327" s="17">
        <f>CHOOSE(CONTROL!$C$42, 14.7879, 14.7879) * CHOOSE(CONTROL!$C$21, $C$9, 100%, $E$9)</f>
        <v>14.7879</v>
      </c>
      <c r="T32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27" s="56">
        <f>(1000*CHOOSE(CONTROL!$C$42, 695, 695)*CHOOSE(CONTROL!$C$42, 0.5599, 0.5599)*CHOOSE(CONTROL!$C$42, 31, 31))/1000000</f>
        <v>12.063045499999998</v>
      </c>
      <c r="V327" s="56">
        <f>(1000*CHOOSE(CONTROL!$C$42, 500, 500)*CHOOSE(CONTROL!$C$42, 0.275, 0.275)*CHOOSE(CONTROL!$C$42, 31, 31))/1000000</f>
        <v>4.2625000000000002</v>
      </c>
      <c r="W327" s="56">
        <f>(1000*CHOOSE(CONTROL!$C$42, 0.0916, 0.0916)*CHOOSE(CONTROL!$C$42, 121.5, 121.5)*CHOOSE(CONTROL!$C$42, 31, 31))/1000000</f>
        <v>0.34501139999999997</v>
      </c>
      <c r="X327" s="56">
        <f>(31*0.2374*100000/1000000)</f>
        <v>0.73594000000000004</v>
      </c>
      <c r="Y327" s="56"/>
      <c r="Z327" s="17"/>
      <c r="AA327" s="55"/>
      <c r="AB327" s="48">
        <f>(B327*122.58+C327*297.941+D327*89.177+E327*140.302+F327*40+G327*60+H327*0+I327*100+J327*300)/(122.58+297.941+89.177+140.302+0+40+60+100+300)</f>
        <v>15.295516188521736</v>
      </c>
      <c r="AC327" s="45">
        <f>(M327*'RAP TEMPLATE-GAS AVAILABILITY'!O326+N327*'RAP TEMPLATE-GAS AVAILABILITY'!P326+O327*'RAP TEMPLATE-GAS AVAILABILITY'!Q326+P327*'RAP TEMPLATE-GAS AVAILABILITY'!R326)/('RAP TEMPLATE-GAS AVAILABILITY'!O326+'RAP TEMPLATE-GAS AVAILABILITY'!P326+'RAP TEMPLATE-GAS AVAILABILITY'!Q326+'RAP TEMPLATE-GAS AVAILABILITY'!R326)</f>
        <v>15.199212949640287</v>
      </c>
    </row>
    <row r="328" spans="1:29" ht="15.75" x14ac:dyDescent="0.25">
      <c r="A328" s="14">
        <v>50890</v>
      </c>
      <c r="B328" s="17">
        <f>CHOOSE(CONTROL!$C$42, 15.2152, 15.2152) * CHOOSE(CONTROL!$C$21, $C$9, 100%, $E$9)</f>
        <v>15.215199999999999</v>
      </c>
      <c r="C328" s="17">
        <f>CHOOSE(CONTROL!$C$42, 15.2197, 15.2197) * CHOOSE(CONTROL!$C$21, $C$9, 100%, $E$9)</f>
        <v>15.2197</v>
      </c>
      <c r="D328" s="17">
        <f>CHOOSE(CONTROL!$C$42, 15.4672, 15.4672) * CHOOSE(CONTROL!$C$21, $C$9, 100%, $E$9)</f>
        <v>15.4672</v>
      </c>
      <c r="E328" s="17">
        <f>CHOOSE(CONTROL!$C$42, 15.499, 15.499) * CHOOSE(CONTROL!$C$21, $C$9, 100%, $E$9)</f>
        <v>15.499000000000001</v>
      </c>
      <c r="F328" s="17">
        <f>CHOOSE(CONTROL!$C$42, 15.2268, 15.2268)*CHOOSE(CONTROL!$C$21, $C$9, 100%, $E$9)</f>
        <v>15.226800000000001</v>
      </c>
      <c r="G328" s="17">
        <f>CHOOSE(CONTROL!$C$42, 15.2427, 15.2427)*CHOOSE(CONTROL!$C$21, $C$9, 100%, $E$9)</f>
        <v>15.242699999999999</v>
      </c>
      <c r="H328" s="17">
        <f>CHOOSE(CONTROL!$C$42, 15.4885, 15.4885) * CHOOSE(CONTROL!$C$21, $C$9, 100%, $E$9)</f>
        <v>15.4885</v>
      </c>
      <c r="I328" s="17">
        <f>CHOOSE(CONTROL!$C$42, 15.285, 15.285)* CHOOSE(CONTROL!$C$21, $C$9, 100%, $E$9)</f>
        <v>15.285</v>
      </c>
      <c r="J328" s="17">
        <f>CHOOSE(CONTROL!$C$42, 15.2194, 15.2194)* CHOOSE(CONTROL!$C$21, $C$9, 100%, $E$9)</f>
        <v>15.2194</v>
      </c>
      <c r="K328" s="52">
        <f>CHOOSE(CONTROL!$C$42, 15.279, 15.279) * CHOOSE(CONTROL!$C$21, $C$9, 100%, $E$9)</f>
        <v>15.279</v>
      </c>
      <c r="L328" s="17">
        <f>CHOOSE(CONTROL!$C$42, 16.0755, 16.0755) * CHOOSE(CONTROL!$C$21, $C$9, 100%, $E$9)</f>
        <v>16.075500000000002</v>
      </c>
      <c r="M328" s="17">
        <f>CHOOSE(CONTROL!$C$42, 15.0895, 15.0895) * CHOOSE(CONTROL!$C$21, $C$9, 100%, $E$9)</f>
        <v>15.089499999999999</v>
      </c>
      <c r="N328" s="17">
        <f>CHOOSE(CONTROL!$C$42, 15.1053, 15.1053) * CHOOSE(CONTROL!$C$21, $C$9, 100%, $E$9)</f>
        <v>15.1053</v>
      </c>
      <c r="O328" s="17">
        <f>CHOOSE(CONTROL!$C$42, 15.3562, 15.3562) * CHOOSE(CONTROL!$C$21, $C$9, 100%, $E$9)</f>
        <v>15.356199999999999</v>
      </c>
      <c r="P328" s="17">
        <f>CHOOSE(CONTROL!$C$42, 15.1542, 15.1542) * CHOOSE(CONTROL!$C$21, $C$9, 100%, $E$9)</f>
        <v>15.154199999999999</v>
      </c>
      <c r="Q328" s="17">
        <f>CHOOSE(CONTROL!$C$42, 15.9509, 15.9509) * CHOOSE(CONTROL!$C$21, $C$9, 100%, $E$9)</f>
        <v>15.950900000000001</v>
      </c>
      <c r="R328" s="17">
        <f>CHOOSE(CONTROL!$C$42, 16.5778, 16.5778) * CHOOSE(CONTROL!$C$21, $C$9, 100%, $E$9)</f>
        <v>16.5778</v>
      </c>
      <c r="S328" s="17">
        <f>CHOOSE(CONTROL!$C$42, 14.7439, 14.7439) * CHOOSE(CONTROL!$C$21, $C$9, 100%, $E$9)</f>
        <v>14.7439</v>
      </c>
      <c r="T32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28" s="56">
        <f>(1000*CHOOSE(CONTROL!$C$42, 695, 695)*CHOOSE(CONTROL!$C$42, 0.5599, 0.5599)*CHOOSE(CONTROL!$C$42, 30, 30))/1000000</f>
        <v>11.673914999999997</v>
      </c>
      <c r="V328" s="56">
        <f>(1000*CHOOSE(CONTROL!$C$42, 500, 500)*CHOOSE(CONTROL!$C$42, 0.275, 0.275)*CHOOSE(CONTROL!$C$42, 30, 30))/1000000</f>
        <v>4.125</v>
      </c>
      <c r="W328" s="56">
        <f>(1000*CHOOSE(CONTROL!$C$42, 0.0916, 0.0916)*CHOOSE(CONTROL!$C$42, 121.5, 121.5)*CHOOSE(CONTROL!$C$42, 30, 30))/1000000</f>
        <v>0.33388200000000001</v>
      </c>
      <c r="X328" s="56">
        <f>(30*0.1790888*145000/1000000)+(30*0.2374*100000/1000000)</f>
        <v>1.4912362799999999</v>
      </c>
      <c r="Y328" s="56"/>
      <c r="Z328" s="17"/>
      <c r="AA328" s="55"/>
      <c r="AB328" s="48">
        <f>(B328*141.293+C328*267.993+D328*115.016+E328*189.698+F328*40+G328*85+H328*0+I328*100+J328*300)/(141.293+267.993+115.016+189.698+0+40+85+100+300)</f>
        <v>15.291929453510896</v>
      </c>
      <c r="AC328" s="45">
        <f>(M328*'RAP TEMPLATE-GAS AVAILABILITY'!O327+N328*'RAP TEMPLATE-GAS AVAILABILITY'!P327+O328*'RAP TEMPLATE-GAS AVAILABILITY'!Q327+P328*'RAP TEMPLATE-GAS AVAILABILITY'!R327)/('RAP TEMPLATE-GAS AVAILABILITY'!O327+'RAP TEMPLATE-GAS AVAILABILITY'!P327+'RAP TEMPLATE-GAS AVAILABILITY'!Q327+'RAP TEMPLATE-GAS AVAILABILITY'!R327)</f>
        <v>15.177276258992807</v>
      </c>
    </row>
    <row r="329" spans="1:29" ht="15.75" x14ac:dyDescent="0.25">
      <c r="A329" s="14">
        <v>50921</v>
      </c>
      <c r="B329" s="17">
        <f>CHOOSE(CONTROL!$C$42, 15.3507, 15.3507) * CHOOSE(CONTROL!$C$21, $C$9, 100%, $E$9)</f>
        <v>15.3507</v>
      </c>
      <c r="C329" s="17">
        <f>CHOOSE(CONTROL!$C$42, 15.3587, 15.3587) * CHOOSE(CONTROL!$C$21, $C$9, 100%, $E$9)</f>
        <v>15.358700000000001</v>
      </c>
      <c r="D329" s="17">
        <f>CHOOSE(CONTROL!$C$42, 15.6032, 15.6032) * CHOOSE(CONTROL!$C$21, $C$9, 100%, $E$9)</f>
        <v>15.603199999999999</v>
      </c>
      <c r="E329" s="17">
        <f>CHOOSE(CONTROL!$C$42, 15.6343, 15.6343) * CHOOSE(CONTROL!$C$21, $C$9, 100%, $E$9)</f>
        <v>15.6343</v>
      </c>
      <c r="F329" s="17">
        <f>CHOOSE(CONTROL!$C$42, 15.3613, 15.3613)*CHOOSE(CONTROL!$C$21, $C$9, 100%, $E$9)</f>
        <v>15.3613</v>
      </c>
      <c r="G329" s="17">
        <f>CHOOSE(CONTROL!$C$42, 15.3775, 15.3775)*CHOOSE(CONTROL!$C$21, $C$9, 100%, $E$9)</f>
        <v>15.3775</v>
      </c>
      <c r="H329" s="17">
        <f>CHOOSE(CONTROL!$C$42, 15.6227, 15.6227) * CHOOSE(CONTROL!$C$21, $C$9, 100%, $E$9)</f>
        <v>15.6227</v>
      </c>
      <c r="I329" s="17">
        <f>CHOOSE(CONTROL!$C$42, 15.4196, 15.4196)* CHOOSE(CONTROL!$C$21, $C$9, 100%, $E$9)</f>
        <v>15.419600000000001</v>
      </c>
      <c r="J329" s="17">
        <f>CHOOSE(CONTROL!$C$42, 15.3539, 15.3539)* CHOOSE(CONTROL!$C$21, $C$9, 100%, $E$9)</f>
        <v>15.353899999999999</v>
      </c>
      <c r="K329" s="52">
        <f>CHOOSE(CONTROL!$C$42, 15.4136, 15.4136) * CHOOSE(CONTROL!$C$21, $C$9, 100%, $E$9)</f>
        <v>15.413600000000001</v>
      </c>
      <c r="L329" s="17">
        <f>CHOOSE(CONTROL!$C$42, 16.2097, 16.2097) * CHOOSE(CONTROL!$C$21, $C$9, 100%, $E$9)</f>
        <v>16.209700000000002</v>
      </c>
      <c r="M329" s="17">
        <f>CHOOSE(CONTROL!$C$42, 15.2228, 15.2228) * CHOOSE(CONTROL!$C$21, $C$9, 100%, $E$9)</f>
        <v>15.222799999999999</v>
      </c>
      <c r="N329" s="17">
        <f>CHOOSE(CONTROL!$C$42, 15.2389, 15.2389) * CHOOSE(CONTROL!$C$21, $C$9, 100%, $E$9)</f>
        <v>15.238899999999999</v>
      </c>
      <c r="O329" s="17">
        <f>CHOOSE(CONTROL!$C$42, 15.4892, 15.4892) * CHOOSE(CONTROL!$C$21, $C$9, 100%, $E$9)</f>
        <v>15.4892</v>
      </c>
      <c r="P329" s="17">
        <f>CHOOSE(CONTROL!$C$42, 15.2876, 15.2876) * CHOOSE(CONTROL!$C$21, $C$9, 100%, $E$9)</f>
        <v>15.287599999999999</v>
      </c>
      <c r="Q329" s="17">
        <f>CHOOSE(CONTROL!$C$42, 16.0839, 16.0839) * CHOOSE(CONTROL!$C$21, $C$9, 100%, $E$9)</f>
        <v>16.0839</v>
      </c>
      <c r="R329" s="17">
        <f>CHOOSE(CONTROL!$C$42, 16.7111, 16.7111) * CHOOSE(CONTROL!$C$21, $C$9, 100%, $E$9)</f>
        <v>16.711099999999998</v>
      </c>
      <c r="S329" s="17">
        <f>CHOOSE(CONTROL!$C$42, 14.874, 14.874) * CHOOSE(CONTROL!$C$21, $C$9, 100%, $E$9)</f>
        <v>14.874000000000001</v>
      </c>
      <c r="T32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29" s="56">
        <f>(1000*CHOOSE(CONTROL!$C$42, 695, 695)*CHOOSE(CONTROL!$C$42, 0.5599, 0.5599)*CHOOSE(CONTROL!$C$42, 31, 31))/1000000</f>
        <v>12.063045499999998</v>
      </c>
      <c r="V329" s="56">
        <f>(1000*CHOOSE(CONTROL!$C$42, 500, 500)*CHOOSE(CONTROL!$C$42, 0.275, 0.275)*CHOOSE(CONTROL!$C$42, 31, 31))/1000000</f>
        <v>4.2625000000000002</v>
      </c>
      <c r="W329" s="56">
        <f>(1000*CHOOSE(CONTROL!$C$42, 0.0916, 0.0916)*CHOOSE(CONTROL!$C$42, 121.5, 121.5)*CHOOSE(CONTROL!$C$42, 31, 31))/1000000</f>
        <v>0.34501139999999997</v>
      </c>
      <c r="X329" s="56">
        <f>(31*0.1790888*145000/1000000)+(31*0.2374*100000/1000000)</f>
        <v>1.5409441560000001</v>
      </c>
      <c r="Y329" s="56"/>
      <c r="Z329" s="17"/>
      <c r="AA329" s="55"/>
      <c r="AB329" s="48">
        <f>(B329*194.205+C329*267.466+D329*133.845+E329*153.484+F329*40+G329*85+H329*0+I329*100+J329*300)/(194.205+267.466+133.845+153.484+0+40+85+100+300)</f>
        <v>15.421355928492936</v>
      </c>
      <c r="AC329" s="45">
        <f>(M329*'RAP TEMPLATE-GAS AVAILABILITY'!O328+N329*'RAP TEMPLATE-GAS AVAILABILITY'!P328+O329*'RAP TEMPLATE-GAS AVAILABILITY'!Q328+P329*'RAP TEMPLATE-GAS AVAILABILITY'!R328)/('RAP TEMPLATE-GAS AVAILABILITY'!O328+'RAP TEMPLATE-GAS AVAILABILITY'!P328+'RAP TEMPLATE-GAS AVAILABILITY'!Q328+'RAP TEMPLATE-GAS AVAILABILITY'!R328)</f>
        <v>15.310575539568346</v>
      </c>
    </row>
    <row r="330" spans="1:29" ht="15.75" x14ac:dyDescent="0.25">
      <c r="A330" s="14">
        <v>50951</v>
      </c>
      <c r="B330" s="17">
        <f>CHOOSE(CONTROL!$C$42, 15.7858, 15.7858) * CHOOSE(CONTROL!$C$21, $C$9, 100%, $E$9)</f>
        <v>15.7858</v>
      </c>
      <c r="C330" s="17">
        <f>CHOOSE(CONTROL!$C$42, 15.7938, 15.7938) * CHOOSE(CONTROL!$C$21, $C$9, 100%, $E$9)</f>
        <v>15.793799999999999</v>
      </c>
      <c r="D330" s="17">
        <f>CHOOSE(CONTROL!$C$42, 16.0383, 16.0383) * CHOOSE(CONTROL!$C$21, $C$9, 100%, $E$9)</f>
        <v>16.0383</v>
      </c>
      <c r="E330" s="17">
        <f>CHOOSE(CONTROL!$C$42, 16.0694, 16.0694) * CHOOSE(CONTROL!$C$21, $C$9, 100%, $E$9)</f>
        <v>16.069400000000002</v>
      </c>
      <c r="F330" s="17">
        <f>CHOOSE(CONTROL!$C$42, 15.7967, 15.7967)*CHOOSE(CONTROL!$C$21, $C$9, 100%, $E$9)</f>
        <v>15.7967</v>
      </c>
      <c r="G330" s="17">
        <f>CHOOSE(CONTROL!$C$42, 15.813, 15.813)*CHOOSE(CONTROL!$C$21, $C$9, 100%, $E$9)</f>
        <v>15.813000000000001</v>
      </c>
      <c r="H330" s="17">
        <f>CHOOSE(CONTROL!$C$42, 16.0578, 16.0578) * CHOOSE(CONTROL!$C$21, $C$9, 100%, $E$9)</f>
        <v>16.0578</v>
      </c>
      <c r="I330" s="17">
        <f>CHOOSE(CONTROL!$C$42, 15.8561, 15.8561)* CHOOSE(CONTROL!$C$21, $C$9, 100%, $E$9)</f>
        <v>15.8561</v>
      </c>
      <c r="J330" s="17">
        <f>CHOOSE(CONTROL!$C$42, 15.7893, 15.7893)* CHOOSE(CONTROL!$C$21, $C$9, 100%, $E$9)</f>
        <v>15.789300000000001</v>
      </c>
      <c r="K330" s="52">
        <f>CHOOSE(CONTROL!$C$42, 15.85, 15.85) * CHOOSE(CONTROL!$C$21, $C$9, 100%, $E$9)</f>
        <v>15.85</v>
      </c>
      <c r="L330" s="17">
        <f>CHOOSE(CONTROL!$C$42, 16.6448, 16.6448) * CHOOSE(CONTROL!$C$21, $C$9, 100%, $E$9)</f>
        <v>16.6448</v>
      </c>
      <c r="M330" s="17">
        <f>CHOOSE(CONTROL!$C$42, 15.6543, 15.6543) * CHOOSE(CONTROL!$C$21, $C$9, 100%, $E$9)</f>
        <v>15.654299999999999</v>
      </c>
      <c r="N330" s="17">
        <f>CHOOSE(CONTROL!$C$42, 15.6705, 15.6705) * CHOOSE(CONTROL!$C$21, $C$9, 100%, $E$9)</f>
        <v>15.670500000000001</v>
      </c>
      <c r="O330" s="17">
        <f>CHOOSE(CONTROL!$C$42, 15.9203, 15.9203) * CHOOSE(CONTROL!$C$21, $C$9, 100%, $E$9)</f>
        <v>15.920299999999999</v>
      </c>
      <c r="P330" s="17">
        <f>CHOOSE(CONTROL!$C$42, 15.7201, 15.7201) * CHOOSE(CONTROL!$C$21, $C$9, 100%, $E$9)</f>
        <v>15.7201</v>
      </c>
      <c r="Q330" s="17">
        <f>CHOOSE(CONTROL!$C$42, 16.515, 16.515) * CHOOSE(CONTROL!$C$21, $C$9, 100%, $E$9)</f>
        <v>16.515000000000001</v>
      </c>
      <c r="R330" s="17">
        <f>CHOOSE(CONTROL!$C$42, 17.1433, 17.1433) * CHOOSE(CONTROL!$C$21, $C$9, 100%, $E$9)</f>
        <v>17.1433</v>
      </c>
      <c r="S330" s="17">
        <f>CHOOSE(CONTROL!$C$42, 15.2959, 15.2959) * CHOOSE(CONTROL!$C$21, $C$9, 100%, $E$9)</f>
        <v>15.2959</v>
      </c>
      <c r="T33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30" s="56">
        <f>(1000*CHOOSE(CONTROL!$C$42, 695, 695)*CHOOSE(CONTROL!$C$42, 0.5599, 0.5599)*CHOOSE(CONTROL!$C$42, 30, 30))/1000000</f>
        <v>11.673914999999997</v>
      </c>
      <c r="V330" s="56">
        <f>(1000*CHOOSE(CONTROL!$C$42, 500, 500)*CHOOSE(CONTROL!$C$42, 0.275, 0.275)*CHOOSE(CONTROL!$C$42, 30, 30))/1000000</f>
        <v>4.125</v>
      </c>
      <c r="W330" s="56">
        <f>(1000*CHOOSE(CONTROL!$C$42, 0.0916, 0.0916)*CHOOSE(CONTROL!$C$42, 121.5, 121.5)*CHOOSE(CONTROL!$C$42, 30, 30))/1000000</f>
        <v>0.33388200000000001</v>
      </c>
      <c r="X330" s="56">
        <f>(30*0.1790888*145000/1000000)+(30*0.2374*100000/1000000)</f>
        <v>1.4912362799999999</v>
      </c>
      <c r="Y330" s="56"/>
      <c r="Z330" s="17"/>
      <c r="AA330" s="55"/>
      <c r="AB330" s="48">
        <f>(B330*194.205+C330*267.466+D330*133.845+E330*153.484+F330*40+G330*85+H330*0+I330*100+J330*300)/(194.205+267.466+133.845+153.484+0+40+85+100+300)</f>
        <v>15.856672568995291</v>
      </c>
      <c r="AC330" s="45">
        <f>(M330*'RAP TEMPLATE-GAS AVAILABILITY'!O329+N330*'RAP TEMPLATE-GAS AVAILABILITY'!P329+O330*'RAP TEMPLATE-GAS AVAILABILITY'!Q329+P330*'RAP TEMPLATE-GAS AVAILABILITY'!R329)/('RAP TEMPLATE-GAS AVAILABILITY'!O329+'RAP TEMPLATE-GAS AVAILABILITY'!P329+'RAP TEMPLATE-GAS AVAILABILITY'!Q329+'RAP TEMPLATE-GAS AVAILABILITY'!R329)</f>
        <v>15.742130215827336</v>
      </c>
    </row>
    <row r="331" spans="1:29" ht="15.75" x14ac:dyDescent="0.25">
      <c r="A331" s="14">
        <v>50982</v>
      </c>
      <c r="B331" s="17">
        <f>CHOOSE(CONTROL!$C$42, 15.4832, 15.4832) * CHOOSE(CONTROL!$C$21, $C$9, 100%, $E$9)</f>
        <v>15.4832</v>
      </c>
      <c r="C331" s="17">
        <f>CHOOSE(CONTROL!$C$42, 15.4912, 15.4912) * CHOOSE(CONTROL!$C$21, $C$9, 100%, $E$9)</f>
        <v>15.491199999999999</v>
      </c>
      <c r="D331" s="17">
        <f>CHOOSE(CONTROL!$C$42, 15.7357, 15.7357) * CHOOSE(CONTROL!$C$21, $C$9, 100%, $E$9)</f>
        <v>15.7357</v>
      </c>
      <c r="E331" s="17">
        <f>CHOOSE(CONTROL!$C$42, 15.7668, 15.7668) * CHOOSE(CONTROL!$C$21, $C$9, 100%, $E$9)</f>
        <v>15.7668</v>
      </c>
      <c r="F331" s="17">
        <f>CHOOSE(CONTROL!$C$42, 15.4945, 15.4945)*CHOOSE(CONTROL!$C$21, $C$9, 100%, $E$9)</f>
        <v>15.4945</v>
      </c>
      <c r="G331" s="17">
        <f>CHOOSE(CONTROL!$C$42, 15.511, 15.511)*CHOOSE(CONTROL!$C$21, $C$9, 100%, $E$9)</f>
        <v>15.510999999999999</v>
      </c>
      <c r="H331" s="17">
        <f>CHOOSE(CONTROL!$C$42, 15.7552, 15.7552) * CHOOSE(CONTROL!$C$21, $C$9, 100%, $E$9)</f>
        <v>15.7552</v>
      </c>
      <c r="I331" s="17">
        <f>CHOOSE(CONTROL!$C$42, 15.5525, 15.5525)* CHOOSE(CONTROL!$C$21, $C$9, 100%, $E$9)</f>
        <v>15.5525</v>
      </c>
      <c r="J331" s="17">
        <f>CHOOSE(CONTROL!$C$42, 15.4871, 15.4871)* CHOOSE(CONTROL!$C$21, $C$9, 100%, $E$9)</f>
        <v>15.4871</v>
      </c>
      <c r="K331" s="52">
        <f>CHOOSE(CONTROL!$C$42, 15.5465, 15.5465) * CHOOSE(CONTROL!$C$21, $C$9, 100%, $E$9)</f>
        <v>15.5465</v>
      </c>
      <c r="L331" s="17">
        <f>CHOOSE(CONTROL!$C$42, 16.3422, 16.3422) * CHOOSE(CONTROL!$C$21, $C$9, 100%, $E$9)</f>
        <v>16.342199999999998</v>
      </c>
      <c r="M331" s="17">
        <f>CHOOSE(CONTROL!$C$42, 15.3548, 15.3548) * CHOOSE(CONTROL!$C$21, $C$9, 100%, $E$9)</f>
        <v>15.354799999999999</v>
      </c>
      <c r="N331" s="17">
        <f>CHOOSE(CONTROL!$C$42, 15.3711, 15.3711) * CHOOSE(CONTROL!$C$21, $C$9, 100%, $E$9)</f>
        <v>15.3711</v>
      </c>
      <c r="O331" s="17">
        <f>CHOOSE(CONTROL!$C$42, 15.6205, 15.6205) * CHOOSE(CONTROL!$C$21, $C$9, 100%, $E$9)</f>
        <v>15.6205</v>
      </c>
      <c r="P331" s="17">
        <f>CHOOSE(CONTROL!$C$42, 15.4193, 15.4193) * CHOOSE(CONTROL!$C$21, $C$9, 100%, $E$9)</f>
        <v>15.4193</v>
      </c>
      <c r="Q331" s="17">
        <f>CHOOSE(CONTROL!$C$42, 16.2152, 16.2152) * CHOOSE(CONTROL!$C$21, $C$9, 100%, $E$9)</f>
        <v>16.215199999999999</v>
      </c>
      <c r="R331" s="17">
        <f>CHOOSE(CONTROL!$C$42, 16.8427, 16.8427) * CHOOSE(CONTROL!$C$21, $C$9, 100%, $E$9)</f>
        <v>16.842700000000001</v>
      </c>
      <c r="S331" s="17">
        <f>CHOOSE(CONTROL!$C$42, 15.0025, 15.0025) * CHOOSE(CONTROL!$C$21, $C$9, 100%, $E$9)</f>
        <v>15.0025</v>
      </c>
      <c r="T33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31" s="56">
        <f>(1000*CHOOSE(CONTROL!$C$42, 695, 695)*CHOOSE(CONTROL!$C$42, 0.5599, 0.5599)*CHOOSE(CONTROL!$C$42, 31, 31))/1000000</f>
        <v>12.063045499999998</v>
      </c>
      <c r="V331" s="56">
        <f>(1000*CHOOSE(CONTROL!$C$42, 500, 500)*CHOOSE(CONTROL!$C$42, 0.275, 0.275)*CHOOSE(CONTROL!$C$42, 31, 31))/1000000</f>
        <v>4.2625000000000002</v>
      </c>
      <c r="W331" s="56">
        <f>(1000*CHOOSE(CONTROL!$C$42, 0.0916, 0.0916)*CHOOSE(CONTROL!$C$42, 121.5, 121.5)*CHOOSE(CONTROL!$C$42, 31, 31))/1000000</f>
        <v>0.34501139999999997</v>
      </c>
      <c r="X331" s="56">
        <f>(31*0.1790888*145000/1000000)+(31*0.2374*100000/1000000)</f>
        <v>1.5409441560000001</v>
      </c>
      <c r="Y331" s="56"/>
      <c r="Z331" s="17"/>
      <c r="AA331" s="55"/>
      <c r="AB331" s="48">
        <f>(B331*194.205+C331*267.466+D331*133.845+E331*153.484+F331*40+G331*85+H331*0+I331*100+J331*300)/(194.205+267.466+133.845+153.484+0+40+85+100+300)</f>
        <v>15.554140857849296</v>
      </c>
      <c r="AC331" s="45">
        <f>(M331*'RAP TEMPLATE-GAS AVAILABILITY'!O330+N331*'RAP TEMPLATE-GAS AVAILABILITY'!P330+O331*'RAP TEMPLATE-GAS AVAILABILITY'!Q330+P331*'RAP TEMPLATE-GAS AVAILABILITY'!R330)/('RAP TEMPLATE-GAS AVAILABILITY'!O330+'RAP TEMPLATE-GAS AVAILABILITY'!P330+'RAP TEMPLATE-GAS AVAILABILITY'!Q330+'RAP TEMPLATE-GAS AVAILABILITY'!R330)</f>
        <v>15.442382014388489</v>
      </c>
    </row>
    <row r="332" spans="1:29" ht="15.75" x14ac:dyDescent="0.25">
      <c r="A332" s="14">
        <v>51013</v>
      </c>
      <c r="B332" s="17">
        <f>CHOOSE(CONTROL!$C$42, 14.719, 14.719) * CHOOSE(CONTROL!$C$21, $C$9, 100%, $E$9)</f>
        <v>14.718999999999999</v>
      </c>
      <c r="C332" s="17">
        <f>CHOOSE(CONTROL!$C$42, 14.727, 14.727) * CHOOSE(CONTROL!$C$21, $C$9, 100%, $E$9)</f>
        <v>14.727</v>
      </c>
      <c r="D332" s="17">
        <f>CHOOSE(CONTROL!$C$42, 14.9715, 14.9715) * CHOOSE(CONTROL!$C$21, $C$9, 100%, $E$9)</f>
        <v>14.971500000000001</v>
      </c>
      <c r="E332" s="17">
        <f>CHOOSE(CONTROL!$C$42, 15.0027, 15.0027) * CHOOSE(CONTROL!$C$21, $C$9, 100%, $E$9)</f>
        <v>15.002700000000001</v>
      </c>
      <c r="F332" s="17">
        <f>CHOOSE(CONTROL!$C$42, 14.7306, 14.7306)*CHOOSE(CONTROL!$C$21, $C$9, 100%, $E$9)</f>
        <v>14.730600000000001</v>
      </c>
      <c r="G332" s="17">
        <f>CHOOSE(CONTROL!$C$42, 14.7471, 14.7471)*CHOOSE(CONTROL!$C$21, $C$9, 100%, $E$9)</f>
        <v>14.7471</v>
      </c>
      <c r="H332" s="17">
        <f>CHOOSE(CONTROL!$C$42, 14.991, 14.991) * CHOOSE(CONTROL!$C$21, $C$9, 100%, $E$9)</f>
        <v>14.991</v>
      </c>
      <c r="I332" s="17">
        <f>CHOOSE(CONTROL!$C$42, 14.786, 14.786)* CHOOSE(CONTROL!$C$21, $C$9, 100%, $E$9)</f>
        <v>14.786</v>
      </c>
      <c r="J332" s="17">
        <f>CHOOSE(CONTROL!$C$42, 14.7232, 14.7232)* CHOOSE(CONTROL!$C$21, $C$9, 100%, $E$9)</f>
        <v>14.7232</v>
      </c>
      <c r="K332" s="52">
        <f>CHOOSE(CONTROL!$C$42, 14.7799, 14.7799) * CHOOSE(CONTROL!$C$21, $C$9, 100%, $E$9)</f>
        <v>14.7799</v>
      </c>
      <c r="L332" s="17">
        <f>CHOOSE(CONTROL!$C$42, 15.578, 15.578) * CHOOSE(CONTROL!$C$21, $C$9, 100%, $E$9)</f>
        <v>15.577999999999999</v>
      </c>
      <c r="M332" s="17">
        <f>CHOOSE(CONTROL!$C$42, 14.5978, 14.5978) * CHOOSE(CONTROL!$C$21, $C$9, 100%, $E$9)</f>
        <v>14.597799999999999</v>
      </c>
      <c r="N332" s="17">
        <f>CHOOSE(CONTROL!$C$42, 14.6141, 14.6141) * CHOOSE(CONTROL!$C$21, $C$9, 100%, $E$9)</f>
        <v>14.614100000000001</v>
      </c>
      <c r="O332" s="17">
        <f>CHOOSE(CONTROL!$C$42, 14.8632, 14.8632) * CHOOSE(CONTROL!$C$21, $C$9, 100%, $E$9)</f>
        <v>14.863200000000001</v>
      </c>
      <c r="P332" s="17">
        <f>CHOOSE(CONTROL!$C$42, 14.6596, 14.6596) * CHOOSE(CONTROL!$C$21, $C$9, 100%, $E$9)</f>
        <v>14.659599999999999</v>
      </c>
      <c r="Q332" s="17">
        <f>CHOOSE(CONTROL!$C$42, 15.4579, 15.4579) * CHOOSE(CONTROL!$C$21, $C$9, 100%, $E$9)</f>
        <v>15.4579</v>
      </c>
      <c r="R332" s="17">
        <f>CHOOSE(CONTROL!$C$42, 16.0835, 16.0835) * CHOOSE(CONTROL!$C$21, $C$9, 100%, $E$9)</f>
        <v>16.083500000000001</v>
      </c>
      <c r="S332" s="17">
        <f>CHOOSE(CONTROL!$C$42, 14.2615, 14.2615) * CHOOSE(CONTROL!$C$21, $C$9, 100%, $E$9)</f>
        <v>14.2615</v>
      </c>
      <c r="T33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32" s="56">
        <f>(1000*CHOOSE(CONTROL!$C$42, 695, 695)*CHOOSE(CONTROL!$C$42, 0.5599, 0.5599)*CHOOSE(CONTROL!$C$42, 31, 31))/1000000</f>
        <v>12.063045499999998</v>
      </c>
      <c r="V332" s="56">
        <f>(1000*CHOOSE(CONTROL!$C$42, 500, 500)*CHOOSE(CONTROL!$C$42, 0.275, 0.275)*CHOOSE(CONTROL!$C$42, 31, 31))/1000000</f>
        <v>4.2625000000000002</v>
      </c>
      <c r="W332" s="56">
        <f>(1000*CHOOSE(CONTROL!$C$42, 0.0916, 0.0916)*CHOOSE(CONTROL!$C$42, 121.5, 121.5)*CHOOSE(CONTROL!$C$42, 31, 31))/1000000</f>
        <v>0.34501139999999997</v>
      </c>
      <c r="X332" s="56">
        <f>(31*0.1790888*145000/1000000)+(31*0.2374*100000/1000000)</f>
        <v>1.5409441560000001</v>
      </c>
      <c r="Y332" s="56"/>
      <c r="Z332" s="17"/>
      <c r="AA332" s="55"/>
      <c r="AB332" s="48">
        <f>(B332*194.205+C332*267.466+D332*133.845+E332*153.484+F332*40+G332*85+H332*0+I332*100+J332*300)/(194.205+267.466+133.845+153.484+0+40+85+100+300)</f>
        <v>14.789872450000003</v>
      </c>
      <c r="AC332" s="45">
        <f>(M332*'RAP TEMPLATE-GAS AVAILABILITY'!O331+N332*'RAP TEMPLATE-GAS AVAILABILITY'!P331+O332*'RAP TEMPLATE-GAS AVAILABILITY'!Q331+P332*'RAP TEMPLATE-GAS AVAILABILITY'!R331)/('RAP TEMPLATE-GAS AVAILABILITY'!O331+'RAP TEMPLATE-GAS AVAILABILITY'!P331+'RAP TEMPLATE-GAS AVAILABILITY'!Q331+'RAP TEMPLATE-GAS AVAILABILITY'!R331)</f>
        <v>14.684909352517984</v>
      </c>
    </row>
    <row r="333" spans="1:29" ht="15.75" x14ac:dyDescent="0.25">
      <c r="A333" s="14">
        <v>51043</v>
      </c>
      <c r="B333" s="17">
        <f>CHOOSE(CONTROL!$C$42, 13.7852, 13.7852) * CHOOSE(CONTROL!$C$21, $C$9, 100%, $E$9)</f>
        <v>13.7852</v>
      </c>
      <c r="C333" s="17">
        <f>CHOOSE(CONTROL!$C$42, 13.7931, 13.7931) * CHOOSE(CONTROL!$C$21, $C$9, 100%, $E$9)</f>
        <v>13.793100000000001</v>
      </c>
      <c r="D333" s="17">
        <f>CHOOSE(CONTROL!$C$42, 14.0376, 14.0376) * CHOOSE(CONTROL!$C$21, $C$9, 100%, $E$9)</f>
        <v>14.037599999999999</v>
      </c>
      <c r="E333" s="17">
        <f>CHOOSE(CONTROL!$C$42, 14.0688, 14.0688) * CHOOSE(CONTROL!$C$21, $C$9, 100%, $E$9)</f>
        <v>14.0688</v>
      </c>
      <c r="F333" s="17">
        <f>CHOOSE(CONTROL!$C$42, 13.7968, 13.7968)*CHOOSE(CONTROL!$C$21, $C$9, 100%, $E$9)</f>
        <v>13.796799999999999</v>
      </c>
      <c r="G333" s="17">
        <f>CHOOSE(CONTROL!$C$42, 13.8133, 13.8133)*CHOOSE(CONTROL!$C$21, $C$9, 100%, $E$9)</f>
        <v>13.8133</v>
      </c>
      <c r="H333" s="17">
        <f>CHOOSE(CONTROL!$C$42, 14.0571, 14.0571) * CHOOSE(CONTROL!$C$21, $C$9, 100%, $E$9)</f>
        <v>14.0571</v>
      </c>
      <c r="I333" s="17">
        <f>CHOOSE(CONTROL!$C$42, 13.8492, 13.8492)* CHOOSE(CONTROL!$C$21, $C$9, 100%, $E$9)</f>
        <v>13.8492</v>
      </c>
      <c r="J333" s="17">
        <f>CHOOSE(CONTROL!$C$42, 13.7894, 13.7894)* CHOOSE(CONTROL!$C$21, $C$9, 100%, $E$9)</f>
        <v>13.789400000000001</v>
      </c>
      <c r="K333" s="52">
        <f>CHOOSE(CONTROL!$C$42, 13.8431, 13.8431) * CHOOSE(CONTROL!$C$21, $C$9, 100%, $E$9)</f>
        <v>13.8431</v>
      </c>
      <c r="L333" s="17">
        <f>CHOOSE(CONTROL!$C$42, 14.6441, 14.6441) * CHOOSE(CONTROL!$C$21, $C$9, 100%, $E$9)</f>
        <v>14.6441</v>
      </c>
      <c r="M333" s="17">
        <f>CHOOSE(CONTROL!$C$42, 13.6724, 13.6724) * CHOOSE(CONTROL!$C$21, $C$9, 100%, $E$9)</f>
        <v>13.6724</v>
      </c>
      <c r="N333" s="17">
        <f>CHOOSE(CONTROL!$C$42, 13.6887, 13.6887) * CHOOSE(CONTROL!$C$21, $C$9, 100%, $E$9)</f>
        <v>13.688700000000001</v>
      </c>
      <c r="O333" s="17">
        <f>CHOOSE(CONTROL!$C$42, 13.9377, 13.9377) * CHOOSE(CONTROL!$C$21, $C$9, 100%, $E$9)</f>
        <v>13.9377</v>
      </c>
      <c r="P333" s="17">
        <f>CHOOSE(CONTROL!$C$42, 13.7313, 13.7313) * CHOOSE(CONTROL!$C$21, $C$9, 100%, $E$9)</f>
        <v>13.731299999999999</v>
      </c>
      <c r="Q333" s="17">
        <f>CHOOSE(CONTROL!$C$42, 14.5324, 14.5324) * CHOOSE(CONTROL!$C$21, $C$9, 100%, $E$9)</f>
        <v>14.532400000000001</v>
      </c>
      <c r="R333" s="17">
        <f>CHOOSE(CONTROL!$C$42, 15.1557, 15.1557) * CHOOSE(CONTROL!$C$21, $C$9, 100%, $E$9)</f>
        <v>15.1557</v>
      </c>
      <c r="S333" s="17">
        <f>CHOOSE(CONTROL!$C$42, 13.3559, 13.3559) * CHOOSE(CONTROL!$C$21, $C$9, 100%, $E$9)</f>
        <v>13.3559</v>
      </c>
      <c r="T33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33" s="56">
        <f>(1000*CHOOSE(CONTROL!$C$42, 695, 695)*CHOOSE(CONTROL!$C$42, 0.5599, 0.5599)*CHOOSE(CONTROL!$C$42, 30, 30))/1000000</f>
        <v>11.673914999999997</v>
      </c>
      <c r="V333" s="56">
        <f>(1000*CHOOSE(CONTROL!$C$42, 500, 500)*CHOOSE(CONTROL!$C$42, 0.275, 0.275)*CHOOSE(CONTROL!$C$42, 30, 30))/1000000</f>
        <v>4.125</v>
      </c>
      <c r="W333" s="56">
        <f>(1000*CHOOSE(CONTROL!$C$42, 0.0916, 0.0916)*CHOOSE(CONTROL!$C$42, 121.5, 121.5)*CHOOSE(CONTROL!$C$42, 30, 30))/1000000</f>
        <v>0.33388200000000001</v>
      </c>
      <c r="X333" s="56">
        <f>(30*0.1790888*145000/1000000)+(30*0.2374*100000/1000000)</f>
        <v>1.4912362799999999</v>
      </c>
      <c r="Y333" s="56"/>
      <c r="Z333" s="17"/>
      <c r="AA333" s="55"/>
      <c r="AB333" s="48">
        <f>(B333*194.205+C333*267.466+D333*133.845+E333*153.484+F333*40+G333*85+H333*0+I333*100+J333*300)/(194.205+267.466+133.845+153.484+0+40+85+100+300)</f>
        <v>13.855793423704865</v>
      </c>
      <c r="AC333" s="45">
        <f>(M333*'RAP TEMPLATE-GAS AVAILABILITY'!O332+N333*'RAP TEMPLATE-GAS AVAILABILITY'!P332+O333*'RAP TEMPLATE-GAS AVAILABILITY'!Q332+P333*'RAP TEMPLATE-GAS AVAILABILITY'!R332)/('RAP TEMPLATE-GAS AVAILABILITY'!O332+'RAP TEMPLATE-GAS AVAILABILITY'!P332+'RAP TEMPLATE-GAS AVAILABILITY'!Q332+'RAP TEMPLATE-GAS AVAILABILITY'!R332)</f>
        <v>13.759064028776978</v>
      </c>
    </row>
    <row r="334" spans="1:29" ht="15.75" x14ac:dyDescent="0.25">
      <c r="A334" s="14">
        <v>51074</v>
      </c>
      <c r="B334" s="17">
        <f>CHOOSE(CONTROL!$C$42, 13.5038, 13.5038) * CHOOSE(CONTROL!$C$21, $C$9, 100%, $E$9)</f>
        <v>13.5038</v>
      </c>
      <c r="C334" s="17">
        <f>CHOOSE(CONTROL!$C$42, 13.5091, 13.5091) * CHOOSE(CONTROL!$C$21, $C$9, 100%, $E$9)</f>
        <v>13.5091</v>
      </c>
      <c r="D334" s="17">
        <f>CHOOSE(CONTROL!$C$42, 13.7585, 13.7585) * CHOOSE(CONTROL!$C$21, $C$9, 100%, $E$9)</f>
        <v>13.7585</v>
      </c>
      <c r="E334" s="17">
        <f>CHOOSE(CONTROL!$C$42, 13.7873, 13.7873) * CHOOSE(CONTROL!$C$21, $C$9, 100%, $E$9)</f>
        <v>13.7873</v>
      </c>
      <c r="F334" s="17">
        <f>CHOOSE(CONTROL!$C$42, 13.5176, 13.5176)*CHOOSE(CONTROL!$C$21, $C$9, 100%, $E$9)</f>
        <v>13.5176</v>
      </c>
      <c r="G334" s="17">
        <f>CHOOSE(CONTROL!$C$42, 13.534, 13.534)*CHOOSE(CONTROL!$C$21, $C$9, 100%, $E$9)</f>
        <v>13.534000000000001</v>
      </c>
      <c r="H334" s="17">
        <f>CHOOSE(CONTROL!$C$42, 13.7775, 13.7775) * CHOOSE(CONTROL!$C$21, $C$9, 100%, $E$9)</f>
        <v>13.7775</v>
      </c>
      <c r="I334" s="17">
        <f>CHOOSE(CONTROL!$C$42, 13.5687, 13.5687)* CHOOSE(CONTROL!$C$21, $C$9, 100%, $E$9)</f>
        <v>13.5687</v>
      </c>
      <c r="J334" s="17">
        <f>CHOOSE(CONTROL!$C$42, 13.5102, 13.5102)* CHOOSE(CONTROL!$C$21, $C$9, 100%, $E$9)</f>
        <v>13.510199999999999</v>
      </c>
      <c r="K334" s="52">
        <f>CHOOSE(CONTROL!$C$42, 13.5626, 13.5626) * CHOOSE(CONTROL!$C$21, $C$9, 100%, $E$9)</f>
        <v>13.5626</v>
      </c>
      <c r="L334" s="17">
        <f>CHOOSE(CONTROL!$C$42, 14.3645, 14.3645) * CHOOSE(CONTROL!$C$21, $C$9, 100%, $E$9)</f>
        <v>14.3645</v>
      </c>
      <c r="M334" s="17">
        <f>CHOOSE(CONTROL!$C$42, 13.3957, 13.3957) * CHOOSE(CONTROL!$C$21, $C$9, 100%, $E$9)</f>
        <v>13.3957</v>
      </c>
      <c r="N334" s="17">
        <f>CHOOSE(CONTROL!$C$42, 13.412, 13.412) * CHOOSE(CONTROL!$C$21, $C$9, 100%, $E$9)</f>
        <v>13.412000000000001</v>
      </c>
      <c r="O334" s="17">
        <f>CHOOSE(CONTROL!$C$42, 13.6606, 13.6606) * CHOOSE(CONTROL!$C$21, $C$9, 100%, $E$9)</f>
        <v>13.660600000000001</v>
      </c>
      <c r="P334" s="17">
        <f>CHOOSE(CONTROL!$C$42, 13.4533, 13.4533) * CHOOSE(CONTROL!$C$21, $C$9, 100%, $E$9)</f>
        <v>13.4533</v>
      </c>
      <c r="Q334" s="17">
        <f>CHOOSE(CONTROL!$C$42, 14.2553, 14.2553) * CHOOSE(CONTROL!$C$21, $C$9, 100%, $E$9)</f>
        <v>14.2553</v>
      </c>
      <c r="R334" s="17">
        <f>CHOOSE(CONTROL!$C$42, 14.8779, 14.8779) * CHOOSE(CONTROL!$C$21, $C$9, 100%, $E$9)</f>
        <v>14.8779</v>
      </c>
      <c r="S334" s="17">
        <f>CHOOSE(CONTROL!$C$42, 13.0847, 13.0847) * CHOOSE(CONTROL!$C$21, $C$9, 100%, $E$9)</f>
        <v>13.0847</v>
      </c>
      <c r="T33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34" s="56">
        <f>(1000*CHOOSE(CONTROL!$C$42, 695, 695)*CHOOSE(CONTROL!$C$42, 0.5599, 0.5599)*CHOOSE(CONTROL!$C$42, 31, 31))/1000000</f>
        <v>12.063045499999998</v>
      </c>
      <c r="V334" s="56">
        <f>(1000*CHOOSE(CONTROL!$C$42, 500, 500)*CHOOSE(CONTROL!$C$42, 0.275, 0.275)*CHOOSE(CONTROL!$C$42, 31, 31))/1000000</f>
        <v>4.2625000000000002</v>
      </c>
      <c r="W334" s="56">
        <f>(1000*CHOOSE(CONTROL!$C$42, 0.0916, 0.0916)*CHOOSE(CONTROL!$C$42, 121.5, 121.5)*CHOOSE(CONTROL!$C$42, 31, 31))/1000000</f>
        <v>0.34501139999999997</v>
      </c>
      <c r="X334" s="56">
        <f>(31*0.1790888*145000/1000000)+(31*0.2374*100000/1000000)</f>
        <v>1.5409441560000001</v>
      </c>
      <c r="Y334" s="56"/>
      <c r="Z334" s="17"/>
      <c r="AA334" s="55"/>
      <c r="AB334" s="48">
        <f>(B334*131.881+C334*277.167+D334*79.08+E334*225.872+F334*40+G334*85+H334*0+I334*100+J334*300)/(131.881+277.167+79.08+225.872+0+40+85+100+300)</f>
        <v>13.582229679661017</v>
      </c>
      <c r="AC334" s="45">
        <f>(M334*'RAP TEMPLATE-GAS AVAILABILITY'!O333+N334*'RAP TEMPLATE-GAS AVAILABILITY'!P333+O334*'RAP TEMPLATE-GAS AVAILABILITY'!Q333+P334*'RAP TEMPLATE-GAS AVAILABILITY'!R333)/('RAP TEMPLATE-GAS AVAILABILITY'!O333+'RAP TEMPLATE-GAS AVAILABILITY'!P333+'RAP TEMPLATE-GAS AVAILABILITY'!Q333+'RAP TEMPLATE-GAS AVAILABILITY'!R333)</f>
        <v>13.482064748201438</v>
      </c>
    </row>
    <row r="335" spans="1:29" ht="15.75" x14ac:dyDescent="0.25">
      <c r="A335" s="14">
        <v>51104</v>
      </c>
      <c r="B335" s="17">
        <f>CHOOSE(CONTROL!$C$42, 13.8588, 13.8588) * CHOOSE(CONTROL!$C$21, $C$9, 100%, $E$9)</f>
        <v>13.8588</v>
      </c>
      <c r="C335" s="17">
        <f>CHOOSE(CONTROL!$C$42, 13.8639, 13.8639) * CHOOSE(CONTROL!$C$21, $C$9, 100%, $E$9)</f>
        <v>13.863899999999999</v>
      </c>
      <c r="D335" s="17">
        <f>CHOOSE(CONTROL!$C$42, 13.9453, 13.9453) * CHOOSE(CONTROL!$C$21, $C$9, 100%, $E$9)</f>
        <v>13.9453</v>
      </c>
      <c r="E335" s="17">
        <f>CHOOSE(CONTROL!$C$42, 13.9791, 13.9791) * CHOOSE(CONTROL!$C$21, $C$9, 100%, $E$9)</f>
        <v>13.979100000000001</v>
      </c>
      <c r="F335" s="17">
        <f>CHOOSE(CONTROL!$C$42, 13.8768, 13.8768)*CHOOSE(CONTROL!$C$21, $C$9, 100%, $E$9)</f>
        <v>13.876799999999999</v>
      </c>
      <c r="G335" s="17">
        <f>CHOOSE(CONTROL!$C$42, 13.8935, 13.8935)*CHOOSE(CONTROL!$C$21, $C$9, 100%, $E$9)</f>
        <v>13.8935</v>
      </c>
      <c r="H335" s="17">
        <f>CHOOSE(CONTROL!$C$42, 13.9679, 13.9679) * CHOOSE(CONTROL!$C$21, $C$9, 100%, $E$9)</f>
        <v>13.9679</v>
      </c>
      <c r="I335" s="17">
        <f>CHOOSE(CONTROL!$C$42, 13.9268, 13.9268)* CHOOSE(CONTROL!$C$21, $C$9, 100%, $E$9)</f>
        <v>13.9268</v>
      </c>
      <c r="J335" s="17">
        <f>CHOOSE(CONTROL!$C$42, 13.8694, 13.8694)* CHOOSE(CONTROL!$C$21, $C$9, 100%, $E$9)</f>
        <v>13.869400000000001</v>
      </c>
      <c r="K335" s="52">
        <f>CHOOSE(CONTROL!$C$42, 13.9208, 13.9208) * CHOOSE(CONTROL!$C$21, $C$9, 100%, $E$9)</f>
        <v>13.9208</v>
      </c>
      <c r="L335" s="17">
        <f>CHOOSE(CONTROL!$C$42, 14.5549, 14.5549) * CHOOSE(CONTROL!$C$21, $C$9, 100%, $E$9)</f>
        <v>14.5549</v>
      </c>
      <c r="M335" s="17">
        <f>CHOOSE(CONTROL!$C$42, 13.7517, 13.7517) * CHOOSE(CONTROL!$C$21, $C$9, 100%, $E$9)</f>
        <v>13.7517</v>
      </c>
      <c r="N335" s="17">
        <f>CHOOSE(CONTROL!$C$42, 13.7682, 13.7682) * CHOOSE(CONTROL!$C$21, $C$9, 100%, $E$9)</f>
        <v>13.7682</v>
      </c>
      <c r="O335" s="17">
        <f>CHOOSE(CONTROL!$C$42, 13.8493, 13.8493) * CHOOSE(CONTROL!$C$21, $C$9, 100%, $E$9)</f>
        <v>13.849299999999999</v>
      </c>
      <c r="P335" s="17">
        <f>CHOOSE(CONTROL!$C$42, 13.8082, 13.8082) * CHOOSE(CONTROL!$C$21, $C$9, 100%, $E$9)</f>
        <v>13.808199999999999</v>
      </c>
      <c r="Q335" s="17">
        <f>CHOOSE(CONTROL!$C$42, 14.444, 14.444) * CHOOSE(CONTROL!$C$21, $C$9, 100%, $E$9)</f>
        <v>14.444000000000001</v>
      </c>
      <c r="R335" s="17">
        <f>CHOOSE(CONTROL!$C$42, 15.0671, 15.0671) * CHOOSE(CONTROL!$C$21, $C$9, 100%, $E$9)</f>
        <v>15.0671</v>
      </c>
      <c r="S335" s="17">
        <f>CHOOSE(CONTROL!$C$42, 13.4294, 13.4294) * CHOOSE(CONTROL!$C$21, $C$9, 100%, $E$9)</f>
        <v>13.429399999999999</v>
      </c>
      <c r="T33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35" s="56">
        <f>(1000*CHOOSE(CONTROL!$C$42, 695, 695)*CHOOSE(CONTROL!$C$42, 0.5599, 0.5599)*CHOOSE(CONTROL!$C$42, 30, 30))/1000000</f>
        <v>11.673914999999997</v>
      </c>
      <c r="V335" s="56">
        <f>(1000*CHOOSE(CONTROL!$C$42, 500, 500)*CHOOSE(CONTROL!$C$42, 0.275, 0.275)*CHOOSE(CONTROL!$C$42, 30, 30))/1000000</f>
        <v>4.125</v>
      </c>
      <c r="W335" s="56">
        <f>(1000*CHOOSE(CONTROL!$C$42, 0.0916, 0.0916)*CHOOSE(CONTROL!$C$42, 121.5, 121.5)*CHOOSE(CONTROL!$C$42, 30, 30))/1000000</f>
        <v>0.33388200000000001</v>
      </c>
      <c r="X335" s="56">
        <f>(30*0.2374*100000/1000000)</f>
        <v>0.71220000000000006</v>
      </c>
      <c r="Y335" s="56"/>
      <c r="Z335" s="17"/>
      <c r="AA335" s="55"/>
      <c r="AB335" s="48">
        <f>(B335*122.58+C335*297.941+D335*89.177+E335*140.302+F335*40+G335*60+H335*0+I335*100+J335*300)/(122.58+297.941+89.177+140.302+0+40+60+100+300)</f>
        <v>13.892620556695654</v>
      </c>
      <c r="AC335" s="45">
        <f>(M335*'RAP TEMPLATE-GAS AVAILABILITY'!O334+N335*'RAP TEMPLATE-GAS AVAILABILITY'!P334+O335*'RAP TEMPLATE-GAS AVAILABILITY'!Q334+P335*'RAP TEMPLATE-GAS AVAILABILITY'!R334)/('RAP TEMPLATE-GAS AVAILABILITY'!O334+'RAP TEMPLATE-GAS AVAILABILITY'!P334+'RAP TEMPLATE-GAS AVAILABILITY'!Q334+'RAP TEMPLATE-GAS AVAILABILITY'!R334)</f>
        <v>13.805015107913668</v>
      </c>
    </row>
    <row r="336" spans="1:29" ht="15.75" x14ac:dyDescent="0.25">
      <c r="A336" s="14">
        <v>51135</v>
      </c>
      <c r="B336" s="17">
        <f>CHOOSE(CONTROL!$C$42, 14.803, 14.803) * CHOOSE(CONTROL!$C$21, $C$9, 100%, $E$9)</f>
        <v>14.803000000000001</v>
      </c>
      <c r="C336" s="17">
        <f>CHOOSE(CONTROL!$C$42, 14.8081, 14.8081) * CHOOSE(CONTROL!$C$21, $C$9, 100%, $E$9)</f>
        <v>14.8081</v>
      </c>
      <c r="D336" s="17">
        <f>CHOOSE(CONTROL!$C$42, 14.8895, 14.8895) * CHOOSE(CONTROL!$C$21, $C$9, 100%, $E$9)</f>
        <v>14.8895</v>
      </c>
      <c r="E336" s="17">
        <f>CHOOSE(CONTROL!$C$42, 14.9232, 14.9232) * CHOOSE(CONTROL!$C$21, $C$9, 100%, $E$9)</f>
        <v>14.9232</v>
      </c>
      <c r="F336" s="17">
        <f>CHOOSE(CONTROL!$C$42, 14.8233, 14.8233)*CHOOSE(CONTROL!$C$21, $C$9, 100%, $E$9)</f>
        <v>14.8233</v>
      </c>
      <c r="G336" s="17">
        <f>CHOOSE(CONTROL!$C$42, 14.8407, 14.8407)*CHOOSE(CONTROL!$C$21, $C$9, 100%, $E$9)</f>
        <v>14.8407</v>
      </c>
      <c r="H336" s="17">
        <f>CHOOSE(CONTROL!$C$42, 14.9121, 14.9121) * CHOOSE(CONTROL!$C$21, $C$9, 100%, $E$9)</f>
        <v>14.912100000000001</v>
      </c>
      <c r="I336" s="17">
        <f>CHOOSE(CONTROL!$C$42, 14.8739, 14.8739)* CHOOSE(CONTROL!$C$21, $C$9, 100%, $E$9)</f>
        <v>14.873900000000001</v>
      </c>
      <c r="J336" s="17">
        <f>CHOOSE(CONTROL!$C$42, 14.8159, 14.8159)* CHOOSE(CONTROL!$C$21, $C$9, 100%, $E$9)</f>
        <v>14.815899999999999</v>
      </c>
      <c r="K336" s="52">
        <f>CHOOSE(CONTROL!$C$42, 14.8679, 14.8679) * CHOOSE(CONTROL!$C$21, $C$9, 100%, $E$9)</f>
        <v>14.867900000000001</v>
      </c>
      <c r="L336" s="17">
        <f>CHOOSE(CONTROL!$C$42, 15.4991, 15.4991) * CHOOSE(CONTROL!$C$21, $C$9, 100%, $E$9)</f>
        <v>15.4991</v>
      </c>
      <c r="M336" s="17">
        <f>CHOOSE(CONTROL!$C$42, 14.6897, 14.6897) * CHOOSE(CONTROL!$C$21, $C$9, 100%, $E$9)</f>
        <v>14.6897</v>
      </c>
      <c r="N336" s="17">
        <f>CHOOSE(CONTROL!$C$42, 14.7069, 14.7069) * CHOOSE(CONTROL!$C$21, $C$9, 100%, $E$9)</f>
        <v>14.706899999999999</v>
      </c>
      <c r="O336" s="17">
        <f>CHOOSE(CONTROL!$C$42, 14.785, 14.785) * CHOOSE(CONTROL!$C$21, $C$9, 100%, $E$9)</f>
        <v>14.785</v>
      </c>
      <c r="P336" s="17">
        <f>CHOOSE(CONTROL!$C$42, 14.7468, 14.7468) * CHOOSE(CONTROL!$C$21, $C$9, 100%, $E$9)</f>
        <v>14.7468</v>
      </c>
      <c r="Q336" s="17">
        <f>CHOOSE(CONTROL!$C$42, 15.3797, 15.3797) * CHOOSE(CONTROL!$C$21, $C$9, 100%, $E$9)</f>
        <v>15.3797</v>
      </c>
      <c r="R336" s="17">
        <f>CHOOSE(CONTROL!$C$42, 16.0051, 16.0051) * CHOOSE(CONTROL!$C$21, $C$9, 100%, $E$9)</f>
        <v>16.005099999999999</v>
      </c>
      <c r="S336" s="17">
        <f>CHOOSE(CONTROL!$C$42, 14.345, 14.345) * CHOOSE(CONTROL!$C$21, $C$9, 100%, $E$9)</f>
        <v>14.345000000000001</v>
      </c>
      <c r="T33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36" s="56">
        <f>(1000*CHOOSE(CONTROL!$C$42, 695, 695)*CHOOSE(CONTROL!$C$42, 0.5599, 0.5599)*CHOOSE(CONTROL!$C$42, 31, 31))/1000000</f>
        <v>12.063045499999998</v>
      </c>
      <c r="V336" s="56">
        <f>(1000*CHOOSE(CONTROL!$C$42, 500, 500)*CHOOSE(CONTROL!$C$42, 0.275, 0.275)*CHOOSE(CONTROL!$C$42, 31, 31))/1000000</f>
        <v>4.2625000000000002</v>
      </c>
      <c r="W336" s="56">
        <f>(1000*CHOOSE(CONTROL!$C$42, 0.0916, 0.0916)*CHOOSE(CONTROL!$C$42, 121.5, 121.5)*CHOOSE(CONTROL!$C$42, 31, 31))/1000000</f>
        <v>0.34501139999999997</v>
      </c>
      <c r="X336" s="56">
        <f>(31*0.2374*100000/1000000)</f>
        <v>0.73594000000000004</v>
      </c>
      <c r="Y336" s="56"/>
      <c r="Z336" s="17"/>
      <c r="AA336" s="55"/>
      <c r="AB336" s="48">
        <f>(B336*122.58+C336*297.941+D336*89.177+E336*140.302+F336*40+G336*60+H336*0+I336*100+J336*300)/(122.58+297.941+89.177+140.302+0+40+60+100+300)</f>
        <v>14.837897052173915</v>
      </c>
      <c r="AC336" s="45">
        <f>(M336*'RAP TEMPLATE-GAS AVAILABILITY'!O335+N336*'RAP TEMPLATE-GAS AVAILABILITY'!P335+O336*'RAP TEMPLATE-GAS AVAILABILITY'!Q335+P336*'RAP TEMPLATE-GAS AVAILABILITY'!R335)/('RAP TEMPLATE-GAS AVAILABILITY'!O335+'RAP TEMPLATE-GAS AVAILABILITY'!P335+'RAP TEMPLATE-GAS AVAILABILITY'!Q335+'RAP TEMPLATE-GAS AVAILABILITY'!R335)</f>
        <v>14.742099280575539</v>
      </c>
    </row>
    <row r="337" spans="1:29" ht="15.75" x14ac:dyDescent="0.25">
      <c r="A337" s="14">
        <v>51166</v>
      </c>
      <c r="B337" s="17">
        <f>CHOOSE(CONTROL!$C$42, 16.0293, 16.0293) * CHOOSE(CONTROL!$C$21, $C$9, 100%, $E$9)</f>
        <v>16.029299999999999</v>
      </c>
      <c r="C337" s="17">
        <f>CHOOSE(CONTROL!$C$42, 16.0344, 16.0344) * CHOOSE(CONTROL!$C$21, $C$9, 100%, $E$9)</f>
        <v>16.034400000000002</v>
      </c>
      <c r="D337" s="17">
        <f>CHOOSE(CONTROL!$C$42, 16.1312, 16.1312) * CHOOSE(CONTROL!$C$21, $C$9, 100%, $E$9)</f>
        <v>16.1312</v>
      </c>
      <c r="E337" s="17">
        <f>CHOOSE(CONTROL!$C$42, 16.165, 16.165) * CHOOSE(CONTROL!$C$21, $C$9, 100%, $E$9)</f>
        <v>16.164999999999999</v>
      </c>
      <c r="F337" s="17">
        <f>CHOOSE(CONTROL!$C$42, 16.0436, 16.0436)*CHOOSE(CONTROL!$C$21, $C$9, 100%, $E$9)</f>
        <v>16.043600000000001</v>
      </c>
      <c r="G337" s="17">
        <f>CHOOSE(CONTROL!$C$42, 16.06, 16.06)*CHOOSE(CONTROL!$C$21, $C$9, 100%, $E$9)</f>
        <v>16.059999999999999</v>
      </c>
      <c r="H337" s="17">
        <f>CHOOSE(CONTROL!$C$42, 16.1539, 16.1539) * CHOOSE(CONTROL!$C$21, $C$9, 100%, $E$9)</f>
        <v>16.1539</v>
      </c>
      <c r="I337" s="17">
        <f>CHOOSE(CONTROL!$C$42, 16.104, 16.104)* CHOOSE(CONTROL!$C$21, $C$9, 100%, $E$9)</f>
        <v>16.103999999999999</v>
      </c>
      <c r="J337" s="17">
        <f>CHOOSE(CONTROL!$C$42, 16.0362, 16.0362)* CHOOSE(CONTROL!$C$21, $C$9, 100%, $E$9)</f>
        <v>16.036200000000001</v>
      </c>
      <c r="K337" s="52">
        <f>CHOOSE(CONTROL!$C$42, 16.098, 16.098) * CHOOSE(CONTROL!$C$21, $C$9, 100%, $E$9)</f>
        <v>16.097999999999999</v>
      </c>
      <c r="L337" s="17">
        <f>CHOOSE(CONTROL!$C$42, 16.7409, 16.7409) * CHOOSE(CONTROL!$C$21, $C$9, 100%, $E$9)</f>
        <v>16.7409</v>
      </c>
      <c r="M337" s="17">
        <f>CHOOSE(CONTROL!$C$42, 15.899, 15.899) * CHOOSE(CONTROL!$C$21, $C$9, 100%, $E$9)</f>
        <v>15.898999999999999</v>
      </c>
      <c r="N337" s="17">
        <f>CHOOSE(CONTROL!$C$42, 15.9153, 15.9153) * CHOOSE(CONTROL!$C$21, $C$9, 100%, $E$9)</f>
        <v>15.9153</v>
      </c>
      <c r="O337" s="17">
        <f>CHOOSE(CONTROL!$C$42, 16.0156, 16.0156) * CHOOSE(CONTROL!$C$21, $C$9, 100%, $E$9)</f>
        <v>16.015599999999999</v>
      </c>
      <c r="P337" s="17">
        <f>CHOOSE(CONTROL!$C$42, 15.9658, 15.9658) * CHOOSE(CONTROL!$C$21, $C$9, 100%, $E$9)</f>
        <v>15.9658</v>
      </c>
      <c r="Q337" s="17">
        <f>CHOOSE(CONTROL!$C$42, 16.6103, 16.6103) * CHOOSE(CONTROL!$C$21, $C$9, 100%, $E$9)</f>
        <v>16.610299999999999</v>
      </c>
      <c r="R337" s="17">
        <f>CHOOSE(CONTROL!$C$42, 17.2388, 17.2388) * CHOOSE(CONTROL!$C$21, $C$9, 100%, $E$9)</f>
        <v>17.238800000000001</v>
      </c>
      <c r="S337" s="17">
        <f>CHOOSE(CONTROL!$C$42, 15.5341, 15.5341) * CHOOSE(CONTROL!$C$21, $C$9, 100%, $E$9)</f>
        <v>15.5341</v>
      </c>
      <c r="T33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37" s="56">
        <f>(1000*CHOOSE(CONTROL!$C$42, 695, 695)*CHOOSE(CONTROL!$C$42, 0.5599, 0.5599)*CHOOSE(CONTROL!$C$42, 31, 31))/1000000</f>
        <v>12.063045499999998</v>
      </c>
      <c r="V337" s="56">
        <f>(1000*CHOOSE(CONTROL!$C$42, 500, 500)*CHOOSE(CONTROL!$C$42, 0.275, 0.275)*CHOOSE(CONTROL!$C$42, 31, 31))/1000000</f>
        <v>4.2625000000000002</v>
      </c>
      <c r="W337" s="56">
        <f>(1000*CHOOSE(CONTROL!$C$42, 0.0916, 0.0916)*CHOOSE(CONTROL!$C$42, 121.5, 121.5)*CHOOSE(CONTROL!$C$42, 31, 31))/1000000</f>
        <v>0.34501139999999997</v>
      </c>
      <c r="X337" s="56">
        <f>(31*0.2374*100000/1000000)</f>
        <v>0.73594000000000004</v>
      </c>
      <c r="Y337" s="56"/>
      <c r="Z337" s="17"/>
      <c r="AA337" s="55"/>
      <c r="AB337" s="48">
        <f>(B337*122.58+C337*297.941+D337*89.177+E337*140.302+F337*40+G337*60+H337*0+I337*100+J337*300)/(122.58+297.941+89.177+140.302+0+40+60+100+300)</f>
        <v>16.065473579826087</v>
      </c>
      <c r="AC337" s="45">
        <f>(M337*'RAP TEMPLATE-GAS AVAILABILITY'!O336+N337*'RAP TEMPLATE-GAS AVAILABILITY'!P336+O337*'RAP TEMPLATE-GAS AVAILABILITY'!Q336+P337*'RAP TEMPLATE-GAS AVAILABILITY'!R336)/('RAP TEMPLATE-GAS AVAILABILITY'!O336+'RAP TEMPLATE-GAS AVAILABILITY'!P336+'RAP TEMPLATE-GAS AVAILABILITY'!Q336+'RAP TEMPLATE-GAS AVAILABILITY'!R336)</f>
        <v>15.962397122302159</v>
      </c>
    </row>
    <row r="338" spans="1:29" ht="15.75" x14ac:dyDescent="0.25">
      <c r="A338" s="14">
        <v>51194</v>
      </c>
      <c r="B338" s="17">
        <f>CHOOSE(CONTROL!$C$42, 16.3145, 16.3145) * CHOOSE(CONTROL!$C$21, $C$9, 100%, $E$9)</f>
        <v>16.314499999999999</v>
      </c>
      <c r="C338" s="17">
        <f>CHOOSE(CONTROL!$C$42, 16.3196, 16.3196) * CHOOSE(CONTROL!$C$21, $C$9, 100%, $E$9)</f>
        <v>16.319600000000001</v>
      </c>
      <c r="D338" s="17">
        <f>CHOOSE(CONTROL!$C$42, 16.4164, 16.4164) * CHOOSE(CONTROL!$C$21, $C$9, 100%, $E$9)</f>
        <v>16.416399999999999</v>
      </c>
      <c r="E338" s="17">
        <f>CHOOSE(CONTROL!$C$42, 16.4502, 16.4502) * CHOOSE(CONTROL!$C$21, $C$9, 100%, $E$9)</f>
        <v>16.450199999999999</v>
      </c>
      <c r="F338" s="17">
        <f>CHOOSE(CONTROL!$C$42, 16.3287, 16.3287)*CHOOSE(CONTROL!$C$21, $C$9, 100%, $E$9)</f>
        <v>16.328700000000001</v>
      </c>
      <c r="G338" s="17">
        <f>CHOOSE(CONTROL!$C$42, 16.3452, 16.3452)*CHOOSE(CONTROL!$C$21, $C$9, 100%, $E$9)</f>
        <v>16.345199999999998</v>
      </c>
      <c r="H338" s="17">
        <f>CHOOSE(CONTROL!$C$42, 16.439, 16.439) * CHOOSE(CONTROL!$C$21, $C$9, 100%, $E$9)</f>
        <v>16.439</v>
      </c>
      <c r="I338" s="17">
        <f>CHOOSE(CONTROL!$C$42, 16.3901, 16.3901)* CHOOSE(CONTROL!$C$21, $C$9, 100%, $E$9)</f>
        <v>16.3901</v>
      </c>
      <c r="J338" s="17">
        <f>CHOOSE(CONTROL!$C$42, 16.3213, 16.3213)* CHOOSE(CONTROL!$C$21, $C$9, 100%, $E$9)</f>
        <v>16.321300000000001</v>
      </c>
      <c r="K338" s="52">
        <f>CHOOSE(CONTROL!$C$42, 16.384, 16.384) * CHOOSE(CONTROL!$C$21, $C$9, 100%, $E$9)</f>
        <v>16.384</v>
      </c>
      <c r="L338" s="17">
        <f>CHOOSE(CONTROL!$C$42, 17.026, 17.026) * CHOOSE(CONTROL!$C$21, $C$9, 100%, $E$9)</f>
        <v>17.026</v>
      </c>
      <c r="M338" s="17">
        <f>CHOOSE(CONTROL!$C$42, 16.1816, 16.1816) * CHOOSE(CONTROL!$C$21, $C$9, 100%, $E$9)</f>
        <v>16.1816</v>
      </c>
      <c r="N338" s="17">
        <f>CHOOSE(CONTROL!$C$42, 16.1978, 16.1978) * CHOOSE(CONTROL!$C$21, $C$9, 100%, $E$9)</f>
        <v>16.197800000000001</v>
      </c>
      <c r="O338" s="17">
        <f>CHOOSE(CONTROL!$C$42, 16.2982, 16.2982) * CHOOSE(CONTROL!$C$21, $C$9, 100%, $E$9)</f>
        <v>16.298200000000001</v>
      </c>
      <c r="P338" s="17">
        <f>CHOOSE(CONTROL!$C$42, 16.2493, 16.2493) * CHOOSE(CONTROL!$C$21, $C$9, 100%, $E$9)</f>
        <v>16.249300000000002</v>
      </c>
      <c r="Q338" s="17">
        <f>CHOOSE(CONTROL!$C$42, 16.8929, 16.8929) * CHOOSE(CONTROL!$C$21, $C$9, 100%, $E$9)</f>
        <v>16.892900000000001</v>
      </c>
      <c r="R338" s="17">
        <f>CHOOSE(CONTROL!$C$42, 17.5221, 17.5221) * CHOOSE(CONTROL!$C$21, $C$9, 100%, $E$9)</f>
        <v>17.522099999999998</v>
      </c>
      <c r="S338" s="17">
        <f>CHOOSE(CONTROL!$C$42, 15.8106, 15.8106) * CHOOSE(CONTROL!$C$21, $C$9, 100%, $E$9)</f>
        <v>15.810600000000001</v>
      </c>
      <c r="T338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38" s="56">
        <f>(1000*CHOOSE(CONTROL!$C$42, 695, 695)*CHOOSE(CONTROL!$C$42, 0.5599, 0.5599)*CHOOSE(CONTROL!$C$42, 29, 29))/1000000</f>
        <v>11.284784499999999</v>
      </c>
      <c r="V338" s="56">
        <f>(1000*CHOOSE(CONTROL!$C$42, 500, 500)*CHOOSE(CONTROL!$C$42, 0.275, 0.275)*CHOOSE(CONTROL!$C$42, 29, 29))/1000000</f>
        <v>3.9874999999999998</v>
      </c>
      <c r="W338" s="56">
        <f>(1000*CHOOSE(CONTROL!$C$42, 0.0916, 0.0916)*CHOOSE(CONTROL!$C$42, 121.5, 121.5)*CHOOSE(CONTROL!$C$42, 29, 29))/1000000</f>
        <v>0.3227526</v>
      </c>
      <c r="X338" s="56">
        <f>(29*0.2374*100000/1000000)</f>
        <v>0.68845999999999996</v>
      </c>
      <c r="Y338" s="56"/>
      <c r="Z338" s="17"/>
      <c r="AA338" s="55"/>
      <c r="AB338" s="48">
        <f>(B338*122.58+C338*297.941+D338*89.177+E338*140.302+F338*40+G338*60+H338*0+I338*100+J338*300)/(122.58+297.941+89.177+140.302+0+40+60+100+300)</f>
        <v>16.350722275478258</v>
      </c>
      <c r="AC338" s="45">
        <f>(M338*'RAP TEMPLATE-GAS AVAILABILITY'!O337+N338*'RAP TEMPLATE-GAS AVAILABILITY'!P337+O338*'RAP TEMPLATE-GAS AVAILABILITY'!Q337+P338*'RAP TEMPLATE-GAS AVAILABILITY'!R337)/('RAP TEMPLATE-GAS AVAILABILITY'!O337+'RAP TEMPLATE-GAS AVAILABILITY'!P337+'RAP TEMPLATE-GAS AVAILABILITY'!Q337+'RAP TEMPLATE-GAS AVAILABILITY'!R337)</f>
        <v>16.245120863309353</v>
      </c>
    </row>
    <row r="339" spans="1:29" ht="15.75" x14ac:dyDescent="0.25">
      <c r="A339" s="14">
        <v>51226</v>
      </c>
      <c r="B339" s="17">
        <f>CHOOSE(CONTROL!$C$42, 15.8516, 15.8516) * CHOOSE(CONTROL!$C$21, $C$9, 100%, $E$9)</f>
        <v>15.851599999999999</v>
      </c>
      <c r="C339" s="17">
        <f>CHOOSE(CONTROL!$C$42, 15.8567, 15.8567) * CHOOSE(CONTROL!$C$21, $C$9, 100%, $E$9)</f>
        <v>15.8567</v>
      </c>
      <c r="D339" s="17">
        <f>CHOOSE(CONTROL!$C$42, 15.9535, 15.9535) * CHOOSE(CONTROL!$C$21, $C$9, 100%, $E$9)</f>
        <v>15.9535</v>
      </c>
      <c r="E339" s="17">
        <f>CHOOSE(CONTROL!$C$42, 15.9873, 15.9873) * CHOOSE(CONTROL!$C$21, $C$9, 100%, $E$9)</f>
        <v>15.987299999999999</v>
      </c>
      <c r="F339" s="17">
        <f>CHOOSE(CONTROL!$C$42, 15.8652, 15.8652)*CHOOSE(CONTROL!$C$21, $C$9, 100%, $E$9)</f>
        <v>15.8652</v>
      </c>
      <c r="G339" s="17">
        <f>CHOOSE(CONTROL!$C$42, 15.8815, 15.8815)*CHOOSE(CONTROL!$C$21, $C$9, 100%, $E$9)</f>
        <v>15.881500000000001</v>
      </c>
      <c r="H339" s="17">
        <f>CHOOSE(CONTROL!$C$42, 15.9762, 15.9762) * CHOOSE(CONTROL!$C$21, $C$9, 100%, $E$9)</f>
        <v>15.9762</v>
      </c>
      <c r="I339" s="17">
        <f>CHOOSE(CONTROL!$C$42, 15.9257, 15.9257)* CHOOSE(CONTROL!$C$21, $C$9, 100%, $E$9)</f>
        <v>15.925700000000001</v>
      </c>
      <c r="J339" s="17">
        <f>CHOOSE(CONTROL!$C$42, 15.8578, 15.8578)* CHOOSE(CONTROL!$C$21, $C$9, 100%, $E$9)</f>
        <v>15.857799999999999</v>
      </c>
      <c r="K339" s="52">
        <f>CHOOSE(CONTROL!$C$42, 15.9197, 15.9197) * CHOOSE(CONTROL!$C$21, $C$9, 100%, $E$9)</f>
        <v>15.919700000000001</v>
      </c>
      <c r="L339" s="17">
        <f>CHOOSE(CONTROL!$C$42, 16.5632, 16.5632) * CHOOSE(CONTROL!$C$21, $C$9, 100%, $E$9)</f>
        <v>16.563199999999998</v>
      </c>
      <c r="M339" s="17">
        <f>CHOOSE(CONTROL!$C$42, 15.7222, 15.7222) * CHOOSE(CONTROL!$C$21, $C$9, 100%, $E$9)</f>
        <v>15.722200000000001</v>
      </c>
      <c r="N339" s="17">
        <f>CHOOSE(CONTROL!$C$42, 15.7383, 15.7383) * CHOOSE(CONTROL!$C$21, $C$9, 100%, $E$9)</f>
        <v>15.738300000000001</v>
      </c>
      <c r="O339" s="17">
        <f>CHOOSE(CONTROL!$C$42, 15.8395, 15.8395) * CHOOSE(CONTROL!$C$21, $C$9, 100%, $E$9)</f>
        <v>15.839499999999999</v>
      </c>
      <c r="P339" s="17">
        <f>CHOOSE(CONTROL!$C$42, 15.7891, 15.7891) * CHOOSE(CONTROL!$C$21, $C$9, 100%, $E$9)</f>
        <v>15.789099999999999</v>
      </c>
      <c r="Q339" s="17">
        <f>CHOOSE(CONTROL!$C$42, 16.4342, 16.4342) * CHOOSE(CONTROL!$C$21, $C$9, 100%, $E$9)</f>
        <v>16.434200000000001</v>
      </c>
      <c r="R339" s="17">
        <f>CHOOSE(CONTROL!$C$42, 17.0623, 17.0623) * CHOOSE(CONTROL!$C$21, $C$9, 100%, $E$9)</f>
        <v>17.0623</v>
      </c>
      <c r="S339" s="17">
        <f>CHOOSE(CONTROL!$C$42, 15.3618, 15.3618) * CHOOSE(CONTROL!$C$21, $C$9, 100%, $E$9)</f>
        <v>15.361800000000001</v>
      </c>
      <c r="T33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39" s="56">
        <f>(1000*CHOOSE(CONTROL!$C$42, 695, 695)*CHOOSE(CONTROL!$C$42, 0.5599, 0.5599)*CHOOSE(CONTROL!$C$42, 31, 31))/1000000</f>
        <v>12.063045499999998</v>
      </c>
      <c r="V339" s="56">
        <f>(1000*CHOOSE(CONTROL!$C$42, 500, 500)*CHOOSE(CONTROL!$C$42, 0.275, 0.275)*CHOOSE(CONTROL!$C$42, 31, 31))/1000000</f>
        <v>4.2625000000000002</v>
      </c>
      <c r="W339" s="56">
        <f>(1000*CHOOSE(CONTROL!$C$42, 0.0916, 0.0916)*CHOOSE(CONTROL!$C$42, 121.5, 121.5)*CHOOSE(CONTROL!$C$42, 31, 31))/1000000</f>
        <v>0.34501139999999997</v>
      </c>
      <c r="X339" s="56">
        <f>(31*0.2374*100000/1000000)</f>
        <v>0.73594000000000004</v>
      </c>
      <c r="Y339" s="56"/>
      <c r="Z339" s="17"/>
      <c r="AA339" s="55"/>
      <c r="AB339" s="48">
        <f>(B339*122.58+C339*297.941+D339*89.177+E339*140.302+F339*40+G339*60+H339*0+I339*100+J339*300)/(122.58+297.941+89.177+140.302+0+40+60+100+300)</f>
        <v>15.887472710260868</v>
      </c>
      <c r="AC339" s="45">
        <f>(M339*'RAP TEMPLATE-GAS AVAILABILITY'!O338+N339*'RAP TEMPLATE-GAS AVAILABILITY'!P338+O339*'RAP TEMPLATE-GAS AVAILABILITY'!Q338+P339*'RAP TEMPLATE-GAS AVAILABILITY'!R338)/('RAP TEMPLATE-GAS AVAILABILITY'!O338+'RAP TEMPLATE-GAS AVAILABILITY'!P338+'RAP TEMPLATE-GAS AVAILABILITY'!Q338+'RAP TEMPLATE-GAS AVAILABILITY'!R338)</f>
        <v>15.785917266187052</v>
      </c>
    </row>
    <row r="340" spans="1:29" ht="15.75" x14ac:dyDescent="0.25">
      <c r="A340" s="14">
        <v>51256</v>
      </c>
      <c r="B340" s="17">
        <f>CHOOSE(CONTROL!$C$42, 15.8052, 15.8052) * CHOOSE(CONTROL!$C$21, $C$9, 100%, $E$9)</f>
        <v>15.805199999999999</v>
      </c>
      <c r="C340" s="17">
        <f>CHOOSE(CONTROL!$C$42, 15.8097, 15.8097) * CHOOSE(CONTROL!$C$21, $C$9, 100%, $E$9)</f>
        <v>15.809699999999999</v>
      </c>
      <c r="D340" s="17">
        <f>CHOOSE(CONTROL!$C$42, 16.0572, 16.0572) * CHOOSE(CONTROL!$C$21, $C$9, 100%, $E$9)</f>
        <v>16.057200000000002</v>
      </c>
      <c r="E340" s="17">
        <f>CHOOSE(CONTROL!$C$42, 16.089, 16.089) * CHOOSE(CONTROL!$C$21, $C$9, 100%, $E$9)</f>
        <v>16.088999999999999</v>
      </c>
      <c r="F340" s="17">
        <f>CHOOSE(CONTROL!$C$42, 15.8168, 15.8168)*CHOOSE(CONTROL!$C$21, $C$9, 100%, $E$9)</f>
        <v>15.816800000000001</v>
      </c>
      <c r="G340" s="17">
        <f>CHOOSE(CONTROL!$C$42, 15.8327, 15.8327)*CHOOSE(CONTROL!$C$21, $C$9, 100%, $E$9)</f>
        <v>15.832700000000001</v>
      </c>
      <c r="H340" s="17">
        <f>CHOOSE(CONTROL!$C$42, 16.0785, 16.0785) * CHOOSE(CONTROL!$C$21, $C$9, 100%, $E$9)</f>
        <v>16.078499999999998</v>
      </c>
      <c r="I340" s="17">
        <f>CHOOSE(CONTROL!$C$42, 15.8768, 15.8768)* CHOOSE(CONTROL!$C$21, $C$9, 100%, $E$9)</f>
        <v>15.876799999999999</v>
      </c>
      <c r="J340" s="17">
        <f>CHOOSE(CONTROL!$C$42, 15.8094, 15.8094)* CHOOSE(CONTROL!$C$21, $C$9, 100%, $E$9)</f>
        <v>15.8094</v>
      </c>
      <c r="K340" s="52">
        <f>CHOOSE(CONTROL!$C$42, 15.8708, 15.8708) * CHOOSE(CONTROL!$C$21, $C$9, 100%, $E$9)</f>
        <v>15.870799999999999</v>
      </c>
      <c r="L340" s="17">
        <f>CHOOSE(CONTROL!$C$42, 16.6655, 16.6655) * CHOOSE(CONTROL!$C$21, $C$9, 100%, $E$9)</f>
        <v>16.665500000000002</v>
      </c>
      <c r="M340" s="17">
        <f>CHOOSE(CONTROL!$C$42, 15.6742, 15.6742) * CHOOSE(CONTROL!$C$21, $C$9, 100%, $E$9)</f>
        <v>15.674200000000001</v>
      </c>
      <c r="N340" s="17">
        <f>CHOOSE(CONTROL!$C$42, 15.69, 15.69) * CHOOSE(CONTROL!$C$21, $C$9, 100%, $E$9)</f>
        <v>15.69</v>
      </c>
      <c r="O340" s="17">
        <f>CHOOSE(CONTROL!$C$42, 15.9409, 15.9409) * CHOOSE(CONTROL!$C$21, $C$9, 100%, $E$9)</f>
        <v>15.940899999999999</v>
      </c>
      <c r="P340" s="17">
        <f>CHOOSE(CONTROL!$C$42, 15.7407, 15.7407) * CHOOSE(CONTROL!$C$21, $C$9, 100%, $E$9)</f>
        <v>15.7407</v>
      </c>
      <c r="Q340" s="17">
        <f>CHOOSE(CONTROL!$C$42, 16.5356, 16.5356) * CHOOSE(CONTROL!$C$21, $C$9, 100%, $E$9)</f>
        <v>16.535599999999999</v>
      </c>
      <c r="R340" s="17">
        <f>CHOOSE(CONTROL!$C$42, 17.1639, 17.1639) * CHOOSE(CONTROL!$C$21, $C$9, 100%, $E$9)</f>
        <v>17.163900000000002</v>
      </c>
      <c r="S340" s="17">
        <f>CHOOSE(CONTROL!$C$42, 15.316, 15.316) * CHOOSE(CONTROL!$C$21, $C$9, 100%, $E$9)</f>
        <v>15.316000000000001</v>
      </c>
      <c r="T34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40" s="56">
        <f>(1000*CHOOSE(CONTROL!$C$42, 695, 695)*CHOOSE(CONTROL!$C$42, 0.5599, 0.5599)*CHOOSE(CONTROL!$C$42, 30, 30))/1000000</f>
        <v>11.673914999999997</v>
      </c>
      <c r="V340" s="56">
        <f>(1000*CHOOSE(CONTROL!$C$42, 500, 500)*CHOOSE(CONTROL!$C$42, 0.275, 0.275)*CHOOSE(CONTROL!$C$42, 30, 30))/1000000</f>
        <v>4.125</v>
      </c>
      <c r="W340" s="56">
        <f>(1000*CHOOSE(CONTROL!$C$42, 0.0916, 0.0916)*CHOOSE(CONTROL!$C$42, 121.5, 121.5)*CHOOSE(CONTROL!$C$42, 30, 30))/1000000</f>
        <v>0.33388200000000001</v>
      </c>
      <c r="X340" s="56">
        <f>(30*0.1790888*145000/1000000)+(30*0.2374*100000/1000000)</f>
        <v>1.4912362799999999</v>
      </c>
      <c r="Y340" s="56"/>
      <c r="Z340" s="17"/>
      <c r="AA340" s="55"/>
      <c r="AB340" s="48">
        <f>(B340*141.293+C340*267.993+D340*115.016+E340*189.698+F340*40+G340*85+H340*0+I340*100+J340*300)/(141.293+267.993+115.016+189.698+0+40+85+100+300)</f>
        <v>15.882074731961261</v>
      </c>
      <c r="AC340" s="45">
        <f>(M340*'RAP TEMPLATE-GAS AVAILABILITY'!O339+N340*'RAP TEMPLATE-GAS AVAILABILITY'!P339+O340*'RAP TEMPLATE-GAS AVAILABILITY'!Q339+P340*'RAP TEMPLATE-GAS AVAILABILITY'!R339)/('RAP TEMPLATE-GAS AVAILABILITY'!O339+'RAP TEMPLATE-GAS AVAILABILITY'!P339+'RAP TEMPLATE-GAS AVAILABILITY'!Q339+'RAP TEMPLATE-GAS AVAILABILITY'!R339)</f>
        <v>15.762235251798563</v>
      </c>
    </row>
    <row r="341" spans="1:29" ht="15.75" x14ac:dyDescent="0.25">
      <c r="A341" s="14">
        <v>51287</v>
      </c>
      <c r="B341" s="17">
        <f>CHOOSE(CONTROL!$C$42, 15.9459, 15.9459) * CHOOSE(CONTROL!$C$21, $C$9, 100%, $E$9)</f>
        <v>15.9459</v>
      </c>
      <c r="C341" s="17">
        <f>CHOOSE(CONTROL!$C$42, 15.9539, 15.9539) * CHOOSE(CONTROL!$C$21, $C$9, 100%, $E$9)</f>
        <v>15.953900000000001</v>
      </c>
      <c r="D341" s="17">
        <f>CHOOSE(CONTROL!$C$42, 16.1984, 16.1984) * CHOOSE(CONTROL!$C$21, $C$9, 100%, $E$9)</f>
        <v>16.198399999999999</v>
      </c>
      <c r="E341" s="17">
        <f>CHOOSE(CONTROL!$C$42, 16.2296, 16.2296) * CHOOSE(CONTROL!$C$21, $C$9, 100%, $E$9)</f>
        <v>16.229600000000001</v>
      </c>
      <c r="F341" s="17">
        <f>CHOOSE(CONTROL!$C$42, 15.9565, 15.9565)*CHOOSE(CONTROL!$C$21, $C$9, 100%, $E$9)</f>
        <v>15.9565</v>
      </c>
      <c r="G341" s="17">
        <f>CHOOSE(CONTROL!$C$42, 15.9727, 15.9727)*CHOOSE(CONTROL!$C$21, $C$9, 100%, $E$9)</f>
        <v>15.9727</v>
      </c>
      <c r="H341" s="17">
        <f>CHOOSE(CONTROL!$C$42, 16.2179, 16.2179) * CHOOSE(CONTROL!$C$21, $C$9, 100%, $E$9)</f>
        <v>16.2179</v>
      </c>
      <c r="I341" s="17">
        <f>CHOOSE(CONTROL!$C$42, 16.0167, 16.0167)* CHOOSE(CONTROL!$C$21, $C$9, 100%, $E$9)</f>
        <v>16.0167</v>
      </c>
      <c r="J341" s="17">
        <f>CHOOSE(CONTROL!$C$42, 15.9491, 15.9491)* CHOOSE(CONTROL!$C$21, $C$9, 100%, $E$9)</f>
        <v>15.9491</v>
      </c>
      <c r="K341" s="52">
        <f>CHOOSE(CONTROL!$C$42, 16.0106, 16.0106) * CHOOSE(CONTROL!$C$21, $C$9, 100%, $E$9)</f>
        <v>16.0106</v>
      </c>
      <c r="L341" s="17">
        <f>CHOOSE(CONTROL!$C$42, 16.8049, 16.8049) * CHOOSE(CONTROL!$C$21, $C$9, 100%, $E$9)</f>
        <v>16.8049</v>
      </c>
      <c r="M341" s="17">
        <f>CHOOSE(CONTROL!$C$42, 15.8126, 15.8126) * CHOOSE(CONTROL!$C$21, $C$9, 100%, $E$9)</f>
        <v>15.8126</v>
      </c>
      <c r="N341" s="17">
        <f>CHOOSE(CONTROL!$C$42, 15.8287, 15.8287) * CHOOSE(CONTROL!$C$21, $C$9, 100%, $E$9)</f>
        <v>15.8287</v>
      </c>
      <c r="O341" s="17">
        <f>CHOOSE(CONTROL!$C$42, 16.079, 16.079) * CHOOSE(CONTROL!$C$21, $C$9, 100%, $E$9)</f>
        <v>16.079000000000001</v>
      </c>
      <c r="P341" s="17">
        <f>CHOOSE(CONTROL!$C$42, 15.8792, 15.8792) * CHOOSE(CONTROL!$C$21, $C$9, 100%, $E$9)</f>
        <v>15.879200000000001</v>
      </c>
      <c r="Q341" s="17">
        <f>CHOOSE(CONTROL!$C$42, 16.6737, 16.6737) * CHOOSE(CONTROL!$C$21, $C$9, 100%, $E$9)</f>
        <v>16.6737</v>
      </c>
      <c r="R341" s="17">
        <f>CHOOSE(CONTROL!$C$42, 17.3024, 17.3024) * CHOOSE(CONTROL!$C$21, $C$9, 100%, $E$9)</f>
        <v>17.302399999999999</v>
      </c>
      <c r="S341" s="17">
        <f>CHOOSE(CONTROL!$C$42, 15.4512, 15.4512) * CHOOSE(CONTROL!$C$21, $C$9, 100%, $E$9)</f>
        <v>15.4512</v>
      </c>
      <c r="T34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41" s="56">
        <f>(1000*CHOOSE(CONTROL!$C$42, 695, 695)*CHOOSE(CONTROL!$C$42, 0.5599, 0.5599)*CHOOSE(CONTROL!$C$42, 31, 31))/1000000</f>
        <v>12.063045499999998</v>
      </c>
      <c r="V341" s="56">
        <f>(1000*CHOOSE(CONTROL!$C$42, 500, 500)*CHOOSE(CONTROL!$C$42, 0.275, 0.275)*CHOOSE(CONTROL!$C$42, 31, 31))/1000000</f>
        <v>4.2625000000000002</v>
      </c>
      <c r="W341" s="56">
        <f>(1000*CHOOSE(CONTROL!$C$42, 0.0916, 0.0916)*CHOOSE(CONTROL!$C$42, 121.5, 121.5)*CHOOSE(CONTROL!$C$42, 31, 31))/1000000</f>
        <v>0.34501139999999997</v>
      </c>
      <c r="X341" s="56">
        <f>(31*0.1790888*145000/1000000)+(31*0.2374*100000/1000000)</f>
        <v>1.5409441560000001</v>
      </c>
      <c r="Y341" s="56"/>
      <c r="Z341" s="17"/>
      <c r="AA341" s="55"/>
      <c r="AB341" s="48">
        <f>(B341*194.205+C341*267.466+D341*133.845+E341*153.484+F341*40+G341*85+H341*0+I341*100+J341*300)/(194.205+267.466+133.845+153.484+0+40+85+100+300)</f>
        <v>16.016717112480379</v>
      </c>
      <c r="AC341" s="45">
        <f>(M341*'RAP TEMPLATE-GAS AVAILABILITY'!O340+N341*'RAP TEMPLATE-GAS AVAILABILITY'!P340+O341*'RAP TEMPLATE-GAS AVAILABILITY'!Q340+P341*'RAP TEMPLATE-GAS AVAILABILITY'!R340)/('RAP TEMPLATE-GAS AVAILABILITY'!O340+'RAP TEMPLATE-GAS AVAILABILITY'!P340+'RAP TEMPLATE-GAS AVAILABILITY'!Q340+'RAP TEMPLATE-GAS AVAILABILITY'!R340)</f>
        <v>15.900634532374102</v>
      </c>
    </row>
    <row r="342" spans="1:29" ht="15.75" x14ac:dyDescent="0.25">
      <c r="A342" s="14">
        <v>51317</v>
      </c>
      <c r="B342" s="17">
        <f>CHOOSE(CONTROL!$C$42, 16.3979, 16.3979) * CHOOSE(CONTROL!$C$21, $C$9, 100%, $E$9)</f>
        <v>16.3979</v>
      </c>
      <c r="C342" s="17">
        <f>CHOOSE(CONTROL!$C$42, 16.4059, 16.4059) * CHOOSE(CONTROL!$C$21, $C$9, 100%, $E$9)</f>
        <v>16.405899999999999</v>
      </c>
      <c r="D342" s="17">
        <f>CHOOSE(CONTROL!$C$42, 16.6503, 16.6503) * CHOOSE(CONTROL!$C$21, $C$9, 100%, $E$9)</f>
        <v>16.650300000000001</v>
      </c>
      <c r="E342" s="17">
        <f>CHOOSE(CONTROL!$C$42, 16.6815, 16.6815) * CHOOSE(CONTROL!$C$21, $C$9, 100%, $E$9)</f>
        <v>16.6815</v>
      </c>
      <c r="F342" s="17">
        <f>CHOOSE(CONTROL!$C$42, 16.4088, 16.4088)*CHOOSE(CONTROL!$C$21, $C$9, 100%, $E$9)</f>
        <v>16.408799999999999</v>
      </c>
      <c r="G342" s="17">
        <f>CHOOSE(CONTROL!$C$42, 16.4251, 16.4251)*CHOOSE(CONTROL!$C$21, $C$9, 100%, $E$9)</f>
        <v>16.4251</v>
      </c>
      <c r="H342" s="17">
        <f>CHOOSE(CONTROL!$C$42, 16.6698, 16.6698) * CHOOSE(CONTROL!$C$21, $C$9, 100%, $E$9)</f>
        <v>16.669799999999999</v>
      </c>
      <c r="I342" s="17">
        <f>CHOOSE(CONTROL!$C$42, 16.47, 16.47)* CHOOSE(CONTROL!$C$21, $C$9, 100%, $E$9)</f>
        <v>16.47</v>
      </c>
      <c r="J342" s="17">
        <f>CHOOSE(CONTROL!$C$42, 16.4014, 16.4014)* CHOOSE(CONTROL!$C$21, $C$9, 100%, $E$9)</f>
        <v>16.401399999999999</v>
      </c>
      <c r="K342" s="52">
        <f>CHOOSE(CONTROL!$C$42, 16.464, 16.464) * CHOOSE(CONTROL!$C$21, $C$9, 100%, $E$9)</f>
        <v>16.463999999999999</v>
      </c>
      <c r="L342" s="17">
        <f>CHOOSE(CONTROL!$C$42, 17.2568, 17.2568) * CHOOSE(CONTROL!$C$21, $C$9, 100%, $E$9)</f>
        <v>17.256799999999998</v>
      </c>
      <c r="M342" s="17">
        <f>CHOOSE(CONTROL!$C$42, 16.2609, 16.2609) * CHOOSE(CONTROL!$C$21, $C$9, 100%, $E$9)</f>
        <v>16.260899999999999</v>
      </c>
      <c r="N342" s="17">
        <f>CHOOSE(CONTROL!$C$42, 16.277, 16.277) * CHOOSE(CONTROL!$C$21, $C$9, 100%, $E$9)</f>
        <v>16.277000000000001</v>
      </c>
      <c r="O342" s="17">
        <f>CHOOSE(CONTROL!$C$42, 16.5269, 16.5269) * CHOOSE(CONTROL!$C$21, $C$9, 100%, $E$9)</f>
        <v>16.526900000000001</v>
      </c>
      <c r="P342" s="17">
        <f>CHOOSE(CONTROL!$C$42, 16.3285, 16.3285) * CHOOSE(CONTROL!$C$21, $C$9, 100%, $E$9)</f>
        <v>16.328499999999998</v>
      </c>
      <c r="Q342" s="17">
        <f>CHOOSE(CONTROL!$C$42, 17.1216, 17.1216) * CHOOSE(CONTROL!$C$21, $C$9, 100%, $E$9)</f>
        <v>17.121600000000001</v>
      </c>
      <c r="R342" s="17">
        <f>CHOOSE(CONTROL!$C$42, 17.7514, 17.7514) * CHOOSE(CONTROL!$C$21, $C$9, 100%, $E$9)</f>
        <v>17.7514</v>
      </c>
      <c r="S342" s="17">
        <f>CHOOSE(CONTROL!$C$42, 15.8895, 15.8895) * CHOOSE(CONTROL!$C$21, $C$9, 100%, $E$9)</f>
        <v>15.8895</v>
      </c>
      <c r="T34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42" s="56">
        <f>(1000*CHOOSE(CONTROL!$C$42, 695, 695)*CHOOSE(CONTROL!$C$42, 0.5599, 0.5599)*CHOOSE(CONTROL!$C$42, 30, 30))/1000000</f>
        <v>11.673914999999997</v>
      </c>
      <c r="V342" s="56">
        <f>(1000*CHOOSE(CONTROL!$C$42, 500, 500)*CHOOSE(CONTROL!$C$42, 0.275, 0.275)*CHOOSE(CONTROL!$C$42, 30, 30))/1000000</f>
        <v>4.125</v>
      </c>
      <c r="W342" s="56">
        <f>(1000*CHOOSE(CONTROL!$C$42, 0.0916, 0.0916)*CHOOSE(CONTROL!$C$42, 121.5, 121.5)*CHOOSE(CONTROL!$C$42, 30, 30))/1000000</f>
        <v>0.33388200000000001</v>
      </c>
      <c r="X342" s="56">
        <f>(30*0.1790888*145000/1000000)+(30*0.2374*100000/1000000)</f>
        <v>1.4912362799999999</v>
      </c>
      <c r="Y342" s="56"/>
      <c r="Z342" s="17"/>
      <c r="AA342" s="55"/>
      <c r="AB342" s="48">
        <f>(B342*194.205+C342*267.466+D342*133.845+E342*153.484+F342*40+G342*85+H342*0+I342*100+J342*300)/(194.205+267.466+133.845+153.484+0+40+85+100+300)</f>
        <v>16.468903350392466</v>
      </c>
      <c r="AC342" s="45">
        <f>(M342*'RAP TEMPLATE-GAS AVAILABILITY'!O341+N342*'RAP TEMPLATE-GAS AVAILABILITY'!P341+O342*'RAP TEMPLATE-GAS AVAILABILITY'!Q341+P342*'RAP TEMPLATE-GAS AVAILABILITY'!R341)/('RAP TEMPLATE-GAS AVAILABILITY'!O341+'RAP TEMPLATE-GAS AVAILABILITY'!P341+'RAP TEMPLATE-GAS AVAILABILITY'!Q341+'RAP TEMPLATE-GAS AVAILABILITY'!R341)</f>
        <v>16.348966187050362</v>
      </c>
    </row>
    <row r="343" spans="1:29" ht="15.75" x14ac:dyDescent="0.25">
      <c r="A343" s="14">
        <v>51348</v>
      </c>
      <c r="B343" s="17">
        <f>CHOOSE(CONTROL!$C$42, 16.0836, 16.0836) * CHOOSE(CONTROL!$C$21, $C$9, 100%, $E$9)</f>
        <v>16.083600000000001</v>
      </c>
      <c r="C343" s="17">
        <f>CHOOSE(CONTROL!$C$42, 16.0915, 16.0915) * CHOOSE(CONTROL!$C$21, $C$9, 100%, $E$9)</f>
        <v>16.0915</v>
      </c>
      <c r="D343" s="17">
        <f>CHOOSE(CONTROL!$C$42, 16.336, 16.336) * CHOOSE(CONTROL!$C$21, $C$9, 100%, $E$9)</f>
        <v>16.335999999999999</v>
      </c>
      <c r="E343" s="17">
        <f>CHOOSE(CONTROL!$C$42, 16.3672, 16.3672) * CHOOSE(CONTROL!$C$21, $C$9, 100%, $E$9)</f>
        <v>16.3672</v>
      </c>
      <c r="F343" s="17">
        <f>CHOOSE(CONTROL!$C$42, 16.0949, 16.0949)*CHOOSE(CONTROL!$C$21, $C$9, 100%, $E$9)</f>
        <v>16.094899999999999</v>
      </c>
      <c r="G343" s="17">
        <f>CHOOSE(CONTROL!$C$42, 16.1113, 16.1113)*CHOOSE(CONTROL!$C$21, $C$9, 100%, $E$9)</f>
        <v>16.1113</v>
      </c>
      <c r="H343" s="17">
        <f>CHOOSE(CONTROL!$C$42, 16.3555, 16.3555) * CHOOSE(CONTROL!$C$21, $C$9, 100%, $E$9)</f>
        <v>16.355499999999999</v>
      </c>
      <c r="I343" s="17">
        <f>CHOOSE(CONTROL!$C$42, 16.1547, 16.1547)* CHOOSE(CONTROL!$C$21, $C$9, 100%, $E$9)</f>
        <v>16.154699999999998</v>
      </c>
      <c r="J343" s="17">
        <f>CHOOSE(CONTROL!$C$42, 16.0875, 16.0875)* CHOOSE(CONTROL!$C$21, $C$9, 100%, $E$9)</f>
        <v>16.087499999999999</v>
      </c>
      <c r="K343" s="52">
        <f>CHOOSE(CONTROL!$C$42, 16.1487, 16.1487) * CHOOSE(CONTROL!$C$21, $C$9, 100%, $E$9)</f>
        <v>16.148700000000002</v>
      </c>
      <c r="L343" s="17">
        <f>CHOOSE(CONTROL!$C$42, 16.9425, 16.9425) * CHOOSE(CONTROL!$C$21, $C$9, 100%, $E$9)</f>
        <v>16.942499999999999</v>
      </c>
      <c r="M343" s="17">
        <f>CHOOSE(CONTROL!$C$42, 15.9498, 15.9498) * CHOOSE(CONTROL!$C$21, $C$9, 100%, $E$9)</f>
        <v>15.9498</v>
      </c>
      <c r="N343" s="17">
        <f>CHOOSE(CONTROL!$C$42, 15.9661, 15.9661) * CHOOSE(CONTROL!$C$21, $C$9, 100%, $E$9)</f>
        <v>15.966100000000001</v>
      </c>
      <c r="O343" s="17">
        <f>CHOOSE(CONTROL!$C$42, 16.2154, 16.2154) * CHOOSE(CONTROL!$C$21, $C$9, 100%, $E$9)</f>
        <v>16.215399999999999</v>
      </c>
      <c r="P343" s="17">
        <f>CHOOSE(CONTROL!$C$42, 16.016, 16.016) * CHOOSE(CONTROL!$C$21, $C$9, 100%, $E$9)</f>
        <v>16.015999999999998</v>
      </c>
      <c r="Q343" s="17">
        <f>CHOOSE(CONTROL!$C$42, 16.8101, 16.8101) * CHOOSE(CONTROL!$C$21, $C$9, 100%, $E$9)</f>
        <v>16.810099999999998</v>
      </c>
      <c r="R343" s="17">
        <f>CHOOSE(CONTROL!$C$42, 17.4391, 17.4391) * CHOOSE(CONTROL!$C$21, $C$9, 100%, $E$9)</f>
        <v>17.4391</v>
      </c>
      <c r="S343" s="17">
        <f>CHOOSE(CONTROL!$C$42, 15.5846, 15.5846) * CHOOSE(CONTROL!$C$21, $C$9, 100%, $E$9)</f>
        <v>15.5846</v>
      </c>
      <c r="T34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43" s="56">
        <f>(1000*CHOOSE(CONTROL!$C$42, 695, 695)*CHOOSE(CONTROL!$C$42, 0.5599, 0.5599)*CHOOSE(CONTROL!$C$42, 31, 31))/1000000</f>
        <v>12.063045499999998</v>
      </c>
      <c r="V343" s="56">
        <f>(1000*CHOOSE(CONTROL!$C$42, 500, 500)*CHOOSE(CONTROL!$C$42, 0.275, 0.275)*CHOOSE(CONTROL!$C$42, 31, 31))/1000000</f>
        <v>4.2625000000000002</v>
      </c>
      <c r="W343" s="56">
        <f>(1000*CHOOSE(CONTROL!$C$42, 0.0916, 0.0916)*CHOOSE(CONTROL!$C$42, 121.5, 121.5)*CHOOSE(CONTROL!$C$42, 31, 31))/1000000</f>
        <v>0.34501139999999997</v>
      </c>
      <c r="X343" s="56">
        <f>(31*0.1790888*145000/1000000)+(31*0.2374*100000/1000000)</f>
        <v>1.5409441560000001</v>
      </c>
      <c r="Y343" s="56"/>
      <c r="Z343" s="17"/>
      <c r="AA343" s="55"/>
      <c r="AB343" s="48">
        <f>(B343*194.205+C343*267.466+D343*133.845+E343*153.484+F343*40+G343*85+H343*0+I343*100+J343*300)/(194.205+267.466+133.845+153.484+0+40+85+100+300)</f>
        <v>16.154643973155416</v>
      </c>
      <c r="AC343" s="45">
        <f>(M343*'RAP TEMPLATE-GAS AVAILABILITY'!O342+N343*'RAP TEMPLATE-GAS AVAILABILITY'!P342+O343*'RAP TEMPLATE-GAS AVAILABILITY'!Q342+P343*'RAP TEMPLATE-GAS AVAILABILITY'!R342)/('RAP TEMPLATE-GAS AVAILABILITY'!O342+'RAP TEMPLATE-GAS AVAILABILITY'!P342+'RAP TEMPLATE-GAS AVAILABILITY'!Q342+'RAP TEMPLATE-GAS AVAILABILITY'!R342)</f>
        <v>16.037598561151079</v>
      </c>
    </row>
    <row r="344" spans="1:29" ht="15.75" x14ac:dyDescent="0.25">
      <c r="A344" s="14">
        <v>51379</v>
      </c>
      <c r="B344" s="17">
        <f>CHOOSE(CONTROL!$C$42, 15.2897, 15.2897) * CHOOSE(CONTROL!$C$21, $C$9, 100%, $E$9)</f>
        <v>15.2897</v>
      </c>
      <c r="C344" s="17">
        <f>CHOOSE(CONTROL!$C$42, 15.2977, 15.2977) * CHOOSE(CONTROL!$C$21, $C$9, 100%, $E$9)</f>
        <v>15.297700000000001</v>
      </c>
      <c r="D344" s="17">
        <f>CHOOSE(CONTROL!$C$42, 15.5422, 15.5422) * CHOOSE(CONTROL!$C$21, $C$9, 100%, $E$9)</f>
        <v>15.542199999999999</v>
      </c>
      <c r="E344" s="17">
        <f>CHOOSE(CONTROL!$C$42, 15.5734, 15.5734) * CHOOSE(CONTROL!$C$21, $C$9, 100%, $E$9)</f>
        <v>15.573399999999999</v>
      </c>
      <c r="F344" s="17">
        <f>CHOOSE(CONTROL!$C$42, 15.3013, 15.3013)*CHOOSE(CONTROL!$C$21, $C$9, 100%, $E$9)</f>
        <v>15.301299999999999</v>
      </c>
      <c r="G344" s="17">
        <f>CHOOSE(CONTROL!$C$42, 15.3178, 15.3178)*CHOOSE(CONTROL!$C$21, $C$9, 100%, $E$9)</f>
        <v>15.3178</v>
      </c>
      <c r="H344" s="17">
        <f>CHOOSE(CONTROL!$C$42, 15.5617, 15.5617) * CHOOSE(CONTROL!$C$21, $C$9, 100%, $E$9)</f>
        <v>15.5617</v>
      </c>
      <c r="I344" s="17">
        <f>CHOOSE(CONTROL!$C$42, 15.3584, 15.3584)* CHOOSE(CONTROL!$C$21, $C$9, 100%, $E$9)</f>
        <v>15.3584</v>
      </c>
      <c r="J344" s="17">
        <f>CHOOSE(CONTROL!$C$42, 15.2939, 15.2939)* CHOOSE(CONTROL!$C$21, $C$9, 100%, $E$9)</f>
        <v>15.293900000000001</v>
      </c>
      <c r="K344" s="52">
        <f>CHOOSE(CONTROL!$C$42, 15.3524, 15.3524) * CHOOSE(CONTROL!$C$21, $C$9, 100%, $E$9)</f>
        <v>15.352399999999999</v>
      </c>
      <c r="L344" s="17">
        <f>CHOOSE(CONTROL!$C$42, 16.1487, 16.1487) * CHOOSE(CONTROL!$C$21, $C$9, 100%, $E$9)</f>
        <v>16.148700000000002</v>
      </c>
      <c r="M344" s="17">
        <f>CHOOSE(CONTROL!$C$42, 15.1634, 15.1634) * CHOOSE(CONTROL!$C$21, $C$9, 100%, $E$9)</f>
        <v>15.163399999999999</v>
      </c>
      <c r="N344" s="17">
        <f>CHOOSE(CONTROL!$C$42, 15.1797, 15.1797) * CHOOSE(CONTROL!$C$21, $C$9, 100%, $E$9)</f>
        <v>15.1797</v>
      </c>
      <c r="O344" s="17">
        <f>CHOOSE(CONTROL!$C$42, 15.4287, 15.4287) * CHOOSE(CONTROL!$C$21, $C$9, 100%, $E$9)</f>
        <v>15.428699999999999</v>
      </c>
      <c r="P344" s="17">
        <f>CHOOSE(CONTROL!$C$42, 15.227, 15.227) * CHOOSE(CONTROL!$C$21, $C$9, 100%, $E$9)</f>
        <v>15.227</v>
      </c>
      <c r="Q344" s="17">
        <f>CHOOSE(CONTROL!$C$42, 16.0234, 16.0234) * CHOOSE(CONTROL!$C$21, $C$9, 100%, $E$9)</f>
        <v>16.023399999999999</v>
      </c>
      <c r="R344" s="17">
        <f>CHOOSE(CONTROL!$C$42, 16.6505, 16.6505) * CHOOSE(CONTROL!$C$21, $C$9, 100%, $E$9)</f>
        <v>16.650500000000001</v>
      </c>
      <c r="S344" s="17">
        <f>CHOOSE(CONTROL!$C$42, 14.8149, 14.8149) * CHOOSE(CONTROL!$C$21, $C$9, 100%, $E$9)</f>
        <v>14.8149</v>
      </c>
      <c r="T34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44" s="56">
        <f>(1000*CHOOSE(CONTROL!$C$42, 695, 695)*CHOOSE(CONTROL!$C$42, 0.5599, 0.5599)*CHOOSE(CONTROL!$C$42, 31, 31))/1000000</f>
        <v>12.063045499999998</v>
      </c>
      <c r="V344" s="56">
        <f>(1000*CHOOSE(CONTROL!$C$42, 500, 500)*CHOOSE(CONTROL!$C$42, 0.275, 0.275)*CHOOSE(CONTROL!$C$42, 31, 31))/1000000</f>
        <v>4.2625000000000002</v>
      </c>
      <c r="W344" s="56">
        <f>(1000*CHOOSE(CONTROL!$C$42, 0.0916, 0.0916)*CHOOSE(CONTROL!$C$42, 121.5, 121.5)*CHOOSE(CONTROL!$C$42, 31, 31))/1000000</f>
        <v>0.34501139999999997</v>
      </c>
      <c r="X344" s="56">
        <f>(31*0.1790888*145000/1000000)+(31*0.2374*100000/1000000)</f>
        <v>1.5409441560000001</v>
      </c>
      <c r="Y344" s="56"/>
      <c r="Z344" s="17"/>
      <c r="AA344" s="55"/>
      <c r="AB344" s="48">
        <f>(B344*194.205+C344*267.466+D344*133.845+E344*153.484+F344*40+G344*85+H344*0+I344*100+J344*300)/(194.205+267.466+133.845+153.484+0+40+85+100+300)</f>
        <v>15.36070588799058</v>
      </c>
      <c r="AC344" s="45">
        <f>(M344*'RAP TEMPLATE-GAS AVAILABILITY'!O343+N344*'RAP TEMPLATE-GAS AVAILABILITY'!P343+O344*'RAP TEMPLATE-GAS AVAILABILITY'!Q343+P344*'RAP TEMPLATE-GAS AVAILABILITY'!R343)/('RAP TEMPLATE-GAS AVAILABILITY'!O343+'RAP TEMPLATE-GAS AVAILABILITY'!P343+'RAP TEMPLATE-GAS AVAILABILITY'!Q343+'RAP TEMPLATE-GAS AVAILABILITY'!R343)</f>
        <v>15.250740287769785</v>
      </c>
    </row>
    <row r="345" spans="1:29" ht="15.75" x14ac:dyDescent="0.25">
      <c r="A345" s="14">
        <v>51409</v>
      </c>
      <c r="B345" s="17">
        <f>CHOOSE(CONTROL!$C$42, 14.3196, 14.3196) * CHOOSE(CONTROL!$C$21, $C$9, 100%, $E$9)</f>
        <v>14.319599999999999</v>
      </c>
      <c r="C345" s="17">
        <f>CHOOSE(CONTROL!$C$42, 14.3276, 14.3276) * CHOOSE(CONTROL!$C$21, $C$9, 100%, $E$9)</f>
        <v>14.3276</v>
      </c>
      <c r="D345" s="17">
        <f>CHOOSE(CONTROL!$C$42, 14.5721, 14.5721) * CHOOSE(CONTROL!$C$21, $C$9, 100%, $E$9)</f>
        <v>14.572100000000001</v>
      </c>
      <c r="E345" s="17">
        <f>CHOOSE(CONTROL!$C$42, 14.6032, 14.6032) * CHOOSE(CONTROL!$C$21, $C$9, 100%, $E$9)</f>
        <v>14.603199999999999</v>
      </c>
      <c r="F345" s="17">
        <f>CHOOSE(CONTROL!$C$42, 14.3312, 14.3312)*CHOOSE(CONTROL!$C$21, $C$9, 100%, $E$9)</f>
        <v>14.331200000000001</v>
      </c>
      <c r="G345" s="17">
        <f>CHOOSE(CONTROL!$C$42, 14.3477, 14.3477)*CHOOSE(CONTROL!$C$21, $C$9, 100%, $E$9)</f>
        <v>14.3477</v>
      </c>
      <c r="H345" s="17">
        <f>CHOOSE(CONTROL!$C$42, 14.5916, 14.5916) * CHOOSE(CONTROL!$C$21, $C$9, 100%, $E$9)</f>
        <v>14.5916</v>
      </c>
      <c r="I345" s="17">
        <f>CHOOSE(CONTROL!$C$42, 14.3853, 14.3853)* CHOOSE(CONTROL!$C$21, $C$9, 100%, $E$9)</f>
        <v>14.385300000000001</v>
      </c>
      <c r="J345" s="17">
        <f>CHOOSE(CONTROL!$C$42, 14.3238, 14.3238)* CHOOSE(CONTROL!$C$21, $C$9, 100%, $E$9)</f>
        <v>14.3238</v>
      </c>
      <c r="K345" s="52">
        <f>CHOOSE(CONTROL!$C$42, 14.3793, 14.3793) * CHOOSE(CONTROL!$C$21, $C$9, 100%, $E$9)</f>
        <v>14.379300000000001</v>
      </c>
      <c r="L345" s="17">
        <f>CHOOSE(CONTROL!$C$42, 15.1786, 15.1786) * CHOOSE(CONTROL!$C$21, $C$9, 100%, $E$9)</f>
        <v>15.178599999999999</v>
      </c>
      <c r="M345" s="17">
        <f>CHOOSE(CONTROL!$C$42, 14.202, 14.202) * CHOOSE(CONTROL!$C$21, $C$9, 100%, $E$9)</f>
        <v>14.202</v>
      </c>
      <c r="N345" s="17">
        <f>CHOOSE(CONTROL!$C$42, 14.2184, 14.2184) * CHOOSE(CONTROL!$C$21, $C$9, 100%, $E$9)</f>
        <v>14.218400000000001</v>
      </c>
      <c r="O345" s="17">
        <f>CHOOSE(CONTROL!$C$42, 14.4673, 14.4673) * CHOOSE(CONTROL!$C$21, $C$9, 100%, $E$9)</f>
        <v>14.4673</v>
      </c>
      <c r="P345" s="17">
        <f>CHOOSE(CONTROL!$C$42, 14.2626, 14.2626) * CHOOSE(CONTROL!$C$21, $C$9, 100%, $E$9)</f>
        <v>14.262600000000001</v>
      </c>
      <c r="Q345" s="17">
        <f>CHOOSE(CONTROL!$C$42, 15.062, 15.062) * CHOOSE(CONTROL!$C$21, $C$9, 100%, $E$9)</f>
        <v>15.061999999999999</v>
      </c>
      <c r="R345" s="17">
        <f>CHOOSE(CONTROL!$C$42, 15.6867, 15.6867) * CHOOSE(CONTROL!$C$21, $C$9, 100%, $E$9)</f>
        <v>15.6867</v>
      </c>
      <c r="S345" s="17">
        <f>CHOOSE(CONTROL!$C$42, 13.8741, 13.8741) * CHOOSE(CONTROL!$C$21, $C$9, 100%, $E$9)</f>
        <v>13.8741</v>
      </c>
      <c r="T34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45" s="56">
        <f>(1000*CHOOSE(CONTROL!$C$42, 695, 695)*CHOOSE(CONTROL!$C$42, 0.5599, 0.5599)*CHOOSE(CONTROL!$C$42, 30, 30))/1000000</f>
        <v>11.673914999999997</v>
      </c>
      <c r="V345" s="56">
        <f>(1000*CHOOSE(CONTROL!$C$42, 500, 500)*CHOOSE(CONTROL!$C$42, 0.275, 0.275)*CHOOSE(CONTROL!$C$42, 30, 30))/1000000</f>
        <v>4.125</v>
      </c>
      <c r="W345" s="56">
        <f>(1000*CHOOSE(CONTROL!$C$42, 0.0916, 0.0916)*CHOOSE(CONTROL!$C$42, 121.5, 121.5)*CHOOSE(CONTROL!$C$42, 30, 30))/1000000</f>
        <v>0.33388200000000001</v>
      </c>
      <c r="X345" s="56">
        <f>(30*0.1790888*145000/1000000)+(30*0.2374*100000/1000000)</f>
        <v>1.4912362799999999</v>
      </c>
      <c r="Y345" s="56"/>
      <c r="Z345" s="17"/>
      <c r="AA345" s="55"/>
      <c r="AB345" s="48">
        <f>(B345*194.205+C345*267.466+D345*133.845+E345*153.484+F345*40+G345*85+H345*0+I345*100+J345*300)/(194.205+267.466+133.845+153.484+0+40+85+100+300)</f>
        <v>14.39035836177394</v>
      </c>
      <c r="AC345" s="45">
        <f>(M345*'RAP TEMPLATE-GAS AVAILABILITY'!O344+N345*'RAP TEMPLATE-GAS AVAILABILITY'!P344+O345*'RAP TEMPLATE-GAS AVAILABILITY'!Q344+P345*'RAP TEMPLATE-GAS AVAILABILITY'!R344)/('RAP TEMPLATE-GAS AVAILABILITY'!O344+'RAP TEMPLATE-GAS AVAILABILITY'!P344+'RAP TEMPLATE-GAS AVAILABILITY'!Q344+'RAP TEMPLATE-GAS AVAILABILITY'!R344)</f>
        <v>14.28893165467626</v>
      </c>
    </row>
    <row r="346" spans="1:29" ht="15.75" x14ac:dyDescent="0.25">
      <c r="A346" s="14">
        <v>51440</v>
      </c>
      <c r="B346" s="17">
        <f>CHOOSE(CONTROL!$C$42, 14.0274, 14.0274) * CHOOSE(CONTROL!$C$21, $C$9, 100%, $E$9)</f>
        <v>14.0274</v>
      </c>
      <c r="C346" s="17">
        <f>CHOOSE(CONTROL!$C$42, 14.0327, 14.0327) * CHOOSE(CONTROL!$C$21, $C$9, 100%, $E$9)</f>
        <v>14.0327</v>
      </c>
      <c r="D346" s="17">
        <f>CHOOSE(CONTROL!$C$42, 14.2821, 14.2821) * CHOOSE(CONTROL!$C$21, $C$9, 100%, $E$9)</f>
        <v>14.2821</v>
      </c>
      <c r="E346" s="17">
        <f>CHOOSE(CONTROL!$C$42, 14.311, 14.311) * CHOOSE(CONTROL!$C$21, $C$9, 100%, $E$9)</f>
        <v>14.311</v>
      </c>
      <c r="F346" s="17">
        <f>CHOOSE(CONTROL!$C$42, 14.0412, 14.0412)*CHOOSE(CONTROL!$C$21, $C$9, 100%, $E$9)</f>
        <v>14.0412</v>
      </c>
      <c r="G346" s="17">
        <f>CHOOSE(CONTROL!$C$42, 14.0576, 14.0576)*CHOOSE(CONTROL!$C$21, $C$9, 100%, $E$9)</f>
        <v>14.057600000000001</v>
      </c>
      <c r="H346" s="17">
        <f>CHOOSE(CONTROL!$C$42, 14.3011, 14.3011) * CHOOSE(CONTROL!$C$21, $C$9, 100%, $E$9)</f>
        <v>14.3011</v>
      </c>
      <c r="I346" s="17">
        <f>CHOOSE(CONTROL!$C$42, 14.0939, 14.0939)* CHOOSE(CONTROL!$C$21, $C$9, 100%, $E$9)</f>
        <v>14.0939</v>
      </c>
      <c r="J346" s="17">
        <f>CHOOSE(CONTROL!$C$42, 14.0338, 14.0338)* CHOOSE(CONTROL!$C$21, $C$9, 100%, $E$9)</f>
        <v>14.033799999999999</v>
      </c>
      <c r="K346" s="52">
        <f>CHOOSE(CONTROL!$C$42, 14.0879, 14.0879) * CHOOSE(CONTROL!$C$21, $C$9, 100%, $E$9)</f>
        <v>14.087899999999999</v>
      </c>
      <c r="L346" s="17">
        <f>CHOOSE(CONTROL!$C$42, 14.8881, 14.8881) * CHOOSE(CONTROL!$C$21, $C$9, 100%, $E$9)</f>
        <v>14.8881</v>
      </c>
      <c r="M346" s="17">
        <f>CHOOSE(CONTROL!$C$42, 13.9146, 13.9146) * CHOOSE(CONTROL!$C$21, $C$9, 100%, $E$9)</f>
        <v>13.9146</v>
      </c>
      <c r="N346" s="17">
        <f>CHOOSE(CONTROL!$C$42, 13.9309, 13.9309) * CHOOSE(CONTROL!$C$21, $C$9, 100%, $E$9)</f>
        <v>13.930899999999999</v>
      </c>
      <c r="O346" s="17">
        <f>CHOOSE(CONTROL!$C$42, 14.1795, 14.1795) * CHOOSE(CONTROL!$C$21, $C$9, 100%, $E$9)</f>
        <v>14.179500000000001</v>
      </c>
      <c r="P346" s="17">
        <f>CHOOSE(CONTROL!$C$42, 13.9738, 13.9738) * CHOOSE(CONTROL!$C$21, $C$9, 100%, $E$9)</f>
        <v>13.973800000000001</v>
      </c>
      <c r="Q346" s="17">
        <f>CHOOSE(CONTROL!$C$42, 14.7742, 14.7742) * CHOOSE(CONTROL!$C$21, $C$9, 100%, $E$9)</f>
        <v>14.7742</v>
      </c>
      <c r="R346" s="17">
        <f>CHOOSE(CONTROL!$C$42, 15.3981, 15.3981) * CHOOSE(CONTROL!$C$21, $C$9, 100%, $E$9)</f>
        <v>15.398099999999999</v>
      </c>
      <c r="S346" s="17">
        <f>CHOOSE(CONTROL!$C$42, 13.5925, 13.5925) * CHOOSE(CONTROL!$C$21, $C$9, 100%, $E$9)</f>
        <v>13.592499999999999</v>
      </c>
      <c r="T34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46" s="56">
        <f>(1000*CHOOSE(CONTROL!$C$42, 695, 695)*CHOOSE(CONTROL!$C$42, 0.5599, 0.5599)*CHOOSE(CONTROL!$C$42, 31, 31))/1000000</f>
        <v>12.063045499999998</v>
      </c>
      <c r="V346" s="56">
        <f>(1000*CHOOSE(CONTROL!$C$42, 500, 500)*CHOOSE(CONTROL!$C$42, 0.275, 0.275)*CHOOSE(CONTROL!$C$42, 31, 31))/1000000</f>
        <v>4.2625000000000002</v>
      </c>
      <c r="W346" s="56">
        <f>(1000*CHOOSE(CONTROL!$C$42, 0.0916, 0.0916)*CHOOSE(CONTROL!$C$42, 121.5, 121.5)*CHOOSE(CONTROL!$C$42, 31, 31))/1000000</f>
        <v>0.34501139999999997</v>
      </c>
      <c r="X346" s="56">
        <f>(31*0.1790888*145000/1000000)+(31*0.2374*100000/1000000)</f>
        <v>1.5409441560000001</v>
      </c>
      <c r="Y346" s="56"/>
      <c r="Z346" s="17"/>
      <c r="AA346" s="55"/>
      <c r="AB346" s="48">
        <f>(B346*131.881+C346*277.167+D346*79.08+E346*225.872+F346*40+G346*85+H346*0+I346*100+J346*300)/(131.881+277.167+79.08+225.872+0+40+85+100+300)</f>
        <v>14.10597704624697</v>
      </c>
      <c r="AC346" s="45">
        <f>(M346*'RAP TEMPLATE-GAS AVAILABILITY'!O345+N346*'RAP TEMPLATE-GAS AVAILABILITY'!P345+O346*'RAP TEMPLATE-GAS AVAILABILITY'!Q345+P346*'RAP TEMPLATE-GAS AVAILABILITY'!R345)/('RAP TEMPLATE-GAS AVAILABILITY'!O345+'RAP TEMPLATE-GAS AVAILABILITY'!P345+'RAP TEMPLATE-GAS AVAILABILITY'!Q345+'RAP TEMPLATE-GAS AVAILABILITY'!R345)</f>
        <v>14.001194964028777</v>
      </c>
    </row>
    <row r="347" spans="1:29" ht="15.75" x14ac:dyDescent="0.25">
      <c r="A347" s="14">
        <v>51470</v>
      </c>
      <c r="B347" s="17">
        <f>CHOOSE(CONTROL!$C$42, 14.3963, 14.3963) * CHOOSE(CONTROL!$C$21, $C$9, 100%, $E$9)</f>
        <v>14.3963</v>
      </c>
      <c r="C347" s="17">
        <f>CHOOSE(CONTROL!$C$42, 14.4013, 14.4013) * CHOOSE(CONTROL!$C$21, $C$9, 100%, $E$9)</f>
        <v>14.401300000000001</v>
      </c>
      <c r="D347" s="17">
        <f>CHOOSE(CONTROL!$C$42, 14.4827, 14.4827) * CHOOSE(CONTROL!$C$21, $C$9, 100%, $E$9)</f>
        <v>14.482699999999999</v>
      </c>
      <c r="E347" s="17">
        <f>CHOOSE(CONTROL!$C$42, 14.5165, 14.5165) * CHOOSE(CONTROL!$C$21, $C$9, 100%, $E$9)</f>
        <v>14.516500000000001</v>
      </c>
      <c r="F347" s="17">
        <f>CHOOSE(CONTROL!$C$42, 14.4142, 14.4142)*CHOOSE(CONTROL!$C$21, $C$9, 100%, $E$9)</f>
        <v>14.414199999999999</v>
      </c>
      <c r="G347" s="17">
        <f>CHOOSE(CONTROL!$C$42, 14.4309, 14.4309)*CHOOSE(CONTROL!$C$21, $C$9, 100%, $E$9)</f>
        <v>14.430899999999999</v>
      </c>
      <c r="H347" s="17">
        <f>CHOOSE(CONTROL!$C$42, 14.5053, 14.5053) * CHOOSE(CONTROL!$C$21, $C$9, 100%, $E$9)</f>
        <v>14.5053</v>
      </c>
      <c r="I347" s="17">
        <f>CHOOSE(CONTROL!$C$42, 14.4659, 14.4659)* CHOOSE(CONTROL!$C$21, $C$9, 100%, $E$9)</f>
        <v>14.4659</v>
      </c>
      <c r="J347" s="17">
        <f>CHOOSE(CONTROL!$C$42, 14.4068, 14.4068)* CHOOSE(CONTROL!$C$21, $C$9, 100%, $E$9)</f>
        <v>14.4068</v>
      </c>
      <c r="K347" s="52">
        <f>CHOOSE(CONTROL!$C$42, 14.4598, 14.4598) * CHOOSE(CONTROL!$C$21, $C$9, 100%, $E$9)</f>
        <v>14.4598</v>
      </c>
      <c r="L347" s="17">
        <f>CHOOSE(CONTROL!$C$42, 15.0923, 15.0923) * CHOOSE(CONTROL!$C$21, $C$9, 100%, $E$9)</f>
        <v>15.0923</v>
      </c>
      <c r="M347" s="17">
        <f>CHOOSE(CONTROL!$C$42, 14.2842, 14.2842) * CHOOSE(CONTROL!$C$21, $C$9, 100%, $E$9)</f>
        <v>14.2842</v>
      </c>
      <c r="N347" s="17">
        <f>CHOOSE(CONTROL!$C$42, 14.3008, 14.3008) * CHOOSE(CONTROL!$C$21, $C$9, 100%, $E$9)</f>
        <v>14.300800000000001</v>
      </c>
      <c r="O347" s="17">
        <f>CHOOSE(CONTROL!$C$42, 14.3819, 14.3819) * CHOOSE(CONTROL!$C$21, $C$9, 100%, $E$9)</f>
        <v>14.3819</v>
      </c>
      <c r="P347" s="17">
        <f>CHOOSE(CONTROL!$C$42, 14.3424, 14.3424) * CHOOSE(CONTROL!$C$21, $C$9, 100%, $E$9)</f>
        <v>14.3424</v>
      </c>
      <c r="Q347" s="17">
        <f>CHOOSE(CONTROL!$C$42, 14.9766, 14.9766) * CHOOSE(CONTROL!$C$21, $C$9, 100%, $E$9)</f>
        <v>14.976599999999999</v>
      </c>
      <c r="R347" s="17">
        <f>CHOOSE(CONTROL!$C$42, 15.601, 15.601) * CHOOSE(CONTROL!$C$21, $C$9, 100%, $E$9)</f>
        <v>15.601000000000001</v>
      </c>
      <c r="S347" s="17">
        <f>CHOOSE(CONTROL!$C$42, 13.9505, 13.9505) * CHOOSE(CONTROL!$C$21, $C$9, 100%, $E$9)</f>
        <v>13.9505</v>
      </c>
      <c r="T34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47" s="56">
        <f>(1000*CHOOSE(CONTROL!$C$42, 695, 695)*CHOOSE(CONTROL!$C$42, 0.5599, 0.5599)*CHOOSE(CONTROL!$C$42, 30, 30))/1000000</f>
        <v>11.673914999999997</v>
      </c>
      <c r="V347" s="56">
        <f>(1000*CHOOSE(CONTROL!$C$42, 500, 500)*CHOOSE(CONTROL!$C$42, 0.275, 0.275)*CHOOSE(CONTROL!$C$42, 30, 30))/1000000</f>
        <v>4.125</v>
      </c>
      <c r="W347" s="56">
        <f>(1000*CHOOSE(CONTROL!$C$42, 0.0916, 0.0916)*CHOOSE(CONTROL!$C$42, 121.5, 121.5)*CHOOSE(CONTROL!$C$42, 30, 30))/1000000</f>
        <v>0.33388200000000001</v>
      </c>
      <c r="X347" s="56">
        <f>(30*0.2374*100000/1000000)</f>
        <v>0.71220000000000006</v>
      </c>
      <c r="Y347" s="56"/>
      <c r="Z347" s="17"/>
      <c r="AA347" s="55"/>
      <c r="AB347" s="48">
        <f>(B347*122.58+C347*297.941+D347*89.177+E347*140.302+F347*40+G347*60+H347*0+I347*100+J347*300)/(122.58+297.941+89.177+140.302+0+40+60+100+300)</f>
        <v>14.430179041913041</v>
      </c>
      <c r="AC347" s="45">
        <f>(M347*'RAP TEMPLATE-GAS AVAILABILITY'!O346+N347*'RAP TEMPLATE-GAS AVAILABILITY'!P346+O347*'RAP TEMPLATE-GAS AVAILABILITY'!Q346+P347*'RAP TEMPLATE-GAS AVAILABILITY'!R346)/('RAP TEMPLATE-GAS AVAILABILITY'!O346+'RAP TEMPLATE-GAS AVAILABILITY'!P346+'RAP TEMPLATE-GAS AVAILABILITY'!Q346+'RAP TEMPLATE-GAS AVAILABILITY'!R346)</f>
        <v>14.337810791366907</v>
      </c>
    </row>
    <row r="348" spans="1:29" ht="15.75" x14ac:dyDescent="0.25">
      <c r="A348" s="14">
        <v>51501</v>
      </c>
      <c r="B348" s="17">
        <f>CHOOSE(CONTROL!$C$42, 15.3771, 15.3771) * CHOOSE(CONTROL!$C$21, $C$9, 100%, $E$9)</f>
        <v>15.3771</v>
      </c>
      <c r="C348" s="17">
        <f>CHOOSE(CONTROL!$C$42, 15.3821, 15.3821) * CHOOSE(CONTROL!$C$21, $C$9, 100%, $E$9)</f>
        <v>15.382099999999999</v>
      </c>
      <c r="D348" s="17">
        <f>CHOOSE(CONTROL!$C$42, 15.4635, 15.4635) * CHOOSE(CONTROL!$C$21, $C$9, 100%, $E$9)</f>
        <v>15.4635</v>
      </c>
      <c r="E348" s="17">
        <f>CHOOSE(CONTROL!$C$42, 15.4973, 15.4973) * CHOOSE(CONTROL!$C$21, $C$9, 100%, $E$9)</f>
        <v>15.497299999999999</v>
      </c>
      <c r="F348" s="17">
        <f>CHOOSE(CONTROL!$C$42, 15.3974, 15.3974)*CHOOSE(CONTROL!$C$21, $C$9, 100%, $E$9)</f>
        <v>15.397399999999999</v>
      </c>
      <c r="G348" s="17">
        <f>CHOOSE(CONTROL!$C$42, 15.4147, 15.4147)*CHOOSE(CONTROL!$C$21, $C$9, 100%, $E$9)</f>
        <v>15.4147</v>
      </c>
      <c r="H348" s="17">
        <f>CHOOSE(CONTROL!$C$42, 15.4861, 15.4861) * CHOOSE(CONTROL!$C$21, $C$9, 100%, $E$9)</f>
        <v>15.4861</v>
      </c>
      <c r="I348" s="17">
        <f>CHOOSE(CONTROL!$C$42, 15.4497, 15.4497)* CHOOSE(CONTROL!$C$21, $C$9, 100%, $E$9)</f>
        <v>15.4497</v>
      </c>
      <c r="J348" s="17">
        <f>CHOOSE(CONTROL!$C$42, 15.39, 15.39)* CHOOSE(CONTROL!$C$21, $C$9, 100%, $E$9)</f>
        <v>15.39</v>
      </c>
      <c r="K348" s="52">
        <f>CHOOSE(CONTROL!$C$42, 15.4437, 15.4437) * CHOOSE(CONTROL!$C$21, $C$9, 100%, $E$9)</f>
        <v>15.4437</v>
      </c>
      <c r="L348" s="17">
        <f>CHOOSE(CONTROL!$C$42, 16.0731, 16.0731) * CHOOSE(CONTROL!$C$21, $C$9, 100%, $E$9)</f>
        <v>16.0731</v>
      </c>
      <c r="M348" s="17">
        <f>CHOOSE(CONTROL!$C$42, 15.2586, 15.2586) * CHOOSE(CONTROL!$C$21, $C$9, 100%, $E$9)</f>
        <v>15.258599999999999</v>
      </c>
      <c r="N348" s="17">
        <f>CHOOSE(CONTROL!$C$42, 15.2758, 15.2758) * CHOOSE(CONTROL!$C$21, $C$9, 100%, $E$9)</f>
        <v>15.2758</v>
      </c>
      <c r="O348" s="17">
        <f>CHOOSE(CONTROL!$C$42, 15.3539, 15.3539) * CHOOSE(CONTROL!$C$21, $C$9, 100%, $E$9)</f>
        <v>15.353899999999999</v>
      </c>
      <c r="P348" s="17">
        <f>CHOOSE(CONTROL!$C$42, 15.3174, 15.3174) * CHOOSE(CONTROL!$C$21, $C$9, 100%, $E$9)</f>
        <v>15.317399999999999</v>
      </c>
      <c r="Q348" s="17">
        <f>CHOOSE(CONTROL!$C$42, 15.9486, 15.9486) * CHOOSE(CONTROL!$C$21, $C$9, 100%, $E$9)</f>
        <v>15.948600000000001</v>
      </c>
      <c r="R348" s="17">
        <f>CHOOSE(CONTROL!$C$42, 16.5755, 16.5755) * CHOOSE(CONTROL!$C$21, $C$9, 100%, $E$9)</f>
        <v>16.575500000000002</v>
      </c>
      <c r="S348" s="17">
        <f>CHOOSE(CONTROL!$C$42, 14.9016, 14.9016) * CHOOSE(CONTROL!$C$21, $C$9, 100%, $E$9)</f>
        <v>14.9016</v>
      </c>
      <c r="T34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48" s="56">
        <f>(1000*CHOOSE(CONTROL!$C$42, 695, 695)*CHOOSE(CONTROL!$C$42, 0.5599, 0.5599)*CHOOSE(CONTROL!$C$42, 31, 31))/1000000</f>
        <v>12.063045499999998</v>
      </c>
      <c r="V348" s="56">
        <f>(1000*CHOOSE(CONTROL!$C$42, 500, 500)*CHOOSE(CONTROL!$C$42, 0.275, 0.275)*CHOOSE(CONTROL!$C$42, 31, 31))/1000000</f>
        <v>4.2625000000000002</v>
      </c>
      <c r="W348" s="56">
        <f>(1000*CHOOSE(CONTROL!$C$42, 0.0916, 0.0916)*CHOOSE(CONTROL!$C$42, 121.5, 121.5)*CHOOSE(CONTROL!$C$42, 31, 31))/1000000</f>
        <v>0.34501139999999997</v>
      </c>
      <c r="X348" s="56">
        <f>(31*0.2374*100000/1000000)</f>
        <v>0.73594000000000004</v>
      </c>
      <c r="Y348" s="56"/>
      <c r="Z348" s="17"/>
      <c r="AA348" s="55"/>
      <c r="AB348" s="48">
        <f>(B348*122.58+C348*297.941+D348*89.177+E348*140.302+F348*40+G348*60+H348*0+I348*100+J348*300)/(122.58+297.941+89.177+140.302+0+40+60+100+300)</f>
        <v>15.412105998434781</v>
      </c>
      <c r="AC348" s="45">
        <f>(M348*'RAP TEMPLATE-GAS AVAILABILITY'!O347+N348*'RAP TEMPLATE-GAS AVAILABILITY'!P347+O348*'RAP TEMPLATE-GAS AVAILABILITY'!Q347+P348*'RAP TEMPLATE-GAS AVAILABILITY'!R347)/('RAP TEMPLATE-GAS AVAILABILITY'!O347+'RAP TEMPLATE-GAS AVAILABILITY'!P347+'RAP TEMPLATE-GAS AVAILABILITY'!Q347+'RAP TEMPLATE-GAS AVAILABILITY'!R347)</f>
        <v>15.311243884892084</v>
      </c>
    </row>
    <row r="349" spans="1:29" ht="15.75" x14ac:dyDescent="0.25">
      <c r="A349" s="14">
        <v>51532</v>
      </c>
      <c r="B349" s="17">
        <f>CHOOSE(CONTROL!$C$42, 16.651, 16.651) * CHOOSE(CONTROL!$C$21, $C$9, 100%, $E$9)</f>
        <v>16.651</v>
      </c>
      <c r="C349" s="17">
        <f>CHOOSE(CONTROL!$C$42, 16.656, 16.656) * CHOOSE(CONTROL!$C$21, $C$9, 100%, $E$9)</f>
        <v>16.655999999999999</v>
      </c>
      <c r="D349" s="17">
        <f>CHOOSE(CONTROL!$C$42, 16.7529, 16.7529) * CHOOSE(CONTROL!$C$21, $C$9, 100%, $E$9)</f>
        <v>16.7529</v>
      </c>
      <c r="E349" s="17">
        <f>CHOOSE(CONTROL!$C$42, 16.7866, 16.7866) * CHOOSE(CONTROL!$C$21, $C$9, 100%, $E$9)</f>
        <v>16.7866</v>
      </c>
      <c r="F349" s="17">
        <f>CHOOSE(CONTROL!$C$42, 16.6652, 16.6652)*CHOOSE(CONTROL!$C$21, $C$9, 100%, $E$9)</f>
        <v>16.665199999999999</v>
      </c>
      <c r="G349" s="17">
        <f>CHOOSE(CONTROL!$C$42, 16.6816, 16.6816)*CHOOSE(CONTROL!$C$21, $C$9, 100%, $E$9)</f>
        <v>16.6816</v>
      </c>
      <c r="H349" s="17">
        <f>CHOOSE(CONTROL!$C$42, 16.7755, 16.7755) * CHOOSE(CONTROL!$C$21, $C$9, 100%, $E$9)</f>
        <v>16.775500000000001</v>
      </c>
      <c r="I349" s="17">
        <f>CHOOSE(CONTROL!$C$42, 16.7276, 16.7276)* CHOOSE(CONTROL!$C$21, $C$9, 100%, $E$9)</f>
        <v>16.727599999999999</v>
      </c>
      <c r="J349" s="17">
        <f>CHOOSE(CONTROL!$C$42, 16.6578, 16.6578)* CHOOSE(CONTROL!$C$21, $C$9, 100%, $E$9)</f>
        <v>16.657800000000002</v>
      </c>
      <c r="K349" s="52">
        <f>CHOOSE(CONTROL!$C$42, 16.7215, 16.7215) * CHOOSE(CONTROL!$C$21, $C$9, 100%, $E$9)</f>
        <v>16.721499999999999</v>
      </c>
      <c r="L349" s="17">
        <f>CHOOSE(CONTROL!$C$42, 17.3625, 17.3625) * CHOOSE(CONTROL!$C$21, $C$9, 100%, $E$9)</f>
        <v>17.362500000000001</v>
      </c>
      <c r="M349" s="17">
        <f>CHOOSE(CONTROL!$C$42, 16.515, 16.515) * CHOOSE(CONTROL!$C$21, $C$9, 100%, $E$9)</f>
        <v>16.515000000000001</v>
      </c>
      <c r="N349" s="17">
        <f>CHOOSE(CONTROL!$C$42, 16.5313, 16.5313) * CHOOSE(CONTROL!$C$21, $C$9, 100%, $E$9)</f>
        <v>16.531300000000002</v>
      </c>
      <c r="O349" s="17">
        <f>CHOOSE(CONTROL!$C$42, 16.6316, 16.6316) * CHOOSE(CONTROL!$C$21, $C$9, 100%, $E$9)</f>
        <v>16.631599999999999</v>
      </c>
      <c r="P349" s="17">
        <f>CHOOSE(CONTROL!$C$42, 16.5837, 16.5837) * CHOOSE(CONTROL!$C$21, $C$9, 100%, $E$9)</f>
        <v>16.5837</v>
      </c>
      <c r="Q349" s="17">
        <f>CHOOSE(CONTROL!$C$42, 17.2263, 17.2263) * CHOOSE(CONTROL!$C$21, $C$9, 100%, $E$9)</f>
        <v>17.226299999999998</v>
      </c>
      <c r="R349" s="17">
        <f>CHOOSE(CONTROL!$C$42, 17.8564, 17.8564) * CHOOSE(CONTROL!$C$21, $C$9, 100%, $E$9)</f>
        <v>17.856400000000001</v>
      </c>
      <c r="S349" s="17">
        <f>CHOOSE(CONTROL!$C$42, 16.1369, 16.1369) * CHOOSE(CONTROL!$C$21, $C$9, 100%, $E$9)</f>
        <v>16.136900000000001</v>
      </c>
      <c r="T34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49" s="56">
        <f>(1000*CHOOSE(CONTROL!$C$42, 695, 695)*CHOOSE(CONTROL!$C$42, 0.5599, 0.5599)*CHOOSE(CONTROL!$C$42, 31, 31))/1000000</f>
        <v>12.063045499999998</v>
      </c>
      <c r="V349" s="56">
        <f>(1000*CHOOSE(CONTROL!$C$42, 500, 500)*CHOOSE(CONTROL!$C$42, 0.275, 0.275)*CHOOSE(CONTROL!$C$42, 31, 31))/1000000</f>
        <v>4.2625000000000002</v>
      </c>
      <c r="W349" s="56">
        <f>(1000*CHOOSE(CONTROL!$C$42, 0.0916, 0.0916)*CHOOSE(CONTROL!$C$42, 121.5, 121.5)*CHOOSE(CONTROL!$C$42, 31, 31))/1000000</f>
        <v>0.34501139999999997</v>
      </c>
      <c r="X349" s="56">
        <f>(31*0.2374*100000/1000000)</f>
        <v>0.73594000000000004</v>
      </c>
      <c r="Y349" s="56"/>
      <c r="Z349" s="17"/>
      <c r="AA349" s="55"/>
      <c r="AB349" s="48">
        <f>(B349*122.58+C349*297.941+D349*89.177+E349*140.302+F349*40+G349*60+H349*0+I349*100+J349*300)/(122.58+297.941+89.177+140.302+0+40+60+100+300)</f>
        <v>16.687265906521738</v>
      </c>
      <c r="AC349" s="45">
        <f>(M349*'RAP TEMPLATE-GAS AVAILABILITY'!O348+N349*'RAP TEMPLATE-GAS AVAILABILITY'!P348+O349*'RAP TEMPLATE-GAS AVAILABILITY'!Q348+P349*'RAP TEMPLATE-GAS AVAILABILITY'!R348)/('RAP TEMPLATE-GAS AVAILABILITY'!O348+'RAP TEMPLATE-GAS AVAILABILITY'!P348+'RAP TEMPLATE-GAS AVAILABILITY'!Q348+'RAP TEMPLATE-GAS AVAILABILITY'!R348)</f>
        <v>16.578670503597124</v>
      </c>
    </row>
    <row r="350" spans="1:29" ht="15.75" x14ac:dyDescent="0.25">
      <c r="A350" s="14">
        <v>51560</v>
      </c>
      <c r="B350" s="17">
        <f>CHOOSE(CONTROL!$C$42, 16.9472, 16.9472) * CHOOSE(CONTROL!$C$21, $C$9, 100%, $E$9)</f>
        <v>16.947199999999999</v>
      </c>
      <c r="C350" s="17">
        <f>CHOOSE(CONTROL!$C$42, 16.9523, 16.9523) * CHOOSE(CONTROL!$C$21, $C$9, 100%, $E$9)</f>
        <v>16.952300000000001</v>
      </c>
      <c r="D350" s="17">
        <f>CHOOSE(CONTROL!$C$42, 17.0491, 17.0491) * CHOOSE(CONTROL!$C$21, $C$9, 100%, $E$9)</f>
        <v>17.049099999999999</v>
      </c>
      <c r="E350" s="17">
        <f>CHOOSE(CONTROL!$C$42, 17.0829, 17.0829) * CHOOSE(CONTROL!$C$21, $C$9, 100%, $E$9)</f>
        <v>17.082899999999999</v>
      </c>
      <c r="F350" s="17">
        <f>CHOOSE(CONTROL!$C$42, 16.9614, 16.9614)*CHOOSE(CONTROL!$C$21, $C$9, 100%, $E$9)</f>
        <v>16.961400000000001</v>
      </c>
      <c r="G350" s="17">
        <f>CHOOSE(CONTROL!$C$42, 16.9779, 16.9779)*CHOOSE(CONTROL!$C$21, $C$9, 100%, $E$9)</f>
        <v>16.977900000000002</v>
      </c>
      <c r="H350" s="17">
        <f>CHOOSE(CONTROL!$C$42, 17.0717, 17.0717) * CHOOSE(CONTROL!$C$21, $C$9, 100%, $E$9)</f>
        <v>17.0717</v>
      </c>
      <c r="I350" s="17">
        <f>CHOOSE(CONTROL!$C$42, 17.0247, 17.0247)* CHOOSE(CONTROL!$C$21, $C$9, 100%, $E$9)</f>
        <v>17.024699999999999</v>
      </c>
      <c r="J350" s="17">
        <f>CHOOSE(CONTROL!$C$42, 16.954, 16.954)* CHOOSE(CONTROL!$C$21, $C$9, 100%, $E$9)</f>
        <v>16.954000000000001</v>
      </c>
      <c r="K350" s="52">
        <f>CHOOSE(CONTROL!$C$42, 17.0187, 17.0187) * CHOOSE(CONTROL!$C$21, $C$9, 100%, $E$9)</f>
        <v>17.018699999999999</v>
      </c>
      <c r="L350" s="17">
        <f>CHOOSE(CONTROL!$C$42, 17.6587, 17.6587) * CHOOSE(CONTROL!$C$21, $C$9, 100%, $E$9)</f>
        <v>17.6587</v>
      </c>
      <c r="M350" s="17">
        <f>CHOOSE(CONTROL!$C$42, 16.8086, 16.8086) * CHOOSE(CONTROL!$C$21, $C$9, 100%, $E$9)</f>
        <v>16.808599999999998</v>
      </c>
      <c r="N350" s="17">
        <f>CHOOSE(CONTROL!$C$42, 16.8248, 16.8248) * CHOOSE(CONTROL!$C$21, $C$9, 100%, $E$9)</f>
        <v>16.8248</v>
      </c>
      <c r="O350" s="17">
        <f>CHOOSE(CONTROL!$C$42, 16.9252, 16.9252) * CHOOSE(CONTROL!$C$21, $C$9, 100%, $E$9)</f>
        <v>16.9252</v>
      </c>
      <c r="P350" s="17">
        <f>CHOOSE(CONTROL!$C$42, 16.8782, 16.8782) * CHOOSE(CONTROL!$C$21, $C$9, 100%, $E$9)</f>
        <v>16.8782</v>
      </c>
      <c r="Q350" s="17">
        <f>CHOOSE(CONTROL!$C$42, 17.5199, 17.5199) * CHOOSE(CONTROL!$C$21, $C$9, 100%, $E$9)</f>
        <v>17.5199</v>
      </c>
      <c r="R350" s="17">
        <f>CHOOSE(CONTROL!$C$42, 18.1507, 18.1507) * CHOOSE(CONTROL!$C$21, $C$9, 100%, $E$9)</f>
        <v>18.150700000000001</v>
      </c>
      <c r="S350" s="17">
        <f>CHOOSE(CONTROL!$C$42, 16.4242, 16.4242) * CHOOSE(CONTROL!$C$21, $C$9, 100%, $E$9)</f>
        <v>16.424199999999999</v>
      </c>
      <c r="T35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50" s="56">
        <f>(1000*CHOOSE(CONTROL!$C$42, 695, 695)*CHOOSE(CONTROL!$C$42, 0.5599, 0.5599)*CHOOSE(CONTROL!$C$42, 28, 28))/1000000</f>
        <v>10.895653999999999</v>
      </c>
      <c r="V350" s="56">
        <f>(1000*CHOOSE(CONTROL!$C$42, 500, 500)*CHOOSE(CONTROL!$C$42, 0.275, 0.275)*CHOOSE(CONTROL!$C$42, 28, 28))/1000000</f>
        <v>3.85</v>
      </c>
      <c r="W350" s="56">
        <f>(1000*CHOOSE(CONTROL!$C$42, 0.0916, 0.0916)*CHOOSE(CONTROL!$C$42, 121.5, 121.5)*CHOOSE(CONTROL!$C$42, 28, 28))/1000000</f>
        <v>0.31162319999999999</v>
      </c>
      <c r="X350" s="56">
        <f>(28*0.2374*100000/1000000)</f>
        <v>0.66471999999999998</v>
      </c>
      <c r="Y350" s="56"/>
      <c r="Z350" s="17"/>
      <c r="AA350" s="55"/>
      <c r="AB350" s="48">
        <f>(B350*122.58+C350*297.941+D350*89.177+E350*140.302+F350*40+G350*60+H350*0+I350*100+J350*300)/(122.58+297.941+89.177+140.302+0+40+60+100+300)</f>
        <v>16.983587492869564</v>
      </c>
      <c r="AC350" s="45">
        <f>(M350*'RAP TEMPLATE-GAS AVAILABILITY'!O349+N350*'RAP TEMPLATE-GAS AVAILABILITY'!P349+O350*'RAP TEMPLATE-GAS AVAILABILITY'!Q349+P350*'RAP TEMPLATE-GAS AVAILABILITY'!R349)/('RAP TEMPLATE-GAS AVAILABILITY'!O349+'RAP TEMPLATE-GAS AVAILABILITY'!P349+'RAP TEMPLATE-GAS AVAILABILITY'!Q349+'RAP TEMPLATE-GAS AVAILABILITY'!R349)</f>
        <v>16.872394244604315</v>
      </c>
    </row>
    <row r="351" spans="1:29" ht="15.75" x14ac:dyDescent="0.25">
      <c r="A351" s="14">
        <v>51591</v>
      </c>
      <c r="B351" s="17">
        <f>CHOOSE(CONTROL!$C$42, 16.4663, 16.4663) * CHOOSE(CONTROL!$C$21, $C$9, 100%, $E$9)</f>
        <v>16.4663</v>
      </c>
      <c r="C351" s="17">
        <f>CHOOSE(CONTROL!$C$42, 16.4714, 16.4714) * CHOOSE(CONTROL!$C$21, $C$9, 100%, $E$9)</f>
        <v>16.471399999999999</v>
      </c>
      <c r="D351" s="17">
        <f>CHOOSE(CONTROL!$C$42, 16.5683, 16.5683) * CHOOSE(CONTROL!$C$21, $C$9, 100%, $E$9)</f>
        <v>16.568300000000001</v>
      </c>
      <c r="E351" s="17">
        <f>CHOOSE(CONTROL!$C$42, 16.602, 16.602) * CHOOSE(CONTROL!$C$21, $C$9, 100%, $E$9)</f>
        <v>16.602</v>
      </c>
      <c r="F351" s="17">
        <f>CHOOSE(CONTROL!$C$42, 16.48, 16.48)*CHOOSE(CONTROL!$C$21, $C$9, 100%, $E$9)</f>
        <v>16.48</v>
      </c>
      <c r="G351" s="17">
        <f>CHOOSE(CONTROL!$C$42, 16.4962, 16.4962)*CHOOSE(CONTROL!$C$21, $C$9, 100%, $E$9)</f>
        <v>16.496200000000002</v>
      </c>
      <c r="H351" s="17">
        <f>CHOOSE(CONTROL!$C$42, 16.5909, 16.5909) * CHOOSE(CONTROL!$C$21, $C$9, 100%, $E$9)</f>
        <v>16.590900000000001</v>
      </c>
      <c r="I351" s="17">
        <f>CHOOSE(CONTROL!$C$42, 16.5424, 16.5424)* CHOOSE(CONTROL!$C$21, $C$9, 100%, $E$9)</f>
        <v>16.542400000000001</v>
      </c>
      <c r="J351" s="17">
        <f>CHOOSE(CONTROL!$C$42, 16.4726, 16.4726)* CHOOSE(CONTROL!$C$21, $C$9, 100%, $E$9)</f>
        <v>16.4726</v>
      </c>
      <c r="K351" s="52">
        <f>CHOOSE(CONTROL!$C$42, 16.5364, 16.5364) * CHOOSE(CONTROL!$C$21, $C$9, 100%, $E$9)</f>
        <v>16.5364</v>
      </c>
      <c r="L351" s="17">
        <f>CHOOSE(CONTROL!$C$42, 17.1779, 17.1779) * CHOOSE(CONTROL!$C$21, $C$9, 100%, $E$9)</f>
        <v>17.177900000000001</v>
      </c>
      <c r="M351" s="17">
        <f>CHOOSE(CONTROL!$C$42, 16.3314, 16.3314) * CHOOSE(CONTROL!$C$21, $C$9, 100%, $E$9)</f>
        <v>16.331399999999999</v>
      </c>
      <c r="N351" s="17">
        <f>CHOOSE(CONTROL!$C$42, 16.3475, 16.3475) * CHOOSE(CONTROL!$C$21, $C$9, 100%, $E$9)</f>
        <v>16.3475</v>
      </c>
      <c r="O351" s="17">
        <f>CHOOSE(CONTROL!$C$42, 16.4487, 16.4487) * CHOOSE(CONTROL!$C$21, $C$9, 100%, $E$9)</f>
        <v>16.448699999999999</v>
      </c>
      <c r="P351" s="17">
        <f>CHOOSE(CONTROL!$C$42, 16.4002, 16.4002) * CHOOSE(CONTROL!$C$21, $C$9, 100%, $E$9)</f>
        <v>16.400200000000002</v>
      </c>
      <c r="Q351" s="17">
        <f>CHOOSE(CONTROL!$C$42, 17.0434, 17.0434) * CHOOSE(CONTROL!$C$21, $C$9, 100%, $E$9)</f>
        <v>17.043399999999998</v>
      </c>
      <c r="R351" s="17">
        <f>CHOOSE(CONTROL!$C$42, 17.673, 17.673) * CHOOSE(CONTROL!$C$21, $C$9, 100%, $E$9)</f>
        <v>17.672999999999998</v>
      </c>
      <c r="S351" s="17">
        <f>CHOOSE(CONTROL!$C$42, 15.9579, 15.9579) * CHOOSE(CONTROL!$C$21, $C$9, 100%, $E$9)</f>
        <v>15.9579</v>
      </c>
      <c r="T35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51" s="56">
        <f>(1000*CHOOSE(CONTROL!$C$42, 695, 695)*CHOOSE(CONTROL!$C$42, 0.5599, 0.5599)*CHOOSE(CONTROL!$C$42, 31, 31))/1000000</f>
        <v>12.063045499999998</v>
      </c>
      <c r="V351" s="56">
        <f>(1000*CHOOSE(CONTROL!$C$42, 500, 500)*CHOOSE(CONTROL!$C$42, 0.275, 0.275)*CHOOSE(CONTROL!$C$42, 31, 31))/1000000</f>
        <v>4.2625000000000002</v>
      </c>
      <c r="W351" s="56">
        <f>(1000*CHOOSE(CONTROL!$C$42, 0.0916, 0.0916)*CHOOSE(CONTROL!$C$42, 121.5, 121.5)*CHOOSE(CONTROL!$C$42, 31, 31))/1000000</f>
        <v>0.34501139999999997</v>
      </c>
      <c r="X351" s="56">
        <f>(31*0.2374*100000/1000000)</f>
        <v>0.73594000000000004</v>
      </c>
      <c r="Y351" s="56"/>
      <c r="Z351" s="17"/>
      <c r="AA351" s="55"/>
      <c r="AB351" s="48">
        <f>(B351*122.58+C351*297.941+D351*89.177+E351*140.302+F351*40+G351*60+H351*0+I351*100+J351*300)/(122.58+297.941+89.177+140.302+0+40+60+100+300)</f>
        <v>16.50238394304348</v>
      </c>
      <c r="AC351" s="45">
        <f>(M351*'RAP TEMPLATE-GAS AVAILABILITY'!O350+N351*'RAP TEMPLATE-GAS AVAILABILITY'!P350+O351*'RAP TEMPLATE-GAS AVAILABILITY'!Q350+P351*'RAP TEMPLATE-GAS AVAILABILITY'!R350)/('RAP TEMPLATE-GAS AVAILABILITY'!O350+'RAP TEMPLATE-GAS AVAILABILITY'!P350+'RAP TEMPLATE-GAS AVAILABILITY'!Q350+'RAP TEMPLATE-GAS AVAILABILITY'!R350)</f>
        <v>16.395390647482014</v>
      </c>
    </row>
    <row r="352" spans="1:29" ht="15.75" x14ac:dyDescent="0.25">
      <c r="A352" s="14">
        <v>51621</v>
      </c>
      <c r="B352" s="17">
        <f>CHOOSE(CONTROL!$C$42, 16.4181, 16.4181) * CHOOSE(CONTROL!$C$21, $C$9, 100%, $E$9)</f>
        <v>16.418099999999999</v>
      </c>
      <c r="C352" s="17">
        <f>CHOOSE(CONTROL!$C$42, 16.4226, 16.4226) * CHOOSE(CONTROL!$C$21, $C$9, 100%, $E$9)</f>
        <v>16.422599999999999</v>
      </c>
      <c r="D352" s="17">
        <f>CHOOSE(CONTROL!$C$42, 16.6701, 16.6701) * CHOOSE(CONTROL!$C$21, $C$9, 100%, $E$9)</f>
        <v>16.670100000000001</v>
      </c>
      <c r="E352" s="17">
        <f>CHOOSE(CONTROL!$C$42, 16.7019, 16.7019) * CHOOSE(CONTROL!$C$21, $C$9, 100%, $E$9)</f>
        <v>16.701899999999998</v>
      </c>
      <c r="F352" s="17">
        <f>CHOOSE(CONTROL!$C$42, 16.4297, 16.4297)*CHOOSE(CONTROL!$C$21, $C$9, 100%, $E$9)</f>
        <v>16.4297</v>
      </c>
      <c r="G352" s="17">
        <f>CHOOSE(CONTROL!$C$42, 16.4456, 16.4456)*CHOOSE(CONTROL!$C$21, $C$9, 100%, $E$9)</f>
        <v>16.445599999999999</v>
      </c>
      <c r="H352" s="17">
        <f>CHOOSE(CONTROL!$C$42, 16.6914, 16.6914) * CHOOSE(CONTROL!$C$21, $C$9, 100%, $E$9)</f>
        <v>16.691400000000002</v>
      </c>
      <c r="I352" s="17">
        <f>CHOOSE(CONTROL!$C$42, 16.4916, 16.4916)* CHOOSE(CONTROL!$C$21, $C$9, 100%, $E$9)</f>
        <v>16.491599999999998</v>
      </c>
      <c r="J352" s="17">
        <f>CHOOSE(CONTROL!$C$42, 16.4223, 16.4223)* CHOOSE(CONTROL!$C$21, $C$9, 100%, $E$9)</f>
        <v>16.4223</v>
      </c>
      <c r="K352" s="52">
        <f>CHOOSE(CONTROL!$C$42, 16.4856, 16.4856) * CHOOSE(CONTROL!$C$21, $C$9, 100%, $E$9)</f>
        <v>16.485600000000002</v>
      </c>
      <c r="L352" s="17">
        <f>CHOOSE(CONTROL!$C$42, 17.2784, 17.2784) * CHOOSE(CONTROL!$C$21, $C$9, 100%, $E$9)</f>
        <v>17.278400000000001</v>
      </c>
      <c r="M352" s="17">
        <f>CHOOSE(CONTROL!$C$42, 16.2816, 16.2816) * CHOOSE(CONTROL!$C$21, $C$9, 100%, $E$9)</f>
        <v>16.281600000000001</v>
      </c>
      <c r="N352" s="17">
        <f>CHOOSE(CONTROL!$C$42, 16.2974, 16.2974) * CHOOSE(CONTROL!$C$21, $C$9, 100%, $E$9)</f>
        <v>16.2974</v>
      </c>
      <c r="O352" s="17">
        <f>CHOOSE(CONTROL!$C$42, 16.5483, 16.5483) * CHOOSE(CONTROL!$C$21, $C$9, 100%, $E$9)</f>
        <v>16.548300000000001</v>
      </c>
      <c r="P352" s="17">
        <f>CHOOSE(CONTROL!$C$42, 16.3499, 16.3499) * CHOOSE(CONTROL!$C$21, $C$9, 100%, $E$9)</f>
        <v>16.349900000000002</v>
      </c>
      <c r="Q352" s="17">
        <f>CHOOSE(CONTROL!$C$42, 17.143, 17.143) * CHOOSE(CONTROL!$C$21, $C$9, 100%, $E$9)</f>
        <v>17.143000000000001</v>
      </c>
      <c r="R352" s="17">
        <f>CHOOSE(CONTROL!$C$42, 17.7728, 17.7728) * CHOOSE(CONTROL!$C$21, $C$9, 100%, $E$9)</f>
        <v>17.7728</v>
      </c>
      <c r="S352" s="17">
        <f>CHOOSE(CONTROL!$C$42, 15.9103, 15.9103) * CHOOSE(CONTROL!$C$21, $C$9, 100%, $E$9)</f>
        <v>15.910299999999999</v>
      </c>
      <c r="T35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52" s="56">
        <f>(1000*CHOOSE(CONTROL!$C$42, 695, 695)*CHOOSE(CONTROL!$C$42, 0.5599, 0.5599)*CHOOSE(CONTROL!$C$42, 30, 30))/1000000</f>
        <v>11.673914999999997</v>
      </c>
      <c r="V352" s="56">
        <f>(1000*CHOOSE(CONTROL!$C$42, 500, 500)*CHOOSE(CONTROL!$C$42, 0.275, 0.275)*CHOOSE(CONTROL!$C$42, 30, 30))/1000000</f>
        <v>4.125</v>
      </c>
      <c r="W352" s="56">
        <f>(1000*CHOOSE(CONTROL!$C$42, 0.0916, 0.0916)*CHOOSE(CONTROL!$C$42, 121.5, 121.5)*CHOOSE(CONTROL!$C$42, 30, 30))/1000000</f>
        <v>0.33388200000000001</v>
      </c>
      <c r="X352" s="56">
        <f>(30*0.1790888*145000/1000000)+(30*0.2374*100000/1000000)</f>
        <v>1.4912362799999999</v>
      </c>
      <c r="Y352" s="56"/>
      <c r="Z352" s="17"/>
      <c r="AA352" s="55"/>
      <c r="AB352" s="48">
        <f>(B352*141.293+C352*267.993+D352*115.016+E352*189.698+F352*40+G352*85+H352*0+I352*100+J352*300)/(141.293+267.993+115.016+189.698+0+40+85+100+300)</f>
        <v>16.495128081436643</v>
      </c>
      <c r="AC352" s="45">
        <f>(M352*'RAP TEMPLATE-GAS AVAILABILITY'!O351+N352*'RAP TEMPLATE-GAS AVAILABILITY'!P351+O352*'RAP TEMPLATE-GAS AVAILABILITY'!Q351+P352*'RAP TEMPLATE-GAS AVAILABILITY'!R351)/('RAP TEMPLATE-GAS AVAILABILITY'!O351+'RAP TEMPLATE-GAS AVAILABILITY'!P351+'RAP TEMPLATE-GAS AVAILABILITY'!Q351+'RAP TEMPLATE-GAS AVAILABILITY'!R351)</f>
        <v>16.369894244604314</v>
      </c>
    </row>
    <row r="353" spans="1:29" ht="15.75" x14ac:dyDescent="0.25">
      <c r="A353" s="14">
        <v>51652</v>
      </c>
      <c r="B353" s="17">
        <f>CHOOSE(CONTROL!$C$42, 16.5642, 16.5642) * CHOOSE(CONTROL!$C$21, $C$9, 100%, $E$9)</f>
        <v>16.5642</v>
      </c>
      <c r="C353" s="17">
        <f>CHOOSE(CONTROL!$C$42, 16.5722, 16.5722) * CHOOSE(CONTROL!$C$21, $C$9, 100%, $E$9)</f>
        <v>16.572199999999999</v>
      </c>
      <c r="D353" s="17">
        <f>CHOOSE(CONTROL!$C$42, 16.8167, 16.8167) * CHOOSE(CONTROL!$C$21, $C$9, 100%, $E$9)</f>
        <v>16.816700000000001</v>
      </c>
      <c r="E353" s="17">
        <f>CHOOSE(CONTROL!$C$42, 16.8479, 16.8479) * CHOOSE(CONTROL!$C$21, $C$9, 100%, $E$9)</f>
        <v>16.847899999999999</v>
      </c>
      <c r="F353" s="17">
        <f>CHOOSE(CONTROL!$C$42, 16.5748, 16.5748)*CHOOSE(CONTROL!$C$21, $C$9, 100%, $E$9)</f>
        <v>16.5748</v>
      </c>
      <c r="G353" s="17">
        <f>CHOOSE(CONTROL!$C$42, 16.591, 16.591)*CHOOSE(CONTROL!$C$21, $C$9, 100%, $E$9)</f>
        <v>16.591000000000001</v>
      </c>
      <c r="H353" s="17">
        <f>CHOOSE(CONTROL!$C$42, 16.8362, 16.8362) * CHOOSE(CONTROL!$C$21, $C$9, 100%, $E$9)</f>
        <v>16.836200000000002</v>
      </c>
      <c r="I353" s="17">
        <f>CHOOSE(CONTROL!$C$42, 16.6369, 16.6369)* CHOOSE(CONTROL!$C$21, $C$9, 100%, $E$9)</f>
        <v>16.636900000000001</v>
      </c>
      <c r="J353" s="17">
        <f>CHOOSE(CONTROL!$C$42, 16.5674, 16.5674)* CHOOSE(CONTROL!$C$21, $C$9, 100%, $E$9)</f>
        <v>16.567399999999999</v>
      </c>
      <c r="K353" s="52">
        <f>CHOOSE(CONTROL!$C$42, 16.6309, 16.6309) * CHOOSE(CONTROL!$C$21, $C$9, 100%, $E$9)</f>
        <v>16.6309</v>
      </c>
      <c r="L353" s="17">
        <f>CHOOSE(CONTROL!$C$42, 17.4232, 17.4232) * CHOOSE(CONTROL!$C$21, $C$9, 100%, $E$9)</f>
        <v>17.423200000000001</v>
      </c>
      <c r="M353" s="17">
        <f>CHOOSE(CONTROL!$C$42, 16.4254, 16.4254) * CHOOSE(CONTROL!$C$21, $C$9, 100%, $E$9)</f>
        <v>16.4254</v>
      </c>
      <c r="N353" s="17">
        <f>CHOOSE(CONTROL!$C$42, 16.4415, 16.4415) * CHOOSE(CONTROL!$C$21, $C$9, 100%, $E$9)</f>
        <v>16.441500000000001</v>
      </c>
      <c r="O353" s="17">
        <f>CHOOSE(CONTROL!$C$42, 16.6918, 16.6918) * CHOOSE(CONTROL!$C$21, $C$9, 100%, $E$9)</f>
        <v>16.691800000000001</v>
      </c>
      <c r="P353" s="17">
        <f>CHOOSE(CONTROL!$C$42, 16.4939, 16.4939) * CHOOSE(CONTROL!$C$21, $C$9, 100%, $E$9)</f>
        <v>16.4939</v>
      </c>
      <c r="Q353" s="17">
        <f>CHOOSE(CONTROL!$C$42, 17.2865, 17.2865) * CHOOSE(CONTROL!$C$21, $C$9, 100%, $E$9)</f>
        <v>17.2865</v>
      </c>
      <c r="R353" s="17">
        <f>CHOOSE(CONTROL!$C$42, 17.9167, 17.9167) * CHOOSE(CONTROL!$C$21, $C$9, 100%, $E$9)</f>
        <v>17.916699999999999</v>
      </c>
      <c r="S353" s="17">
        <f>CHOOSE(CONTROL!$C$42, 16.0508, 16.0508) * CHOOSE(CONTROL!$C$21, $C$9, 100%, $E$9)</f>
        <v>16.050799999999999</v>
      </c>
      <c r="T35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53" s="56">
        <f>(1000*CHOOSE(CONTROL!$C$42, 695, 695)*CHOOSE(CONTROL!$C$42, 0.5599, 0.5599)*CHOOSE(CONTROL!$C$42, 31, 31))/1000000</f>
        <v>12.063045499999998</v>
      </c>
      <c r="V353" s="56">
        <f>(1000*CHOOSE(CONTROL!$C$42, 500, 500)*CHOOSE(CONTROL!$C$42, 0.275, 0.275)*CHOOSE(CONTROL!$C$42, 31, 31))/1000000</f>
        <v>4.2625000000000002</v>
      </c>
      <c r="W353" s="56">
        <f>(1000*CHOOSE(CONTROL!$C$42, 0.0916, 0.0916)*CHOOSE(CONTROL!$C$42, 121.5, 121.5)*CHOOSE(CONTROL!$C$42, 31, 31))/1000000</f>
        <v>0.34501139999999997</v>
      </c>
      <c r="X353" s="56">
        <f>(31*0.1790888*145000/1000000)+(31*0.2374*100000/1000000)</f>
        <v>1.5409441560000001</v>
      </c>
      <c r="Y353" s="56"/>
      <c r="Z353" s="17"/>
      <c r="AA353" s="55"/>
      <c r="AB353" s="48">
        <f>(B353*194.205+C353*267.466+D353*133.845+E353*153.484+F353*40+G353*85+H353*0+I353*100+J353*300)/(194.205+267.466+133.845+153.484+0+40+85+100+300)</f>
        <v>16.635166249058084</v>
      </c>
      <c r="AC353" s="45">
        <f>(M353*'RAP TEMPLATE-GAS AVAILABILITY'!O352+N353*'RAP TEMPLATE-GAS AVAILABILITY'!P352+O353*'RAP TEMPLATE-GAS AVAILABILITY'!Q352+P353*'RAP TEMPLATE-GAS AVAILABILITY'!R352)/('RAP TEMPLATE-GAS AVAILABILITY'!O352+'RAP TEMPLATE-GAS AVAILABILITY'!P352+'RAP TEMPLATE-GAS AVAILABILITY'!Q352+'RAP TEMPLATE-GAS AVAILABILITY'!R352)</f>
        <v>16.513707913669066</v>
      </c>
    </row>
    <row r="354" spans="1:29" ht="15.75" x14ac:dyDescent="0.25">
      <c r="A354" s="14">
        <v>51682</v>
      </c>
      <c r="B354" s="17">
        <f>CHOOSE(CONTROL!$C$42, 17.0337, 17.0337) * CHOOSE(CONTROL!$C$21, $C$9, 100%, $E$9)</f>
        <v>17.0337</v>
      </c>
      <c r="C354" s="17">
        <f>CHOOSE(CONTROL!$C$42, 17.0417, 17.0417) * CHOOSE(CONTROL!$C$21, $C$9, 100%, $E$9)</f>
        <v>17.041699999999999</v>
      </c>
      <c r="D354" s="17">
        <f>CHOOSE(CONTROL!$C$42, 17.2862, 17.2862) * CHOOSE(CONTROL!$C$21, $C$9, 100%, $E$9)</f>
        <v>17.286200000000001</v>
      </c>
      <c r="E354" s="17">
        <f>CHOOSE(CONTROL!$C$42, 17.3174, 17.3174) * CHOOSE(CONTROL!$C$21, $C$9, 100%, $E$9)</f>
        <v>17.317399999999999</v>
      </c>
      <c r="F354" s="17">
        <f>CHOOSE(CONTROL!$C$42, 17.0446, 17.0446)*CHOOSE(CONTROL!$C$21, $C$9, 100%, $E$9)</f>
        <v>17.044599999999999</v>
      </c>
      <c r="G354" s="17">
        <f>CHOOSE(CONTROL!$C$42, 17.0609, 17.0609)*CHOOSE(CONTROL!$C$21, $C$9, 100%, $E$9)</f>
        <v>17.0609</v>
      </c>
      <c r="H354" s="17">
        <f>CHOOSE(CONTROL!$C$42, 17.3057, 17.3057) * CHOOSE(CONTROL!$C$21, $C$9, 100%, $E$9)</f>
        <v>17.305700000000002</v>
      </c>
      <c r="I354" s="17">
        <f>CHOOSE(CONTROL!$C$42, 17.1079, 17.1079)* CHOOSE(CONTROL!$C$21, $C$9, 100%, $E$9)</f>
        <v>17.107900000000001</v>
      </c>
      <c r="J354" s="17">
        <f>CHOOSE(CONTROL!$C$42, 17.0372, 17.0372)* CHOOSE(CONTROL!$C$21, $C$9, 100%, $E$9)</f>
        <v>17.037199999999999</v>
      </c>
      <c r="K354" s="52">
        <f>CHOOSE(CONTROL!$C$42, 17.1018, 17.1018) * CHOOSE(CONTROL!$C$21, $C$9, 100%, $E$9)</f>
        <v>17.101800000000001</v>
      </c>
      <c r="L354" s="17">
        <f>CHOOSE(CONTROL!$C$42, 17.8927, 17.8927) * CHOOSE(CONTROL!$C$21, $C$9, 100%, $E$9)</f>
        <v>17.892700000000001</v>
      </c>
      <c r="M354" s="17">
        <f>CHOOSE(CONTROL!$C$42, 16.891, 16.891) * CHOOSE(CONTROL!$C$21, $C$9, 100%, $E$9)</f>
        <v>16.890999999999998</v>
      </c>
      <c r="N354" s="17">
        <f>CHOOSE(CONTROL!$C$42, 16.9072, 16.9072) * CHOOSE(CONTROL!$C$21, $C$9, 100%, $E$9)</f>
        <v>16.9072</v>
      </c>
      <c r="O354" s="17">
        <f>CHOOSE(CONTROL!$C$42, 17.1571, 17.1571) * CHOOSE(CONTROL!$C$21, $C$9, 100%, $E$9)</f>
        <v>17.1571</v>
      </c>
      <c r="P354" s="17">
        <f>CHOOSE(CONTROL!$C$42, 16.9606, 16.9606) * CHOOSE(CONTROL!$C$21, $C$9, 100%, $E$9)</f>
        <v>16.960599999999999</v>
      </c>
      <c r="Q354" s="17">
        <f>CHOOSE(CONTROL!$C$42, 17.7518, 17.7518) * CHOOSE(CONTROL!$C$21, $C$9, 100%, $E$9)</f>
        <v>17.751799999999999</v>
      </c>
      <c r="R354" s="17">
        <f>CHOOSE(CONTROL!$C$42, 18.3831, 18.3831) * CHOOSE(CONTROL!$C$21, $C$9, 100%, $E$9)</f>
        <v>18.383099999999999</v>
      </c>
      <c r="S354" s="17">
        <f>CHOOSE(CONTROL!$C$42, 16.506, 16.506) * CHOOSE(CONTROL!$C$21, $C$9, 100%, $E$9)</f>
        <v>16.506</v>
      </c>
      <c r="T35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54" s="56">
        <f>(1000*CHOOSE(CONTROL!$C$42, 695, 695)*CHOOSE(CONTROL!$C$42, 0.5599, 0.5599)*CHOOSE(CONTROL!$C$42, 30, 30))/1000000</f>
        <v>11.673914999999997</v>
      </c>
      <c r="V354" s="56">
        <f>(1000*CHOOSE(CONTROL!$C$42, 500, 500)*CHOOSE(CONTROL!$C$42, 0.275, 0.275)*CHOOSE(CONTROL!$C$42, 30, 30))/1000000</f>
        <v>4.125</v>
      </c>
      <c r="W354" s="56">
        <f>(1000*CHOOSE(CONTROL!$C$42, 0.0916, 0.0916)*CHOOSE(CONTROL!$C$42, 121.5, 121.5)*CHOOSE(CONTROL!$C$42, 30, 30))/1000000</f>
        <v>0.33388200000000001</v>
      </c>
      <c r="X354" s="56">
        <f>(30*0.1790888*145000/1000000)+(30*0.2374*100000/1000000)</f>
        <v>1.4912362799999999</v>
      </c>
      <c r="Y354" s="56"/>
      <c r="Z354" s="17"/>
      <c r="AA354" s="55"/>
      <c r="AB354" s="48">
        <f>(B354*194.205+C354*267.466+D354*133.845+E354*153.484+F354*40+G354*85+H354*0+I354*100+J354*300)/(194.205+267.466+133.845+153.484+0+40+85+100+300)</f>
        <v>17.104890738854003</v>
      </c>
      <c r="AC354" s="45">
        <f>(M354*'RAP TEMPLATE-GAS AVAILABILITY'!O353+N354*'RAP TEMPLATE-GAS AVAILABILITY'!P353+O354*'RAP TEMPLATE-GAS AVAILABILITY'!Q353+P354*'RAP TEMPLATE-GAS AVAILABILITY'!R353)/('RAP TEMPLATE-GAS AVAILABILITY'!O353+'RAP TEMPLATE-GAS AVAILABILITY'!P353+'RAP TEMPLATE-GAS AVAILABILITY'!Q353+'RAP TEMPLATE-GAS AVAILABILITY'!R353)</f>
        <v>16.979405035971222</v>
      </c>
    </row>
    <row r="355" spans="1:29" ht="15.75" x14ac:dyDescent="0.25">
      <c r="A355" s="14">
        <v>51713</v>
      </c>
      <c r="B355" s="17">
        <f>CHOOSE(CONTROL!$C$42, 16.7072, 16.7072) * CHOOSE(CONTROL!$C$21, $C$9, 100%, $E$9)</f>
        <v>16.7072</v>
      </c>
      <c r="C355" s="17">
        <f>CHOOSE(CONTROL!$C$42, 16.7152, 16.7152) * CHOOSE(CONTROL!$C$21, $C$9, 100%, $E$9)</f>
        <v>16.715199999999999</v>
      </c>
      <c r="D355" s="17">
        <f>CHOOSE(CONTROL!$C$42, 16.9596, 16.9596) * CHOOSE(CONTROL!$C$21, $C$9, 100%, $E$9)</f>
        <v>16.959599999999998</v>
      </c>
      <c r="E355" s="17">
        <f>CHOOSE(CONTROL!$C$42, 16.9908, 16.9908) * CHOOSE(CONTROL!$C$21, $C$9, 100%, $E$9)</f>
        <v>16.9908</v>
      </c>
      <c r="F355" s="17">
        <f>CHOOSE(CONTROL!$C$42, 16.7185, 16.7185)*CHOOSE(CONTROL!$C$21, $C$9, 100%, $E$9)</f>
        <v>16.718499999999999</v>
      </c>
      <c r="G355" s="17">
        <f>CHOOSE(CONTROL!$C$42, 16.735, 16.735)*CHOOSE(CONTROL!$C$21, $C$9, 100%, $E$9)</f>
        <v>16.734999999999999</v>
      </c>
      <c r="H355" s="17">
        <f>CHOOSE(CONTROL!$C$42, 16.9791, 16.9791) * CHOOSE(CONTROL!$C$21, $C$9, 100%, $E$9)</f>
        <v>16.979099999999999</v>
      </c>
      <c r="I355" s="17">
        <f>CHOOSE(CONTROL!$C$42, 16.7803, 16.7803)* CHOOSE(CONTROL!$C$21, $C$9, 100%, $E$9)</f>
        <v>16.7803</v>
      </c>
      <c r="J355" s="17">
        <f>CHOOSE(CONTROL!$C$42, 16.7111, 16.7111)* CHOOSE(CONTROL!$C$21, $C$9, 100%, $E$9)</f>
        <v>16.711099999999998</v>
      </c>
      <c r="K355" s="52">
        <f>CHOOSE(CONTROL!$C$42, 16.7743, 16.7743) * CHOOSE(CONTROL!$C$21, $C$9, 100%, $E$9)</f>
        <v>16.7743</v>
      </c>
      <c r="L355" s="17">
        <f>CHOOSE(CONTROL!$C$42, 17.5661, 17.5661) * CHOOSE(CONTROL!$C$21, $C$9, 100%, $E$9)</f>
        <v>17.566099999999999</v>
      </c>
      <c r="M355" s="17">
        <f>CHOOSE(CONTROL!$C$42, 16.5678, 16.5678) * CHOOSE(CONTROL!$C$21, $C$9, 100%, $E$9)</f>
        <v>16.567799999999998</v>
      </c>
      <c r="N355" s="17">
        <f>CHOOSE(CONTROL!$C$42, 16.5841, 16.5841) * CHOOSE(CONTROL!$C$21, $C$9, 100%, $E$9)</f>
        <v>16.584099999999999</v>
      </c>
      <c r="O355" s="17">
        <f>CHOOSE(CONTROL!$C$42, 16.8335, 16.8335) * CHOOSE(CONTROL!$C$21, $C$9, 100%, $E$9)</f>
        <v>16.833500000000001</v>
      </c>
      <c r="P355" s="17">
        <f>CHOOSE(CONTROL!$C$42, 16.636, 16.636) * CHOOSE(CONTROL!$C$21, $C$9, 100%, $E$9)</f>
        <v>16.635999999999999</v>
      </c>
      <c r="Q355" s="17">
        <f>CHOOSE(CONTROL!$C$42, 17.4282, 17.4282) * CHOOSE(CONTROL!$C$21, $C$9, 100%, $E$9)</f>
        <v>17.4282</v>
      </c>
      <c r="R355" s="17">
        <f>CHOOSE(CONTROL!$C$42, 18.0587, 18.0587) * CHOOSE(CONTROL!$C$21, $C$9, 100%, $E$9)</f>
        <v>18.058700000000002</v>
      </c>
      <c r="S355" s="17">
        <f>CHOOSE(CONTROL!$C$42, 16.1894, 16.1894) * CHOOSE(CONTROL!$C$21, $C$9, 100%, $E$9)</f>
        <v>16.189399999999999</v>
      </c>
      <c r="T35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55" s="56">
        <f>(1000*CHOOSE(CONTROL!$C$42, 695, 695)*CHOOSE(CONTROL!$C$42, 0.5599, 0.5599)*CHOOSE(CONTROL!$C$42, 31, 31))/1000000</f>
        <v>12.063045499999998</v>
      </c>
      <c r="V355" s="56">
        <f>(1000*CHOOSE(CONTROL!$C$42, 500, 500)*CHOOSE(CONTROL!$C$42, 0.275, 0.275)*CHOOSE(CONTROL!$C$42, 31, 31))/1000000</f>
        <v>4.2625000000000002</v>
      </c>
      <c r="W355" s="56">
        <f>(1000*CHOOSE(CONTROL!$C$42, 0.0916, 0.0916)*CHOOSE(CONTROL!$C$42, 121.5, 121.5)*CHOOSE(CONTROL!$C$42, 31, 31))/1000000</f>
        <v>0.34501139999999997</v>
      </c>
      <c r="X355" s="56">
        <f>(31*0.1790888*145000/1000000)+(31*0.2374*100000/1000000)</f>
        <v>1.5409441560000001</v>
      </c>
      <c r="Y355" s="56"/>
      <c r="Z355" s="17"/>
      <c r="AA355" s="55"/>
      <c r="AB355" s="48">
        <f>(B355*194.205+C355*267.466+D355*133.845+E355*153.484+F355*40+G355*85+H355*0+I355*100+J355*300)/(194.205+267.466+133.845+153.484+0+40+85+100+300)</f>
        <v>16.778428625117741</v>
      </c>
      <c r="AC355" s="45">
        <f>(M355*'RAP TEMPLATE-GAS AVAILABILITY'!O354+N355*'RAP TEMPLATE-GAS AVAILABILITY'!P354+O355*'RAP TEMPLATE-GAS AVAILABILITY'!Q354+P355*'RAP TEMPLATE-GAS AVAILABILITY'!R354)/('RAP TEMPLATE-GAS AVAILABILITY'!O354+'RAP TEMPLATE-GAS AVAILABILITY'!P354+'RAP TEMPLATE-GAS AVAILABILITY'!Q354+'RAP TEMPLATE-GAS AVAILABILITY'!R354)</f>
        <v>16.655914388489208</v>
      </c>
    </row>
    <row r="356" spans="1:29" ht="15.75" x14ac:dyDescent="0.25">
      <c r="A356" s="14">
        <v>51744</v>
      </c>
      <c r="B356" s="17">
        <f>CHOOSE(CONTROL!$C$42, 15.8826, 15.8826) * CHOOSE(CONTROL!$C$21, $C$9, 100%, $E$9)</f>
        <v>15.8826</v>
      </c>
      <c r="C356" s="17">
        <f>CHOOSE(CONTROL!$C$42, 15.8906, 15.8906) * CHOOSE(CONTROL!$C$21, $C$9, 100%, $E$9)</f>
        <v>15.890599999999999</v>
      </c>
      <c r="D356" s="17">
        <f>CHOOSE(CONTROL!$C$42, 16.135, 16.135) * CHOOSE(CONTROL!$C$21, $C$9, 100%, $E$9)</f>
        <v>16.135000000000002</v>
      </c>
      <c r="E356" s="17">
        <f>CHOOSE(CONTROL!$C$42, 16.1662, 16.1662) * CHOOSE(CONTROL!$C$21, $C$9, 100%, $E$9)</f>
        <v>16.1662</v>
      </c>
      <c r="F356" s="17">
        <f>CHOOSE(CONTROL!$C$42, 15.8941, 15.8941)*CHOOSE(CONTROL!$C$21, $C$9, 100%, $E$9)</f>
        <v>15.8941</v>
      </c>
      <c r="G356" s="17">
        <f>CHOOSE(CONTROL!$C$42, 15.9106, 15.9106)*CHOOSE(CONTROL!$C$21, $C$9, 100%, $E$9)</f>
        <v>15.910600000000001</v>
      </c>
      <c r="H356" s="17">
        <f>CHOOSE(CONTROL!$C$42, 16.1545, 16.1545) * CHOOSE(CONTROL!$C$21, $C$9, 100%, $E$9)</f>
        <v>16.154499999999999</v>
      </c>
      <c r="I356" s="17">
        <f>CHOOSE(CONTROL!$C$42, 15.9531, 15.9531)* CHOOSE(CONTROL!$C$21, $C$9, 100%, $E$9)</f>
        <v>15.953099999999999</v>
      </c>
      <c r="J356" s="17">
        <f>CHOOSE(CONTROL!$C$42, 15.8867, 15.8867)* CHOOSE(CONTROL!$C$21, $C$9, 100%, $E$9)</f>
        <v>15.886699999999999</v>
      </c>
      <c r="K356" s="52">
        <f>CHOOSE(CONTROL!$C$42, 15.9471, 15.9471) * CHOOSE(CONTROL!$C$21, $C$9, 100%, $E$9)</f>
        <v>15.947100000000001</v>
      </c>
      <c r="L356" s="17">
        <f>CHOOSE(CONTROL!$C$42, 16.7415, 16.7415) * CHOOSE(CONTROL!$C$21, $C$9, 100%, $E$9)</f>
        <v>16.741499999999998</v>
      </c>
      <c r="M356" s="17">
        <f>CHOOSE(CONTROL!$C$42, 15.7509, 15.7509) * CHOOSE(CONTROL!$C$21, $C$9, 100%, $E$9)</f>
        <v>15.7509</v>
      </c>
      <c r="N356" s="17">
        <f>CHOOSE(CONTROL!$C$42, 15.7672, 15.7672) * CHOOSE(CONTROL!$C$21, $C$9, 100%, $E$9)</f>
        <v>15.767200000000001</v>
      </c>
      <c r="O356" s="17">
        <f>CHOOSE(CONTROL!$C$42, 16.0162, 16.0162) * CHOOSE(CONTROL!$C$21, $C$9, 100%, $E$9)</f>
        <v>16.016200000000001</v>
      </c>
      <c r="P356" s="17">
        <f>CHOOSE(CONTROL!$C$42, 15.8163, 15.8163) * CHOOSE(CONTROL!$C$21, $C$9, 100%, $E$9)</f>
        <v>15.8163</v>
      </c>
      <c r="Q356" s="17">
        <f>CHOOSE(CONTROL!$C$42, 16.6109, 16.6109) * CHOOSE(CONTROL!$C$21, $C$9, 100%, $E$9)</f>
        <v>16.610900000000001</v>
      </c>
      <c r="R356" s="17">
        <f>CHOOSE(CONTROL!$C$42, 17.2395, 17.2395) * CHOOSE(CONTROL!$C$21, $C$9, 100%, $E$9)</f>
        <v>17.2395</v>
      </c>
      <c r="S356" s="17">
        <f>CHOOSE(CONTROL!$C$42, 15.3898, 15.3898) * CHOOSE(CONTROL!$C$21, $C$9, 100%, $E$9)</f>
        <v>15.389799999999999</v>
      </c>
      <c r="T35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56" s="56">
        <f>(1000*CHOOSE(CONTROL!$C$42, 695, 695)*CHOOSE(CONTROL!$C$42, 0.5599, 0.5599)*CHOOSE(CONTROL!$C$42, 31, 31))/1000000</f>
        <v>12.063045499999998</v>
      </c>
      <c r="V356" s="56">
        <f>(1000*CHOOSE(CONTROL!$C$42, 500, 500)*CHOOSE(CONTROL!$C$42, 0.275, 0.275)*CHOOSE(CONTROL!$C$42, 31, 31))/1000000</f>
        <v>4.2625000000000002</v>
      </c>
      <c r="W356" s="56">
        <f>(1000*CHOOSE(CONTROL!$C$42, 0.0916, 0.0916)*CHOOSE(CONTROL!$C$42, 121.5, 121.5)*CHOOSE(CONTROL!$C$42, 31, 31))/1000000</f>
        <v>0.34501139999999997</v>
      </c>
      <c r="X356" s="56">
        <f>(31*0.1790888*145000/1000000)+(31*0.2374*100000/1000000)</f>
        <v>1.5409441560000001</v>
      </c>
      <c r="Y356" s="56"/>
      <c r="Z356" s="17"/>
      <c r="AA356" s="55"/>
      <c r="AB356" s="48">
        <f>(B356*194.205+C356*267.466+D356*133.845+E356*153.484+F356*40+G356*85+H356*0+I356*100+J356*300)/(194.205+267.466+133.845+153.484+0+40+85+100+300)</f>
        <v>15.953691262480378</v>
      </c>
      <c r="AC356" s="45">
        <f>(M356*'RAP TEMPLATE-GAS AVAILABILITY'!O355+N356*'RAP TEMPLATE-GAS AVAILABILITY'!P355+O356*'RAP TEMPLATE-GAS AVAILABILITY'!Q355+P356*'RAP TEMPLATE-GAS AVAILABILITY'!R355)/('RAP TEMPLATE-GAS AVAILABILITY'!O355+'RAP TEMPLATE-GAS AVAILABILITY'!P355+'RAP TEMPLATE-GAS AVAILABILITY'!Q355+'RAP TEMPLATE-GAS AVAILABILITY'!R355)</f>
        <v>15.838499280575542</v>
      </c>
    </row>
    <row r="357" spans="1:29" ht="15.75" x14ac:dyDescent="0.25">
      <c r="A357" s="14">
        <v>51774</v>
      </c>
      <c r="B357" s="17">
        <f>CHOOSE(CONTROL!$C$42, 14.8748, 14.8748) * CHOOSE(CONTROL!$C$21, $C$9, 100%, $E$9)</f>
        <v>14.8748</v>
      </c>
      <c r="C357" s="17">
        <f>CHOOSE(CONTROL!$C$42, 14.8828, 14.8828) * CHOOSE(CONTROL!$C$21, $C$9, 100%, $E$9)</f>
        <v>14.8828</v>
      </c>
      <c r="D357" s="17">
        <f>CHOOSE(CONTROL!$C$42, 15.1273, 15.1273) * CHOOSE(CONTROL!$C$21, $C$9, 100%, $E$9)</f>
        <v>15.1273</v>
      </c>
      <c r="E357" s="17">
        <f>CHOOSE(CONTROL!$C$42, 15.1584, 15.1584) * CHOOSE(CONTROL!$C$21, $C$9, 100%, $E$9)</f>
        <v>15.1584</v>
      </c>
      <c r="F357" s="17">
        <f>CHOOSE(CONTROL!$C$42, 14.8864, 14.8864)*CHOOSE(CONTROL!$C$21, $C$9, 100%, $E$9)</f>
        <v>14.8864</v>
      </c>
      <c r="G357" s="17">
        <f>CHOOSE(CONTROL!$C$42, 14.9029, 14.9029)*CHOOSE(CONTROL!$C$21, $C$9, 100%, $E$9)</f>
        <v>14.902900000000001</v>
      </c>
      <c r="H357" s="17">
        <f>CHOOSE(CONTROL!$C$42, 15.1468, 15.1468) * CHOOSE(CONTROL!$C$21, $C$9, 100%, $E$9)</f>
        <v>15.146800000000001</v>
      </c>
      <c r="I357" s="17">
        <f>CHOOSE(CONTROL!$C$42, 14.9422, 14.9422)* CHOOSE(CONTROL!$C$21, $C$9, 100%, $E$9)</f>
        <v>14.9422</v>
      </c>
      <c r="J357" s="17">
        <f>CHOOSE(CONTROL!$C$42, 14.879, 14.879)* CHOOSE(CONTROL!$C$21, $C$9, 100%, $E$9)</f>
        <v>14.879</v>
      </c>
      <c r="K357" s="52">
        <f>CHOOSE(CONTROL!$C$42, 14.9362, 14.9362) * CHOOSE(CONTROL!$C$21, $C$9, 100%, $E$9)</f>
        <v>14.936199999999999</v>
      </c>
      <c r="L357" s="17">
        <f>CHOOSE(CONTROL!$C$42, 15.7338, 15.7338) * CHOOSE(CONTROL!$C$21, $C$9, 100%, $E$9)</f>
        <v>15.7338</v>
      </c>
      <c r="M357" s="17">
        <f>CHOOSE(CONTROL!$C$42, 14.7522, 14.7522) * CHOOSE(CONTROL!$C$21, $C$9, 100%, $E$9)</f>
        <v>14.7522</v>
      </c>
      <c r="N357" s="17">
        <f>CHOOSE(CONTROL!$C$42, 14.7686, 14.7686) * CHOOSE(CONTROL!$C$21, $C$9, 100%, $E$9)</f>
        <v>14.768599999999999</v>
      </c>
      <c r="O357" s="17">
        <f>CHOOSE(CONTROL!$C$42, 15.0175, 15.0175) * CHOOSE(CONTROL!$C$21, $C$9, 100%, $E$9)</f>
        <v>15.0175</v>
      </c>
      <c r="P357" s="17">
        <f>CHOOSE(CONTROL!$C$42, 14.8145, 14.8145) * CHOOSE(CONTROL!$C$21, $C$9, 100%, $E$9)</f>
        <v>14.814500000000001</v>
      </c>
      <c r="Q357" s="17">
        <f>CHOOSE(CONTROL!$C$42, 15.6122, 15.6122) * CHOOSE(CONTROL!$C$21, $C$9, 100%, $E$9)</f>
        <v>15.6122</v>
      </c>
      <c r="R357" s="17">
        <f>CHOOSE(CONTROL!$C$42, 16.2383, 16.2383) * CHOOSE(CONTROL!$C$21, $C$9, 100%, $E$9)</f>
        <v>16.238299999999999</v>
      </c>
      <c r="S357" s="17">
        <f>CHOOSE(CONTROL!$C$42, 14.4125, 14.4125) * CHOOSE(CONTROL!$C$21, $C$9, 100%, $E$9)</f>
        <v>14.4125</v>
      </c>
      <c r="T35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57" s="56">
        <f>(1000*CHOOSE(CONTROL!$C$42, 695, 695)*CHOOSE(CONTROL!$C$42, 0.5599, 0.5599)*CHOOSE(CONTROL!$C$42, 30, 30))/1000000</f>
        <v>11.673914999999997</v>
      </c>
      <c r="V357" s="56">
        <f>(1000*CHOOSE(CONTROL!$C$42, 500, 500)*CHOOSE(CONTROL!$C$42, 0.275, 0.275)*CHOOSE(CONTROL!$C$42, 30, 30))/1000000</f>
        <v>4.125</v>
      </c>
      <c r="W357" s="56">
        <f>(1000*CHOOSE(CONTROL!$C$42, 0.0916, 0.0916)*CHOOSE(CONTROL!$C$42, 121.5, 121.5)*CHOOSE(CONTROL!$C$42, 30, 30))/1000000</f>
        <v>0.33388200000000001</v>
      </c>
      <c r="X357" s="56">
        <f>(30*0.1790888*145000/1000000)+(30*0.2374*100000/1000000)</f>
        <v>1.4912362799999999</v>
      </c>
      <c r="Y357" s="56"/>
      <c r="Z357" s="17"/>
      <c r="AA357" s="55"/>
      <c r="AB357" s="48">
        <f>(B357*194.205+C357*267.466+D357*133.845+E357*153.484+F357*40+G357*85+H357*0+I357*100+J357*300)/(194.205+267.466+133.845+153.484+0+40+85+100+300)</f>
        <v>14.945691799764521</v>
      </c>
      <c r="AC357" s="45">
        <f>(M357*'RAP TEMPLATE-GAS AVAILABILITY'!O356+N357*'RAP TEMPLATE-GAS AVAILABILITY'!P356+O357*'RAP TEMPLATE-GAS AVAILABILITY'!Q356+P357*'RAP TEMPLATE-GAS AVAILABILITY'!R356)/('RAP TEMPLATE-GAS AVAILABILITY'!O356+'RAP TEMPLATE-GAS AVAILABILITY'!P356+'RAP TEMPLATE-GAS AVAILABILITY'!Q356+'RAP TEMPLATE-GAS AVAILABILITY'!R356)</f>
        <v>14.839376258992806</v>
      </c>
    </row>
    <row r="358" spans="1:29" ht="15.75" x14ac:dyDescent="0.25">
      <c r="A358" s="14">
        <v>51805</v>
      </c>
      <c r="B358" s="17">
        <f>CHOOSE(CONTROL!$C$42, 14.5713, 14.5713) * CHOOSE(CONTROL!$C$21, $C$9, 100%, $E$9)</f>
        <v>14.571300000000001</v>
      </c>
      <c r="C358" s="17">
        <f>CHOOSE(CONTROL!$C$42, 14.5767, 14.5767) * CHOOSE(CONTROL!$C$21, $C$9, 100%, $E$9)</f>
        <v>14.576700000000001</v>
      </c>
      <c r="D358" s="17">
        <f>CHOOSE(CONTROL!$C$42, 14.826, 14.826) * CHOOSE(CONTROL!$C$21, $C$9, 100%, $E$9)</f>
        <v>14.826000000000001</v>
      </c>
      <c r="E358" s="17">
        <f>CHOOSE(CONTROL!$C$42, 14.8549, 14.8549) * CHOOSE(CONTROL!$C$21, $C$9, 100%, $E$9)</f>
        <v>14.854900000000001</v>
      </c>
      <c r="F358" s="17">
        <f>CHOOSE(CONTROL!$C$42, 14.5851, 14.5851)*CHOOSE(CONTROL!$C$21, $C$9, 100%, $E$9)</f>
        <v>14.585100000000001</v>
      </c>
      <c r="G358" s="17">
        <f>CHOOSE(CONTROL!$C$42, 14.6015, 14.6015)*CHOOSE(CONTROL!$C$21, $C$9, 100%, $E$9)</f>
        <v>14.6015</v>
      </c>
      <c r="H358" s="17">
        <f>CHOOSE(CONTROL!$C$42, 14.845, 14.845) * CHOOSE(CONTROL!$C$21, $C$9, 100%, $E$9)</f>
        <v>14.845000000000001</v>
      </c>
      <c r="I358" s="17">
        <f>CHOOSE(CONTROL!$C$42, 14.6395, 14.6395)* CHOOSE(CONTROL!$C$21, $C$9, 100%, $E$9)</f>
        <v>14.6395</v>
      </c>
      <c r="J358" s="17">
        <f>CHOOSE(CONTROL!$C$42, 14.5777, 14.5777)* CHOOSE(CONTROL!$C$21, $C$9, 100%, $E$9)</f>
        <v>14.5777</v>
      </c>
      <c r="K358" s="52">
        <f>CHOOSE(CONTROL!$C$42, 14.6335, 14.6335) * CHOOSE(CONTROL!$C$21, $C$9, 100%, $E$9)</f>
        <v>14.6335</v>
      </c>
      <c r="L358" s="17">
        <f>CHOOSE(CONTROL!$C$42, 15.432, 15.432) * CHOOSE(CONTROL!$C$21, $C$9, 100%, $E$9)</f>
        <v>15.432</v>
      </c>
      <c r="M358" s="17">
        <f>CHOOSE(CONTROL!$C$42, 14.4536, 14.4536) * CHOOSE(CONTROL!$C$21, $C$9, 100%, $E$9)</f>
        <v>14.4536</v>
      </c>
      <c r="N358" s="17">
        <f>CHOOSE(CONTROL!$C$42, 14.4699, 14.4699) * CHOOSE(CONTROL!$C$21, $C$9, 100%, $E$9)</f>
        <v>14.469900000000001</v>
      </c>
      <c r="O358" s="17">
        <f>CHOOSE(CONTROL!$C$42, 14.7185, 14.7185) * CHOOSE(CONTROL!$C$21, $C$9, 100%, $E$9)</f>
        <v>14.718500000000001</v>
      </c>
      <c r="P358" s="17">
        <f>CHOOSE(CONTROL!$C$42, 14.5145, 14.5145) * CHOOSE(CONTROL!$C$21, $C$9, 100%, $E$9)</f>
        <v>14.5145</v>
      </c>
      <c r="Q358" s="17">
        <f>CHOOSE(CONTROL!$C$42, 15.3132, 15.3132) * CHOOSE(CONTROL!$C$21, $C$9, 100%, $E$9)</f>
        <v>15.3132</v>
      </c>
      <c r="R358" s="17">
        <f>CHOOSE(CONTROL!$C$42, 15.9385, 15.9385) * CHOOSE(CONTROL!$C$21, $C$9, 100%, $E$9)</f>
        <v>15.938499999999999</v>
      </c>
      <c r="S358" s="17">
        <f>CHOOSE(CONTROL!$C$42, 14.1199, 14.1199) * CHOOSE(CONTROL!$C$21, $C$9, 100%, $E$9)</f>
        <v>14.119899999999999</v>
      </c>
      <c r="T35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58" s="56">
        <f>(1000*CHOOSE(CONTROL!$C$42, 695, 695)*CHOOSE(CONTROL!$C$42, 0.5599, 0.5599)*CHOOSE(CONTROL!$C$42, 31, 31))/1000000</f>
        <v>12.063045499999998</v>
      </c>
      <c r="V358" s="56">
        <f>(1000*CHOOSE(CONTROL!$C$42, 500, 500)*CHOOSE(CONTROL!$C$42, 0.275, 0.275)*CHOOSE(CONTROL!$C$42, 31, 31))/1000000</f>
        <v>4.2625000000000002</v>
      </c>
      <c r="W358" s="56">
        <f>(1000*CHOOSE(CONTROL!$C$42, 0.0916, 0.0916)*CHOOSE(CONTROL!$C$42, 121.5, 121.5)*CHOOSE(CONTROL!$C$42, 31, 31))/1000000</f>
        <v>0.34501139999999997</v>
      </c>
      <c r="X358" s="56">
        <f>(31*0.1790888*145000/1000000)+(31*0.2374*100000/1000000)</f>
        <v>1.5409441560000001</v>
      </c>
      <c r="Y358" s="56"/>
      <c r="Z358" s="17"/>
      <c r="AA358" s="55"/>
      <c r="AB358" s="48">
        <f>(B358*131.881+C358*277.167+D358*79.08+E358*225.872+F358*40+G358*85+H358*0+I358*100+J358*300)/(131.881+277.167+79.08+225.872+0+40+85+100+300)</f>
        <v>14.650036623890237</v>
      </c>
      <c r="AC358" s="45">
        <f>(M358*'RAP TEMPLATE-GAS AVAILABILITY'!O357+N358*'RAP TEMPLATE-GAS AVAILABILITY'!P357+O358*'RAP TEMPLATE-GAS AVAILABILITY'!Q357+P358*'RAP TEMPLATE-GAS AVAILABILITY'!R357)/('RAP TEMPLATE-GAS AVAILABILITY'!O357+'RAP TEMPLATE-GAS AVAILABILITY'!P357+'RAP TEMPLATE-GAS AVAILABILITY'!Q357+'RAP TEMPLATE-GAS AVAILABILITY'!R357)</f>
        <v>14.540439568345326</v>
      </c>
    </row>
    <row r="359" spans="1:29" ht="15.75" x14ac:dyDescent="0.25">
      <c r="A359" s="14">
        <v>51835</v>
      </c>
      <c r="B359" s="17">
        <f>CHOOSE(CONTROL!$C$42, 14.9545, 14.9545) * CHOOSE(CONTROL!$C$21, $C$9, 100%, $E$9)</f>
        <v>14.954499999999999</v>
      </c>
      <c r="C359" s="17">
        <f>CHOOSE(CONTROL!$C$42, 14.9596, 14.9596) * CHOOSE(CONTROL!$C$21, $C$9, 100%, $E$9)</f>
        <v>14.9596</v>
      </c>
      <c r="D359" s="17">
        <f>CHOOSE(CONTROL!$C$42, 15.041, 15.041) * CHOOSE(CONTROL!$C$21, $C$9, 100%, $E$9)</f>
        <v>15.041</v>
      </c>
      <c r="E359" s="17">
        <f>CHOOSE(CONTROL!$C$42, 15.0747, 15.0747) * CHOOSE(CONTROL!$C$21, $C$9, 100%, $E$9)</f>
        <v>15.0747</v>
      </c>
      <c r="F359" s="17">
        <f>CHOOSE(CONTROL!$C$42, 14.9725, 14.9725)*CHOOSE(CONTROL!$C$21, $C$9, 100%, $E$9)</f>
        <v>14.9725</v>
      </c>
      <c r="G359" s="17">
        <f>CHOOSE(CONTROL!$C$42, 14.9892, 14.9892)*CHOOSE(CONTROL!$C$21, $C$9, 100%, $E$9)</f>
        <v>14.9892</v>
      </c>
      <c r="H359" s="17">
        <f>CHOOSE(CONTROL!$C$42, 15.0636, 15.0636) * CHOOSE(CONTROL!$C$21, $C$9, 100%, $E$9)</f>
        <v>15.063599999999999</v>
      </c>
      <c r="I359" s="17">
        <f>CHOOSE(CONTROL!$C$42, 15.0259, 15.0259)* CHOOSE(CONTROL!$C$21, $C$9, 100%, $E$9)</f>
        <v>15.0259</v>
      </c>
      <c r="J359" s="17">
        <f>CHOOSE(CONTROL!$C$42, 14.9651, 14.9651)* CHOOSE(CONTROL!$C$21, $C$9, 100%, $E$9)</f>
        <v>14.9651</v>
      </c>
      <c r="K359" s="52">
        <f>CHOOSE(CONTROL!$C$42, 15.0198, 15.0198) * CHOOSE(CONTROL!$C$21, $C$9, 100%, $E$9)</f>
        <v>15.0198</v>
      </c>
      <c r="L359" s="17">
        <f>CHOOSE(CONTROL!$C$42, 15.6506, 15.6506) * CHOOSE(CONTROL!$C$21, $C$9, 100%, $E$9)</f>
        <v>15.650600000000001</v>
      </c>
      <c r="M359" s="17">
        <f>CHOOSE(CONTROL!$C$42, 14.8375, 14.8375) * CHOOSE(CONTROL!$C$21, $C$9, 100%, $E$9)</f>
        <v>14.8375</v>
      </c>
      <c r="N359" s="17">
        <f>CHOOSE(CONTROL!$C$42, 14.854, 14.854) * CHOOSE(CONTROL!$C$21, $C$9, 100%, $E$9)</f>
        <v>14.853999999999999</v>
      </c>
      <c r="O359" s="17">
        <f>CHOOSE(CONTROL!$C$42, 14.9351, 14.9351) * CHOOSE(CONTROL!$C$21, $C$9, 100%, $E$9)</f>
        <v>14.9351</v>
      </c>
      <c r="P359" s="17">
        <f>CHOOSE(CONTROL!$C$42, 14.8974, 14.8974) * CHOOSE(CONTROL!$C$21, $C$9, 100%, $E$9)</f>
        <v>14.897399999999999</v>
      </c>
      <c r="Q359" s="17">
        <f>CHOOSE(CONTROL!$C$42, 15.5298, 15.5298) * CHOOSE(CONTROL!$C$21, $C$9, 100%, $E$9)</f>
        <v>15.5298</v>
      </c>
      <c r="R359" s="17">
        <f>CHOOSE(CONTROL!$C$42, 16.1557, 16.1557) * CHOOSE(CONTROL!$C$21, $C$9, 100%, $E$9)</f>
        <v>16.1557</v>
      </c>
      <c r="S359" s="17">
        <f>CHOOSE(CONTROL!$C$42, 14.4919, 14.4919) * CHOOSE(CONTROL!$C$21, $C$9, 100%, $E$9)</f>
        <v>14.491899999999999</v>
      </c>
      <c r="T35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59" s="56">
        <f>(1000*CHOOSE(CONTROL!$C$42, 695, 695)*CHOOSE(CONTROL!$C$42, 0.5599, 0.5599)*CHOOSE(CONTROL!$C$42, 30, 30))/1000000</f>
        <v>11.673914999999997</v>
      </c>
      <c r="V359" s="56">
        <f>(1000*CHOOSE(CONTROL!$C$42, 500, 500)*CHOOSE(CONTROL!$C$42, 0.275, 0.275)*CHOOSE(CONTROL!$C$42, 30, 30))/1000000</f>
        <v>4.125</v>
      </c>
      <c r="W359" s="56">
        <f>(1000*CHOOSE(CONTROL!$C$42, 0.0916, 0.0916)*CHOOSE(CONTROL!$C$42, 121.5, 121.5)*CHOOSE(CONTROL!$C$42, 30, 30))/1000000</f>
        <v>0.33388200000000001</v>
      </c>
      <c r="X359" s="56">
        <f>(30*0.2374*100000/1000000)</f>
        <v>0.71220000000000006</v>
      </c>
      <c r="Y359" s="56"/>
      <c r="Z359" s="17"/>
      <c r="AA359" s="55"/>
      <c r="AB359" s="48">
        <f>(B359*122.58+C359*297.941+D359*89.177+E359*140.302+F359*40+G359*60+H359*0+I359*100+J359*300)/(122.58+297.941+89.177+140.302+0+40+60+100+300)</f>
        <v>14.988604008695651</v>
      </c>
      <c r="AC359" s="45">
        <f>(M359*'RAP TEMPLATE-GAS AVAILABILITY'!O358+N359*'RAP TEMPLATE-GAS AVAILABILITY'!P358+O359*'RAP TEMPLATE-GAS AVAILABILITY'!Q358+P359*'RAP TEMPLATE-GAS AVAILABILITY'!R358)/('RAP TEMPLATE-GAS AVAILABILITY'!O358+'RAP TEMPLATE-GAS AVAILABILITY'!P358+'RAP TEMPLATE-GAS AVAILABILITY'!Q358+'RAP TEMPLATE-GAS AVAILABILITY'!R358)</f>
        <v>14.89130431654676</v>
      </c>
    </row>
    <row r="360" spans="1:29" ht="15.75" x14ac:dyDescent="0.25">
      <c r="A360" s="14">
        <v>51866</v>
      </c>
      <c r="B360" s="17">
        <f>CHOOSE(CONTROL!$C$42, 15.9734, 15.9734) * CHOOSE(CONTROL!$C$21, $C$9, 100%, $E$9)</f>
        <v>15.9734</v>
      </c>
      <c r="C360" s="17">
        <f>CHOOSE(CONTROL!$C$42, 15.9785, 15.9785) * CHOOSE(CONTROL!$C$21, $C$9, 100%, $E$9)</f>
        <v>15.9785</v>
      </c>
      <c r="D360" s="17">
        <f>CHOOSE(CONTROL!$C$42, 16.0598, 16.0598) * CHOOSE(CONTROL!$C$21, $C$9, 100%, $E$9)</f>
        <v>16.059799999999999</v>
      </c>
      <c r="E360" s="17">
        <f>CHOOSE(CONTROL!$C$42, 16.0936, 16.0936) * CHOOSE(CONTROL!$C$21, $C$9, 100%, $E$9)</f>
        <v>16.093599999999999</v>
      </c>
      <c r="F360" s="17">
        <f>CHOOSE(CONTROL!$C$42, 15.9937, 15.9937)*CHOOSE(CONTROL!$C$21, $C$9, 100%, $E$9)</f>
        <v>15.9937</v>
      </c>
      <c r="G360" s="17">
        <f>CHOOSE(CONTROL!$C$42, 16.0111, 16.0111)*CHOOSE(CONTROL!$C$21, $C$9, 100%, $E$9)</f>
        <v>16.011099999999999</v>
      </c>
      <c r="H360" s="17">
        <f>CHOOSE(CONTROL!$C$42, 16.0825, 16.0825) * CHOOSE(CONTROL!$C$21, $C$9, 100%, $E$9)</f>
        <v>16.0825</v>
      </c>
      <c r="I360" s="17">
        <f>CHOOSE(CONTROL!$C$42, 16.0479, 16.0479)* CHOOSE(CONTROL!$C$21, $C$9, 100%, $E$9)</f>
        <v>16.047899999999998</v>
      </c>
      <c r="J360" s="17">
        <f>CHOOSE(CONTROL!$C$42, 15.9863, 15.9863)* CHOOSE(CONTROL!$C$21, $C$9, 100%, $E$9)</f>
        <v>15.9863</v>
      </c>
      <c r="K360" s="52">
        <f>CHOOSE(CONTROL!$C$42, 16.0419, 16.0419) * CHOOSE(CONTROL!$C$21, $C$9, 100%, $E$9)</f>
        <v>16.041899999999998</v>
      </c>
      <c r="L360" s="17">
        <f>CHOOSE(CONTROL!$C$42, 16.6695, 16.6695) * CHOOSE(CONTROL!$C$21, $C$9, 100%, $E$9)</f>
        <v>16.669499999999999</v>
      </c>
      <c r="M360" s="17">
        <f>CHOOSE(CONTROL!$C$42, 15.8495, 15.8495) * CHOOSE(CONTROL!$C$21, $C$9, 100%, $E$9)</f>
        <v>15.849500000000001</v>
      </c>
      <c r="N360" s="17">
        <f>CHOOSE(CONTROL!$C$42, 15.8667, 15.8667) * CHOOSE(CONTROL!$C$21, $C$9, 100%, $E$9)</f>
        <v>15.8667</v>
      </c>
      <c r="O360" s="17">
        <f>CHOOSE(CONTROL!$C$42, 15.9448, 15.9448) * CHOOSE(CONTROL!$C$21, $C$9, 100%, $E$9)</f>
        <v>15.944800000000001</v>
      </c>
      <c r="P360" s="17">
        <f>CHOOSE(CONTROL!$C$42, 15.9102, 15.9102) * CHOOSE(CONTROL!$C$21, $C$9, 100%, $E$9)</f>
        <v>15.9102</v>
      </c>
      <c r="Q360" s="17">
        <f>CHOOSE(CONTROL!$C$42, 16.5395, 16.5395) * CHOOSE(CONTROL!$C$21, $C$9, 100%, $E$9)</f>
        <v>16.5395</v>
      </c>
      <c r="R360" s="17">
        <f>CHOOSE(CONTROL!$C$42, 17.1679, 17.1679) * CHOOSE(CONTROL!$C$21, $C$9, 100%, $E$9)</f>
        <v>17.167899999999999</v>
      </c>
      <c r="S360" s="17">
        <f>CHOOSE(CONTROL!$C$42, 15.4799, 15.4799) * CHOOSE(CONTROL!$C$21, $C$9, 100%, $E$9)</f>
        <v>15.479900000000001</v>
      </c>
      <c r="T36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60" s="56">
        <f>(1000*CHOOSE(CONTROL!$C$42, 695, 695)*CHOOSE(CONTROL!$C$42, 0.5599, 0.5599)*CHOOSE(CONTROL!$C$42, 31, 31))/1000000</f>
        <v>12.063045499999998</v>
      </c>
      <c r="V360" s="56">
        <f>(1000*CHOOSE(CONTROL!$C$42, 500, 500)*CHOOSE(CONTROL!$C$42, 0.275, 0.275)*CHOOSE(CONTROL!$C$42, 31, 31))/1000000</f>
        <v>4.2625000000000002</v>
      </c>
      <c r="W360" s="56">
        <f>(1000*CHOOSE(CONTROL!$C$42, 0.0916, 0.0916)*CHOOSE(CONTROL!$C$42, 121.5, 121.5)*CHOOSE(CONTROL!$C$42, 31, 31))/1000000</f>
        <v>0.34501139999999997</v>
      </c>
      <c r="X360" s="56">
        <f>(31*0.2374*100000/1000000)</f>
        <v>0.73594000000000004</v>
      </c>
      <c r="Y360" s="56"/>
      <c r="Z360" s="17"/>
      <c r="AA360" s="55"/>
      <c r="AB360" s="48">
        <f>(B360*122.58+C360*297.941+D360*89.177+E360*140.302+F360*40+G360*60+H360*0+I360*100+J360*300)/(122.58+297.941+89.177+140.302+0+40+60+100+300)</f>
        <v>16.00860234113043</v>
      </c>
      <c r="AC360" s="45">
        <f>(M360*'RAP TEMPLATE-GAS AVAILABILITY'!O359+N360*'RAP TEMPLATE-GAS AVAILABILITY'!P359+O360*'RAP TEMPLATE-GAS AVAILABILITY'!Q359+P360*'RAP TEMPLATE-GAS AVAILABILITY'!R359)/('RAP TEMPLATE-GAS AVAILABILITY'!O359+'RAP TEMPLATE-GAS AVAILABILITY'!P359+'RAP TEMPLATE-GAS AVAILABILITY'!Q359+'RAP TEMPLATE-GAS AVAILABILITY'!R359)</f>
        <v>15.902417266187051</v>
      </c>
    </row>
    <row r="361" spans="1:29" ht="15.75" x14ac:dyDescent="0.25">
      <c r="A361" s="14">
        <v>51897</v>
      </c>
      <c r="B361" s="17">
        <f>CHOOSE(CONTROL!$C$42, 17.2967, 17.2967) * CHOOSE(CONTROL!$C$21, $C$9, 100%, $E$9)</f>
        <v>17.296700000000001</v>
      </c>
      <c r="C361" s="17">
        <f>CHOOSE(CONTROL!$C$42, 17.3018, 17.3018) * CHOOSE(CONTROL!$C$21, $C$9, 100%, $E$9)</f>
        <v>17.3018</v>
      </c>
      <c r="D361" s="17">
        <f>CHOOSE(CONTROL!$C$42, 17.3986, 17.3986) * CHOOSE(CONTROL!$C$21, $C$9, 100%, $E$9)</f>
        <v>17.398599999999998</v>
      </c>
      <c r="E361" s="17">
        <f>CHOOSE(CONTROL!$C$42, 17.4324, 17.4324) * CHOOSE(CONTROL!$C$21, $C$9, 100%, $E$9)</f>
        <v>17.432400000000001</v>
      </c>
      <c r="F361" s="17">
        <f>CHOOSE(CONTROL!$C$42, 17.311, 17.311)*CHOOSE(CONTROL!$C$21, $C$9, 100%, $E$9)</f>
        <v>17.311</v>
      </c>
      <c r="G361" s="17">
        <f>CHOOSE(CONTROL!$C$42, 17.3274, 17.3274)*CHOOSE(CONTROL!$C$21, $C$9, 100%, $E$9)</f>
        <v>17.327400000000001</v>
      </c>
      <c r="H361" s="17">
        <f>CHOOSE(CONTROL!$C$42, 17.4213, 17.4213) * CHOOSE(CONTROL!$C$21, $C$9, 100%, $E$9)</f>
        <v>17.421299999999999</v>
      </c>
      <c r="I361" s="17">
        <f>CHOOSE(CONTROL!$C$42, 17.3753, 17.3753)* CHOOSE(CONTROL!$C$21, $C$9, 100%, $E$9)</f>
        <v>17.375299999999999</v>
      </c>
      <c r="J361" s="17">
        <f>CHOOSE(CONTROL!$C$42, 17.3036, 17.3036)* CHOOSE(CONTROL!$C$21, $C$9, 100%, $E$9)</f>
        <v>17.303599999999999</v>
      </c>
      <c r="K361" s="52">
        <f>CHOOSE(CONTROL!$C$42, 17.3693, 17.3693) * CHOOSE(CONTROL!$C$21, $C$9, 100%, $E$9)</f>
        <v>17.369299999999999</v>
      </c>
      <c r="L361" s="17">
        <f>CHOOSE(CONTROL!$C$42, 18.0083, 18.0083) * CHOOSE(CONTROL!$C$21, $C$9, 100%, $E$9)</f>
        <v>18.008299999999998</v>
      </c>
      <c r="M361" s="17">
        <f>CHOOSE(CONTROL!$C$42, 17.155, 17.155) * CHOOSE(CONTROL!$C$21, $C$9, 100%, $E$9)</f>
        <v>17.155000000000001</v>
      </c>
      <c r="N361" s="17">
        <f>CHOOSE(CONTROL!$C$42, 17.1712, 17.1712) * CHOOSE(CONTROL!$C$21, $C$9, 100%, $E$9)</f>
        <v>17.171199999999999</v>
      </c>
      <c r="O361" s="17">
        <f>CHOOSE(CONTROL!$C$42, 17.2716, 17.2716) * CHOOSE(CONTROL!$C$21, $C$9, 100%, $E$9)</f>
        <v>17.271599999999999</v>
      </c>
      <c r="P361" s="17">
        <f>CHOOSE(CONTROL!$C$42, 17.2257, 17.2257) * CHOOSE(CONTROL!$C$21, $C$9, 100%, $E$9)</f>
        <v>17.2257</v>
      </c>
      <c r="Q361" s="17">
        <f>CHOOSE(CONTROL!$C$42, 17.8663, 17.8663) * CHOOSE(CONTROL!$C$21, $C$9, 100%, $E$9)</f>
        <v>17.866299999999999</v>
      </c>
      <c r="R361" s="17">
        <f>CHOOSE(CONTROL!$C$42, 18.498, 18.498) * CHOOSE(CONTROL!$C$21, $C$9, 100%, $E$9)</f>
        <v>18.498000000000001</v>
      </c>
      <c r="S361" s="17">
        <f>CHOOSE(CONTROL!$C$42, 16.7631, 16.7631) * CHOOSE(CONTROL!$C$21, $C$9, 100%, $E$9)</f>
        <v>16.763100000000001</v>
      </c>
      <c r="T36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61" s="56">
        <f>(1000*CHOOSE(CONTROL!$C$42, 695, 695)*CHOOSE(CONTROL!$C$42, 0.5599, 0.5599)*CHOOSE(CONTROL!$C$42, 31, 31))/1000000</f>
        <v>12.063045499999998</v>
      </c>
      <c r="V361" s="56">
        <f>(1000*CHOOSE(CONTROL!$C$42, 500, 500)*CHOOSE(CONTROL!$C$42, 0.275, 0.275)*CHOOSE(CONTROL!$C$42, 31, 31))/1000000</f>
        <v>4.2625000000000002</v>
      </c>
      <c r="W361" s="56">
        <f>(1000*CHOOSE(CONTROL!$C$42, 0.0916, 0.0916)*CHOOSE(CONTROL!$C$42, 121.5, 121.5)*CHOOSE(CONTROL!$C$42, 31, 31))/1000000</f>
        <v>0.34501139999999997</v>
      </c>
      <c r="X361" s="56">
        <f>(31*0.2374*100000/1000000)</f>
        <v>0.73594000000000004</v>
      </c>
      <c r="Y361" s="56"/>
      <c r="Z361" s="17"/>
      <c r="AA361" s="55"/>
      <c r="AB361" s="48">
        <f>(B361*122.58+C361*297.941+D361*89.177+E361*140.302+F361*40+G361*60+H361*0+I361*100+J361*300)/(122.58+297.941+89.177+140.302+0+40+60+100+300)</f>
        <v>17.33321271026087</v>
      </c>
      <c r="AC361" s="45">
        <f>(M361*'RAP TEMPLATE-GAS AVAILABILITY'!O360+N361*'RAP TEMPLATE-GAS AVAILABILITY'!P360+O361*'RAP TEMPLATE-GAS AVAILABILITY'!Q360+P361*'RAP TEMPLATE-GAS AVAILABILITY'!R360)/('RAP TEMPLATE-GAS AVAILABILITY'!O360+'RAP TEMPLATE-GAS AVAILABILITY'!P360+'RAP TEMPLATE-GAS AVAILABILITY'!Q360+'RAP TEMPLATE-GAS AVAILABILITY'!R360)</f>
        <v>17.218952517985613</v>
      </c>
    </row>
    <row r="362" spans="1:29" ht="15.75" x14ac:dyDescent="0.25">
      <c r="A362" s="14">
        <v>51925</v>
      </c>
      <c r="B362" s="17">
        <f>CHOOSE(CONTROL!$C$42, 17.6044, 17.6044) * CHOOSE(CONTROL!$C$21, $C$9, 100%, $E$9)</f>
        <v>17.604399999999998</v>
      </c>
      <c r="C362" s="17">
        <f>CHOOSE(CONTROL!$C$42, 17.6095, 17.6095) * CHOOSE(CONTROL!$C$21, $C$9, 100%, $E$9)</f>
        <v>17.609500000000001</v>
      </c>
      <c r="D362" s="17">
        <f>CHOOSE(CONTROL!$C$42, 17.7064, 17.7064) * CHOOSE(CONTROL!$C$21, $C$9, 100%, $E$9)</f>
        <v>17.706399999999999</v>
      </c>
      <c r="E362" s="17">
        <f>CHOOSE(CONTROL!$C$42, 17.7401, 17.7401) * CHOOSE(CONTROL!$C$21, $C$9, 100%, $E$9)</f>
        <v>17.740100000000002</v>
      </c>
      <c r="F362" s="17">
        <f>CHOOSE(CONTROL!$C$42, 17.6187, 17.6187)*CHOOSE(CONTROL!$C$21, $C$9, 100%, $E$9)</f>
        <v>17.6187</v>
      </c>
      <c r="G362" s="17">
        <f>CHOOSE(CONTROL!$C$42, 17.6351, 17.6351)*CHOOSE(CONTROL!$C$21, $C$9, 100%, $E$9)</f>
        <v>17.635100000000001</v>
      </c>
      <c r="H362" s="17">
        <f>CHOOSE(CONTROL!$C$42, 17.729, 17.729) * CHOOSE(CONTROL!$C$21, $C$9, 100%, $E$9)</f>
        <v>17.728999999999999</v>
      </c>
      <c r="I362" s="17">
        <f>CHOOSE(CONTROL!$C$42, 17.684, 17.684)* CHOOSE(CONTROL!$C$21, $C$9, 100%, $E$9)</f>
        <v>17.684000000000001</v>
      </c>
      <c r="J362" s="17">
        <f>CHOOSE(CONTROL!$C$42, 17.6113, 17.6113)* CHOOSE(CONTROL!$C$21, $C$9, 100%, $E$9)</f>
        <v>17.6113</v>
      </c>
      <c r="K362" s="52">
        <f>CHOOSE(CONTROL!$C$42, 17.678, 17.678) * CHOOSE(CONTROL!$C$21, $C$9, 100%, $E$9)</f>
        <v>17.678000000000001</v>
      </c>
      <c r="L362" s="17">
        <f>CHOOSE(CONTROL!$C$42, 18.316, 18.316) * CHOOSE(CONTROL!$C$21, $C$9, 100%, $E$9)</f>
        <v>18.315999999999999</v>
      </c>
      <c r="M362" s="17">
        <f>CHOOSE(CONTROL!$C$42, 17.4599, 17.4599) * CHOOSE(CONTROL!$C$21, $C$9, 100%, $E$9)</f>
        <v>17.459900000000001</v>
      </c>
      <c r="N362" s="17">
        <f>CHOOSE(CONTROL!$C$42, 17.4762, 17.4762) * CHOOSE(CONTROL!$C$21, $C$9, 100%, $E$9)</f>
        <v>17.476199999999999</v>
      </c>
      <c r="O362" s="17">
        <f>CHOOSE(CONTROL!$C$42, 17.5766, 17.5766) * CHOOSE(CONTROL!$C$21, $C$9, 100%, $E$9)</f>
        <v>17.576599999999999</v>
      </c>
      <c r="P362" s="17">
        <f>CHOOSE(CONTROL!$C$42, 17.5315, 17.5315) * CHOOSE(CONTROL!$C$21, $C$9, 100%, $E$9)</f>
        <v>17.531500000000001</v>
      </c>
      <c r="Q362" s="17">
        <f>CHOOSE(CONTROL!$C$42, 18.1713, 18.1713) * CHOOSE(CONTROL!$C$21, $C$9, 100%, $E$9)</f>
        <v>18.171299999999999</v>
      </c>
      <c r="R362" s="17">
        <f>CHOOSE(CONTROL!$C$42, 18.8037, 18.8037) * CHOOSE(CONTROL!$C$21, $C$9, 100%, $E$9)</f>
        <v>18.803699999999999</v>
      </c>
      <c r="S362" s="17">
        <f>CHOOSE(CONTROL!$C$42, 17.0615, 17.0615) * CHOOSE(CONTROL!$C$21, $C$9, 100%, $E$9)</f>
        <v>17.061499999999999</v>
      </c>
      <c r="T36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62" s="56">
        <f>(1000*CHOOSE(CONTROL!$C$42, 695, 695)*CHOOSE(CONTROL!$C$42, 0.5599, 0.5599)*CHOOSE(CONTROL!$C$42, 28, 28))/1000000</f>
        <v>10.895653999999999</v>
      </c>
      <c r="V362" s="56">
        <f>(1000*CHOOSE(CONTROL!$C$42, 500, 500)*CHOOSE(CONTROL!$C$42, 0.275, 0.275)*CHOOSE(CONTROL!$C$42, 28, 28))/1000000</f>
        <v>3.85</v>
      </c>
      <c r="W362" s="56">
        <f>(1000*CHOOSE(CONTROL!$C$42, 0.0916, 0.0916)*CHOOSE(CONTROL!$C$42, 121.5, 121.5)*CHOOSE(CONTROL!$C$42, 28, 28))/1000000</f>
        <v>0.31162319999999999</v>
      </c>
      <c r="X362" s="56">
        <f>(28*0.2374*100000/1000000)</f>
        <v>0.66471999999999998</v>
      </c>
      <c r="Y362" s="56"/>
      <c r="Z362" s="17"/>
      <c r="AA362" s="55"/>
      <c r="AB362" s="48">
        <f>(B362*122.58+C362*297.941+D362*89.177+E362*140.302+F362*40+G362*60+H362*0+I362*100+J362*300)/(122.58+297.941+89.177+140.302+0+40+60+100+300)</f>
        <v>17.641007421304348</v>
      </c>
      <c r="AC362" s="45">
        <f>(M362*'RAP TEMPLATE-GAS AVAILABILITY'!O361+N362*'RAP TEMPLATE-GAS AVAILABILITY'!P361+O362*'RAP TEMPLATE-GAS AVAILABILITY'!Q361+P362*'RAP TEMPLATE-GAS AVAILABILITY'!R361)/('RAP TEMPLATE-GAS AVAILABILITY'!O361+'RAP TEMPLATE-GAS AVAILABILITY'!P361+'RAP TEMPLATE-GAS AVAILABILITY'!Q361+'RAP TEMPLATE-GAS AVAILABILITY'!R361)</f>
        <v>17.52403309352518</v>
      </c>
    </row>
    <row r="363" spans="1:29" ht="15.75" x14ac:dyDescent="0.25">
      <c r="A363" s="14">
        <v>51956</v>
      </c>
      <c r="B363" s="17">
        <f>CHOOSE(CONTROL!$C$42, 17.1049, 17.1049) * CHOOSE(CONTROL!$C$21, $C$9, 100%, $E$9)</f>
        <v>17.104900000000001</v>
      </c>
      <c r="C363" s="17">
        <f>CHOOSE(CONTROL!$C$42, 17.11, 17.11) * CHOOSE(CONTROL!$C$21, $C$9, 100%, $E$9)</f>
        <v>17.11</v>
      </c>
      <c r="D363" s="17">
        <f>CHOOSE(CONTROL!$C$42, 17.2068, 17.2068) * CHOOSE(CONTROL!$C$21, $C$9, 100%, $E$9)</f>
        <v>17.206800000000001</v>
      </c>
      <c r="E363" s="17">
        <f>CHOOSE(CONTROL!$C$42, 17.2406, 17.2406) * CHOOSE(CONTROL!$C$21, $C$9, 100%, $E$9)</f>
        <v>17.240600000000001</v>
      </c>
      <c r="F363" s="17">
        <f>CHOOSE(CONTROL!$C$42, 17.1185, 17.1185)*CHOOSE(CONTROL!$C$21, $C$9, 100%, $E$9)</f>
        <v>17.118500000000001</v>
      </c>
      <c r="G363" s="17">
        <f>CHOOSE(CONTROL!$C$42, 17.1348, 17.1348)*CHOOSE(CONTROL!$C$21, $C$9, 100%, $E$9)</f>
        <v>17.134799999999998</v>
      </c>
      <c r="H363" s="17">
        <f>CHOOSE(CONTROL!$C$42, 17.2295, 17.2295) * CHOOSE(CONTROL!$C$21, $C$9, 100%, $E$9)</f>
        <v>17.229500000000002</v>
      </c>
      <c r="I363" s="17">
        <f>CHOOSE(CONTROL!$C$42, 17.183, 17.183)* CHOOSE(CONTROL!$C$21, $C$9, 100%, $E$9)</f>
        <v>17.183</v>
      </c>
      <c r="J363" s="17">
        <f>CHOOSE(CONTROL!$C$42, 17.1111, 17.1111)* CHOOSE(CONTROL!$C$21, $C$9, 100%, $E$9)</f>
        <v>17.1111</v>
      </c>
      <c r="K363" s="52">
        <f>CHOOSE(CONTROL!$C$42, 17.1769, 17.1769) * CHOOSE(CONTROL!$C$21, $C$9, 100%, $E$9)</f>
        <v>17.1769</v>
      </c>
      <c r="L363" s="17">
        <f>CHOOSE(CONTROL!$C$42, 17.8165, 17.8165) * CHOOSE(CONTROL!$C$21, $C$9, 100%, $E$9)</f>
        <v>17.816500000000001</v>
      </c>
      <c r="M363" s="17">
        <f>CHOOSE(CONTROL!$C$42, 16.9643, 16.9643) * CHOOSE(CONTROL!$C$21, $C$9, 100%, $E$9)</f>
        <v>16.964300000000001</v>
      </c>
      <c r="N363" s="17">
        <f>CHOOSE(CONTROL!$C$42, 16.9804, 16.9804) * CHOOSE(CONTROL!$C$21, $C$9, 100%, $E$9)</f>
        <v>16.980399999999999</v>
      </c>
      <c r="O363" s="17">
        <f>CHOOSE(CONTROL!$C$42, 17.0815, 17.0815) * CHOOSE(CONTROL!$C$21, $C$9, 100%, $E$9)</f>
        <v>17.081499999999998</v>
      </c>
      <c r="P363" s="17">
        <f>CHOOSE(CONTROL!$C$42, 17.035, 17.035) * CHOOSE(CONTROL!$C$21, $C$9, 100%, $E$9)</f>
        <v>17.035</v>
      </c>
      <c r="Q363" s="17">
        <f>CHOOSE(CONTROL!$C$42, 17.6762, 17.6762) * CHOOSE(CONTROL!$C$21, $C$9, 100%, $E$9)</f>
        <v>17.676200000000001</v>
      </c>
      <c r="R363" s="17">
        <f>CHOOSE(CONTROL!$C$42, 18.3074, 18.3074) * CHOOSE(CONTROL!$C$21, $C$9, 100%, $E$9)</f>
        <v>18.307400000000001</v>
      </c>
      <c r="S363" s="17">
        <f>CHOOSE(CONTROL!$C$42, 16.5771, 16.5771) * CHOOSE(CONTROL!$C$21, $C$9, 100%, $E$9)</f>
        <v>16.577100000000002</v>
      </c>
      <c r="T36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63" s="56">
        <f>(1000*CHOOSE(CONTROL!$C$42, 695, 695)*CHOOSE(CONTROL!$C$42, 0.5599, 0.5599)*CHOOSE(CONTROL!$C$42, 31, 31))/1000000</f>
        <v>12.063045499999998</v>
      </c>
      <c r="V363" s="56">
        <f>(1000*CHOOSE(CONTROL!$C$42, 500, 500)*CHOOSE(CONTROL!$C$42, 0.275, 0.275)*CHOOSE(CONTROL!$C$42, 31, 31))/1000000</f>
        <v>4.2625000000000002</v>
      </c>
      <c r="W363" s="56">
        <f>(1000*CHOOSE(CONTROL!$C$42, 0.0916, 0.0916)*CHOOSE(CONTROL!$C$42, 121.5, 121.5)*CHOOSE(CONTROL!$C$42, 31, 31))/1000000</f>
        <v>0.34501139999999997</v>
      </c>
      <c r="X363" s="56">
        <f>(31*0.2374*100000/1000000)</f>
        <v>0.73594000000000004</v>
      </c>
      <c r="Y363" s="56"/>
      <c r="Z363" s="17"/>
      <c r="AA363" s="55"/>
      <c r="AB363" s="48">
        <f>(B363*122.58+C363*297.941+D363*89.177+E363*140.302+F363*40+G363*60+H363*0+I363*100+J363*300)/(122.58+297.941+89.177+140.302+0+40+60+100+300)</f>
        <v>17.141120536347827</v>
      </c>
      <c r="AC363" s="45">
        <f>(M363*'RAP TEMPLATE-GAS AVAILABILITY'!O362+N363*'RAP TEMPLATE-GAS AVAILABILITY'!P362+O363*'RAP TEMPLATE-GAS AVAILABILITY'!Q362+P363*'RAP TEMPLATE-GAS AVAILABILITY'!R362)/('RAP TEMPLATE-GAS AVAILABILITY'!O362+'RAP TEMPLATE-GAS AVAILABILITY'!P362+'RAP TEMPLATE-GAS AVAILABILITY'!Q362+'RAP TEMPLATE-GAS AVAILABILITY'!R362)</f>
        <v>17.028518705035971</v>
      </c>
    </row>
    <row r="364" spans="1:29" ht="15.75" x14ac:dyDescent="0.25">
      <c r="A364" s="14">
        <v>51986</v>
      </c>
      <c r="B364" s="17">
        <f>CHOOSE(CONTROL!$C$42, 17.0547, 17.0547) * CHOOSE(CONTROL!$C$21, $C$9, 100%, $E$9)</f>
        <v>17.0547</v>
      </c>
      <c r="C364" s="17">
        <f>CHOOSE(CONTROL!$C$42, 17.0593, 17.0593) * CHOOSE(CONTROL!$C$21, $C$9, 100%, $E$9)</f>
        <v>17.0593</v>
      </c>
      <c r="D364" s="17">
        <f>CHOOSE(CONTROL!$C$42, 17.3068, 17.3068) * CHOOSE(CONTROL!$C$21, $C$9, 100%, $E$9)</f>
        <v>17.306799999999999</v>
      </c>
      <c r="E364" s="17">
        <f>CHOOSE(CONTROL!$C$42, 17.3386, 17.3386) * CHOOSE(CONTROL!$C$21, $C$9, 100%, $E$9)</f>
        <v>17.3386</v>
      </c>
      <c r="F364" s="17">
        <f>CHOOSE(CONTROL!$C$42, 17.0664, 17.0664)*CHOOSE(CONTROL!$C$21, $C$9, 100%, $E$9)</f>
        <v>17.066400000000002</v>
      </c>
      <c r="G364" s="17">
        <f>CHOOSE(CONTROL!$C$42, 17.0823, 17.0823)*CHOOSE(CONTROL!$C$21, $C$9, 100%, $E$9)</f>
        <v>17.0823</v>
      </c>
      <c r="H364" s="17">
        <f>CHOOSE(CONTROL!$C$42, 17.3281, 17.3281) * CHOOSE(CONTROL!$C$21, $C$9, 100%, $E$9)</f>
        <v>17.328099999999999</v>
      </c>
      <c r="I364" s="17">
        <f>CHOOSE(CONTROL!$C$42, 17.1303, 17.1303)* CHOOSE(CONTROL!$C$21, $C$9, 100%, $E$9)</f>
        <v>17.130299999999998</v>
      </c>
      <c r="J364" s="17">
        <f>CHOOSE(CONTROL!$C$42, 17.059, 17.059)* CHOOSE(CONTROL!$C$21, $C$9, 100%, $E$9)</f>
        <v>17.059000000000001</v>
      </c>
      <c r="K364" s="52">
        <f>CHOOSE(CONTROL!$C$42, 17.1243, 17.1243) * CHOOSE(CONTROL!$C$21, $C$9, 100%, $E$9)</f>
        <v>17.124300000000002</v>
      </c>
      <c r="L364" s="17">
        <f>CHOOSE(CONTROL!$C$42, 17.9151, 17.9151) * CHOOSE(CONTROL!$C$21, $C$9, 100%, $E$9)</f>
        <v>17.915099999999999</v>
      </c>
      <c r="M364" s="17">
        <f>CHOOSE(CONTROL!$C$42, 16.9126, 16.9126) * CHOOSE(CONTROL!$C$21, $C$9, 100%, $E$9)</f>
        <v>16.912600000000001</v>
      </c>
      <c r="N364" s="17">
        <f>CHOOSE(CONTROL!$C$42, 16.9284, 16.9284) * CHOOSE(CONTROL!$C$21, $C$9, 100%, $E$9)</f>
        <v>16.9284</v>
      </c>
      <c r="O364" s="17">
        <f>CHOOSE(CONTROL!$C$42, 17.1792, 17.1792) * CHOOSE(CONTROL!$C$21, $C$9, 100%, $E$9)</f>
        <v>17.179200000000002</v>
      </c>
      <c r="P364" s="17">
        <f>CHOOSE(CONTROL!$C$42, 16.9828, 16.9828) * CHOOSE(CONTROL!$C$21, $C$9, 100%, $E$9)</f>
        <v>16.982800000000001</v>
      </c>
      <c r="Q364" s="17">
        <f>CHOOSE(CONTROL!$C$42, 17.7739, 17.7739) * CHOOSE(CONTROL!$C$21, $C$9, 100%, $E$9)</f>
        <v>17.773900000000001</v>
      </c>
      <c r="R364" s="17">
        <f>CHOOSE(CONTROL!$C$42, 18.4054, 18.4054) * CHOOSE(CONTROL!$C$21, $C$9, 100%, $E$9)</f>
        <v>18.4054</v>
      </c>
      <c r="S364" s="17">
        <f>CHOOSE(CONTROL!$C$42, 16.5277, 16.5277) * CHOOSE(CONTROL!$C$21, $C$9, 100%, $E$9)</f>
        <v>16.527699999999999</v>
      </c>
      <c r="T36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64" s="56">
        <f>(1000*CHOOSE(CONTROL!$C$42, 695, 695)*CHOOSE(CONTROL!$C$42, 0.5599, 0.5599)*CHOOSE(CONTROL!$C$42, 30, 30))/1000000</f>
        <v>11.673914999999997</v>
      </c>
      <c r="V364" s="56">
        <f>(1000*CHOOSE(CONTROL!$C$42, 500, 500)*CHOOSE(CONTROL!$C$42, 0.275, 0.275)*CHOOSE(CONTROL!$C$42, 30, 30))/1000000</f>
        <v>4.125</v>
      </c>
      <c r="W364" s="56">
        <f>(1000*CHOOSE(CONTROL!$C$42, 0.0916, 0.0916)*CHOOSE(CONTROL!$C$42, 121.5, 121.5)*CHOOSE(CONTROL!$C$42, 30, 30))/1000000</f>
        <v>0.33388200000000001</v>
      </c>
      <c r="X364" s="56">
        <f>(30*0.1790888*145000/1000000)+(30*0.2374*100000/1000000)</f>
        <v>1.4912362799999999</v>
      </c>
      <c r="Y364" s="56"/>
      <c r="Z364" s="17"/>
      <c r="AA364" s="55"/>
      <c r="AB364" s="48">
        <f>(B364*141.293+C364*267.993+D364*115.016+E364*189.698+F364*40+G364*85+H364*0+I364*100+J364*300)/(141.293+267.993+115.016+189.698+0+40+85+100+300)</f>
        <v>17.131978098143666</v>
      </c>
      <c r="AC364" s="45">
        <f>(M364*'RAP TEMPLATE-GAS AVAILABILITY'!O363+N364*'RAP TEMPLATE-GAS AVAILABILITY'!P363+O364*'RAP TEMPLATE-GAS AVAILABILITY'!Q363+P364*'RAP TEMPLATE-GAS AVAILABILITY'!R363)/('RAP TEMPLATE-GAS AVAILABILITY'!O363+'RAP TEMPLATE-GAS AVAILABILITY'!P363+'RAP TEMPLATE-GAS AVAILABILITY'!Q363+'RAP TEMPLATE-GAS AVAILABILITY'!R363)</f>
        <v>17.001139568345327</v>
      </c>
    </row>
    <row r="365" spans="1:29" ht="15.75" x14ac:dyDescent="0.25">
      <c r="A365" s="14">
        <v>52017</v>
      </c>
      <c r="B365" s="17">
        <f>CHOOSE(CONTROL!$C$42, 17.2065, 17.2065) * CHOOSE(CONTROL!$C$21, $C$9, 100%, $E$9)</f>
        <v>17.206499999999998</v>
      </c>
      <c r="C365" s="17">
        <f>CHOOSE(CONTROL!$C$42, 17.2145, 17.2145) * CHOOSE(CONTROL!$C$21, $C$9, 100%, $E$9)</f>
        <v>17.214500000000001</v>
      </c>
      <c r="D365" s="17">
        <f>CHOOSE(CONTROL!$C$42, 17.459, 17.459) * CHOOSE(CONTROL!$C$21, $C$9, 100%, $E$9)</f>
        <v>17.459</v>
      </c>
      <c r="E365" s="17">
        <f>CHOOSE(CONTROL!$C$42, 17.4902, 17.4902) * CHOOSE(CONTROL!$C$21, $C$9, 100%, $E$9)</f>
        <v>17.490200000000002</v>
      </c>
      <c r="F365" s="17">
        <f>CHOOSE(CONTROL!$C$42, 17.2171, 17.2171)*CHOOSE(CONTROL!$C$21, $C$9, 100%, $E$9)</f>
        <v>17.217099999999999</v>
      </c>
      <c r="G365" s="17">
        <f>CHOOSE(CONTROL!$C$42, 17.2333, 17.2333)*CHOOSE(CONTROL!$C$21, $C$9, 100%, $E$9)</f>
        <v>17.2333</v>
      </c>
      <c r="H365" s="17">
        <f>CHOOSE(CONTROL!$C$42, 17.4785, 17.4785) * CHOOSE(CONTROL!$C$21, $C$9, 100%, $E$9)</f>
        <v>17.4785</v>
      </c>
      <c r="I365" s="17">
        <f>CHOOSE(CONTROL!$C$42, 17.2812, 17.2812)* CHOOSE(CONTROL!$C$21, $C$9, 100%, $E$9)</f>
        <v>17.281199999999998</v>
      </c>
      <c r="J365" s="17">
        <f>CHOOSE(CONTROL!$C$42, 17.2097, 17.2097)* CHOOSE(CONTROL!$C$21, $C$9, 100%, $E$9)</f>
        <v>17.209700000000002</v>
      </c>
      <c r="K365" s="52">
        <f>CHOOSE(CONTROL!$C$42, 17.2752, 17.2752) * CHOOSE(CONTROL!$C$21, $C$9, 100%, $E$9)</f>
        <v>17.275200000000002</v>
      </c>
      <c r="L365" s="17">
        <f>CHOOSE(CONTROL!$C$42, 18.0655, 18.0655) * CHOOSE(CONTROL!$C$21, $C$9, 100%, $E$9)</f>
        <v>18.0655</v>
      </c>
      <c r="M365" s="17">
        <f>CHOOSE(CONTROL!$C$42, 17.0619, 17.0619) * CHOOSE(CONTROL!$C$21, $C$9, 100%, $E$9)</f>
        <v>17.061900000000001</v>
      </c>
      <c r="N365" s="17">
        <f>CHOOSE(CONTROL!$C$42, 17.078, 17.078) * CHOOSE(CONTROL!$C$21, $C$9, 100%, $E$9)</f>
        <v>17.077999999999999</v>
      </c>
      <c r="O365" s="17">
        <f>CHOOSE(CONTROL!$C$42, 17.3283, 17.3283) * CHOOSE(CONTROL!$C$21, $C$9, 100%, $E$9)</f>
        <v>17.328299999999999</v>
      </c>
      <c r="P365" s="17">
        <f>CHOOSE(CONTROL!$C$42, 17.1324, 17.1324) * CHOOSE(CONTROL!$C$21, $C$9, 100%, $E$9)</f>
        <v>17.132400000000001</v>
      </c>
      <c r="Q365" s="17">
        <f>CHOOSE(CONTROL!$C$42, 17.923, 17.923) * CHOOSE(CONTROL!$C$21, $C$9, 100%, $E$9)</f>
        <v>17.922999999999998</v>
      </c>
      <c r="R365" s="17">
        <f>CHOOSE(CONTROL!$C$42, 18.5548, 18.5548) * CHOOSE(CONTROL!$C$21, $C$9, 100%, $E$9)</f>
        <v>18.5548</v>
      </c>
      <c r="S365" s="17">
        <f>CHOOSE(CONTROL!$C$42, 16.6736, 16.6736) * CHOOSE(CONTROL!$C$21, $C$9, 100%, $E$9)</f>
        <v>16.6736</v>
      </c>
      <c r="T36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65" s="56">
        <f>(1000*CHOOSE(CONTROL!$C$42, 695, 695)*CHOOSE(CONTROL!$C$42, 0.5599, 0.5599)*CHOOSE(CONTROL!$C$42, 31, 31))/1000000</f>
        <v>12.063045499999998</v>
      </c>
      <c r="V365" s="56">
        <f>(1000*CHOOSE(CONTROL!$C$42, 500, 500)*CHOOSE(CONTROL!$C$42, 0.275, 0.275)*CHOOSE(CONTROL!$C$42, 31, 31))/1000000</f>
        <v>4.2625000000000002</v>
      </c>
      <c r="W365" s="56">
        <f>(1000*CHOOSE(CONTROL!$C$42, 0.0916, 0.0916)*CHOOSE(CONTROL!$C$42, 121.5, 121.5)*CHOOSE(CONTROL!$C$42, 31, 31))/1000000</f>
        <v>0.34501139999999997</v>
      </c>
      <c r="X365" s="56">
        <f>(31*0.1790888*145000/1000000)+(31*0.2374*100000/1000000)</f>
        <v>1.5409441560000001</v>
      </c>
      <c r="Y365" s="56"/>
      <c r="Z365" s="17"/>
      <c r="AA365" s="55"/>
      <c r="AB365" s="48">
        <f>(B365*194.205+C365*267.466+D365*133.845+E365*153.484+F365*40+G365*85+H365*0+I365*100+J365*300)/(194.205+267.466+133.845+153.484+0+40+85+100+300)</f>
        <v>17.277623234929358</v>
      </c>
      <c r="AC365" s="45">
        <f>(M365*'RAP TEMPLATE-GAS AVAILABILITY'!O364+N365*'RAP TEMPLATE-GAS AVAILABILITY'!P364+O365*'RAP TEMPLATE-GAS AVAILABILITY'!Q364+P365*'RAP TEMPLATE-GAS AVAILABILITY'!R364)/('RAP TEMPLATE-GAS AVAILABILITY'!O364+'RAP TEMPLATE-GAS AVAILABILITY'!P364+'RAP TEMPLATE-GAS AVAILABILITY'!Q364+'RAP TEMPLATE-GAS AVAILABILITY'!R364)</f>
        <v>17.150495683453236</v>
      </c>
    </row>
    <row r="366" spans="1:29" ht="15.75" x14ac:dyDescent="0.25">
      <c r="A366" s="14">
        <v>52047</v>
      </c>
      <c r="B366" s="17">
        <f>CHOOSE(CONTROL!$C$42, 17.6943, 17.6943) * CHOOSE(CONTROL!$C$21, $C$9, 100%, $E$9)</f>
        <v>17.694299999999998</v>
      </c>
      <c r="C366" s="17">
        <f>CHOOSE(CONTROL!$C$42, 17.7022, 17.7022) * CHOOSE(CONTROL!$C$21, $C$9, 100%, $E$9)</f>
        <v>17.702200000000001</v>
      </c>
      <c r="D366" s="17">
        <f>CHOOSE(CONTROL!$C$42, 17.9467, 17.9467) * CHOOSE(CONTROL!$C$21, $C$9, 100%, $E$9)</f>
        <v>17.9467</v>
      </c>
      <c r="E366" s="17">
        <f>CHOOSE(CONTROL!$C$42, 17.9779, 17.9779) * CHOOSE(CONTROL!$C$21, $C$9, 100%, $E$9)</f>
        <v>17.977900000000002</v>
      </c>
      <c r="F366" s="17">
        <f>CHOOSE(CONTROL!$C$42, 17.7051, 17.7051)*CHOOSE(CONTROL!$C$21, $C$9, 100%, $E$9)</f>
        <v>17.705100000000002</v>
      </c>
      <c r="G366" s="17">
        <f>CHOOSE(CONTROL!$C$42, 17.7214, 17.7214)*CHOOSE(CONTROL!$C$21, $C$9, 100%, $E$9)</f>
        <v>17.721399999999999</v>
      </c>
      <c r="H366" s="17">
        <f>CHOOSE(CONTROL!$C$42, 17.9662, 17.9662) * CHOOSE(CONTROL!$C$21, $C$9, 100%, $E$9)</f>
        <v>17.966200000000001</v>
      </c>
      <c r="I366" s="17">
        <f>CHOOSE(CONTROL!$C$42, 17.7704, 17.7704)* CHOOSE(CONTROL!$C$21, $C$9, 100%, $E$9)</f>
        <v>17.770399999999999</v>
      </c>
      <c r="J366" s="17">
        <f>CHOOSE(CONTROL!$C$42, 17.6977, 17.6977)* CHOOSE(CONTROL!$C$21, $C$9, 100%, $E$9)</f>
        <v>17.697700000000001</v>
      </c>
      <c r="K366" s="52">
        <f>CHOOSE(CONTROL!$C$42, 17.7644, 17.7644) * CHOOSE(CONTROL!$C$21, $C$9, 100%, $E$9)</f>
        <v>17.764399999999998</v>
      </c>
      <c r="L366" s="17">
        <f>CHOOSE(CONTROL!$C$42, 18.5532, 18.5532) * CHOOSE(CONTROL!$C$21, $C$9, 100%, $E$9)</f>
        <v>18.5532</v>
      </c>
      <c r="M366" s="17">
        <f>CHOOSE(CONTROL!$C$42, 17.5456, 17.5456) * CHOOSE(CONTROL!$C$21, $C$9, 100%, $E$9)</f>
        <v>17.5456</v>
      </c>
      <c r="N366" s="17">
        <f>CHOOSE(CONTROL!$C$42, 17.5617, 17.5617) * CHOOSE(CONTROL!$C$21, $C$9, 100%, $E$9)</f>
        <v>17.561699999999998</v>
      </c>
      <c r="O366" s="17">
        <f>CHOOSE(CONTROL!$C$42, 17.8116, 17.8116) * CHOOSE(CONTROL!$C$21, $C$9, 100%, $E$9)</f>
        <v>17.811599999999999</v>
      </c>
      <c r="P366" s="17">
        <f>CHOOSE(CONTROL!$C$42, 17.6172, 17.6172) * CHOOSE(CONTROL!$C$21, $C$9, 100%, $E$9)</f>
        <v>17.6172</v>
      </c>
      <c r="Q366" s="17">
        <f>CHOOSE(CONTROL!$C$42, 18.4063, 18.4063) * CHOOSE(CONTROL!$C$21, $C$9, 100%, $E$9)</f>
        <v>18.406300000000002</v>
      </c>
      <c r="R366" s="17">
        <f>CHOOSE(CONTROL!$C$42, 19.0394, 19.0394) * CHOOSE(CONTROL!$C$21, $C$9, 100%, $E$9)</f>
        <v>19.039400000000001</v>
      </c>
      <c r="S366" s="17">
        <f>CHOOSE(CONTROL!$C$42, 17.1465, 17.1465) * CHOOSE(CONTROL!$C$21, $C$9, 100%, $E$9)</f>
        <v>17.1465</v>
      </c>
      <c r="T36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66" s="56">
        <f>(1000*CHOOSE(CONTROL!$C$42, 695, 695)*CHOOSE(CONTROL!$C$42, 0.5599, 0.5599)*CHOOSE(CONTROL!$C$42, 30, 30))/1000000</f>
        <v>11.673914999999997</v>
      </c>
      <c r="V366" s="56">
        <f>(1000*CHOOSE(CONTROL!$C$42, 500, 500)*CHOOSE(CONTROL!$C$42, 0.275, 0.275)*CHOOSE(CONTROL!$C$42, 30, 30))/1000000</f>
        <v>4.125</v>
      </c>
      <c r="W366" s="56">
        <f>(1000*CHOOSE(CONTROL!$C$42, 0.0916, 0.0916)*CHOOSE(CONTROL!$C$42, 121.5, 121.5)*CHOOSE(CONTROL!$C$42, 30, 30))/1000000</f>
        <v>0.33388200000000001</v>
      </c>
      <c r="X366" s="56">
        <f>(30*0.1790888*145000/1000000)+(30*0.2374*100000/1000000)</f>
        <v>1.4912362799999999</v>
      </c>
      <c r="Y366" s="56"/>
      <c r="Z366" s="17"/>
      <c r="AA366" s="55"/>
      <c r="AB366" s="48">
        <f>(B366*194.205+C366*267.466+D366*133.845+E366*153.484+F366*40+G366*85+H366*0+I366*100+J366*300)/(194.205+267.466+133.845+153.484+0+40+85+100+300)</f>
        <v>17.765562968445842</v>
      </c>
      <c r="AC366" s="45">
        <f>(M366*'RAP TEMPLATE-GAS AVAILABILITY'!O365+N366*'RAP TEMPLATE-GAS AVAILABILITY'!P365+O366*'RAP TEMPLATE-GAS AVAILABILITY'!Q365+P366*'RAP TEMPLATE-GAS AVAILABILITY'!R365)/('RAP TEMPLATE-GAS AVAILABILITY'!O365+'RAP TEMPLATE-GAS AVAILABILITY'!P365+'RAP TEMPLATE-GAS AVAILABILITY'!Q365+'RAP TEMPLATE-GAS AVAILABILITY'!R365)</f>
        <v>17.634241726618708</v>
      </c>
    </row>
    <row r="367" spans="1:29" ht="15.75" x14ac:dyDescent="0.25">
      <c r="A367" s="14">
        <v>52078</v>
      </c>
      <c r="B367" s="17">
        <f>CHOOSE(CONTROL!$C$42, 17.355, 17.355) * CHOOSE(CONTROL!$C$21, $C$9, 100%, $E$9)</f>
        <v>17.355</v>
      </c>
      <c r="C367" s="17">
        <f>CHOOSE(CONTROL!$C$42, 17.363, 17.363) * CHOOSE(CONTROL!$C$21, $C$9, 100%, $E$9)</f>
        <v>17.363</v>
      </c>
      <c r="D367" s="17">
        <f>CHOOSE(CONTROL!$C$42, 17.6075, 17.6075) * CHOOSE(CONTROL!$C$21, $C$9, 100%, $E$9)</f>
        <v>17.607500000000002</v>
      </c>
      <c r="E367" s="17">
        <f>CHOOSE(CONTROL!$C$42, 17.6387, 17.6387) * CHOOSE(CONTROL!$C$21, $C$9, 100%, $E$9)</f>
        <v>17.6387</v>
      </c>
      <c r="F367" s="17">
        <f>CHOOSE(CONTROL!$C$42, 17.3664, 17.3664)*CHOOSE(CONTROL!$C$21, $C$9, 100%, $E$9)</f>
        <v>17.366399999999999</v>
      </c>
      <c r="G367" s="17">
        <f>CHOOSE(CONTROL!$C$42, 17.3828, 17.3828)*CHOOSE(CONTROL!$C$21, $C$9, 100%, $E$9)</f>
        <v>17.3828</v>
      </c>
      <c r="H367" s="17">
        <f>CHOOSE(CONTROL!$C$42, 17.627, 17.627) * CHOOSE(CONTROL!$C$21, $C$9, 100%, $E$9)</f>
        <v>17.626999999999999</v>
      </c>
      <c r="I367" s="17">
        <f>CHOOSE(CONTROL!$C$42, 17.4302, 17.4302)* CHOOSE(CONTROL!$C$21, $C$9, 100%, $E$9)</f>
        <v>17.430199999999999</v>
      </c>
      <c r="J367" s="17">
        <f>CHOOSE(CONTROL!$C$42, 17.359, 17.359)* CHOOSE(CONTROL!$C$21, $C$9, 100%, $E$9)</f>
        <v>17.359000000000002</v>
      </c>
      <c r="K367" s="52">
        <f>CHOOSE(CONTROL!$C$42, 17.4241, 17.4241) * CHOOSE(CONTROL!$C$21, $C$9, 100%, $E$9)</f>
        <v>17.424099999999999</v>
      </c>
      <c r="L367" s="17">
        <f>CHOOSE(CONTROL!$C$42, 18.214, 18.214) * CHOOSE(CONTROL!$C$21, $C$9, 100%, $E$9)</f>
        <v>18.213999999999999</v>
      </c>
      <c r="M367" s="17">
        <f>CHOOSE(CONTROL!$C$42, 17.2099, 17.2099) * CHOOSE(CONTROL!$C$21, $C$9, 100%, $E$9)</f>
        <v>17.209900000000001</v>
      </c>
      <c r="N367" s="17">
        <f>CHOOSE(CONTROL!$C$42, 17.2261, 17.2261) * CHOOSE(CONTROL!$C$21, $C$9, 100%, $E$9)</f>
        <v>17.226099999999999</v>
      </c>
      <c r="O367" s="17">
        <f>CHOOSE(CONTROL!$C$42, 17.4755, 17.4755) * CHOOSE(CONTROL!$C$21, $C$9, 100%, $E$9)</f>
        <v>17.4755</v>
      </c>
      <c r="P367" s="17">
        <f>CHOOSE(CONTROL!$C$42, 17.28, 17.28) * CHOOSE(CONTROL!$C$21, $C$9, 100%, $E$9)</f>
        <v>17.28</v>
      </c>
      <c r="Q367" s="17">
        <f>CHOOSE(CONTROL!$C$42, 18.0702, 18.0702) * CHOOSE(CONTROL!$C$21, $C$9, 100%, $E$9)</f>
        <v>18.0702</v>
      </c>
      <c r="R367" s="17">
        <f>CHOOSE(CONTROL!$C$42, 18.7023, 18.7023) * CHOOSE(CONTROL!$C$21, $C$9, 100%, $E$9)</f>
        <v>18.702300000000001</v>
      </c>
      <c r="S367" s="17">
        <f>CHOOSE(CONTROL!$C$42, 16.8176, 16.8176) * CHOOSE(CONTROL!$C$21, $C$9, 100%, $E$9)</f>
        <v>16.817599999999999</v>
      </c>
      <c r="T36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67" s="56">
        <f>(1000*CHOOSE(CONTROL!$C$42, 695, 695)*CHOOSE(CONTROL!$C$42, 0.5599, 0.5599)*CHOOSE(CONTROL!$C$42, 31, 31))/1000000</f>
        <v>12.063045499999998</v>
      </c>
      <c r="V367" s="56">
        <f>(1000*CHOOSE(CONTROL!$C$42, 500, 500)*CHOOSE(CONTROL!$C$42, 0.275, 0.275)*CHOOSE(CONTROL!$C$42, 31, 31))/1000000</f>
        <v>4.2625000000000002</v>
      </c>
      <c r="W367" s="56">
        <f>(1000*CHOOSE(CONTROL!$C$42, 0.0916, 0.0916)*CHOOSE(CONTROL!$C$42, 121.5, 121.5)*CHOOSE(CONTROL!$C$42, 31, 31))/1000000</f>
        <v>0.34501139999999997</v>
      </c>
      <c r="X367" s="56">
        <f>(31*0.1790888*145000/1000000)+(31*0.2374*100000/1000000)</f>
        <v>1.5409441560000001</v>
      </c>
      <c r="Y367" s="56"/>
      <c r="Z367" s="17"/>
      <c r="AA367" s="55"/>
      <c r="AB367" s="48">
        <f>(B367*194.205+C367*267.466+D367*133.845+E367*153.484+F367*40+G367*85+H367*0+I367*100+J367*300)/(194.205+267.466+133.845+153.484+0+40+85+100+300)</f>
        <v>17.426442701177397</v>
      </c>
      <c r="AC367" s="45">
        <f>(M367*'RAP TEMPLATE-GAS AVAILABILITY'!O366+N367*'RAP TEMPLATE-GAS AVAILABILITY'!P366+O367*'RAP TEMPLATE-GAS AVAILABILITY'!Q366+P367*'RAP TEMPLATE-GAS AVAILABILITY'!R366)/('RAP TEMPLATE-GAS AVAILABILITY'!O366+'RAP TEMPLATE-GAS AVAILABILITY'!P366+'RAP TEMPLATE-GAS AVAILABILITY'!Q366+'RAP TEMPLATE-GAS AVAILABILITY'!R366)</f>
        <v>17.298236690647482</v>
      </c>
    </row>
    <row r="368" spans="1:29" ht="15.75" x14ac:dyDescent="0.25">
      <c r="A368" s="14">
        <v>52109</v>
      </c>
      <c r="B368" s="17">
        <f>CHOOSE(CONTROL!$C$42, 16.4984, 16.4984) * CHOOSE(CONTROL!$C$21, $C$9, 100%, $E$9)</f>
        <v>16.4984</v>
      </c>
      <c r="C368" s="17">
        <f>CHOOSE(CONTROL!$C$42, 16.5064, 16.5064) * CHOOSE(CONTROL!$C$21, $C$9, 100%, $E$9)</f>
        <v>16.506399999999999</v>
      </c>
      <c r="D368" s="17">
        <f>CHOOSE(CONTROL!$C$42, 16.7509, 16.7509) * CHOOSE(CONTROL!$C$21, $C$9, 100%, $E$9)</f>
        <v>16.750900000000001</v>
      </c>
      <c r="E368" s="17">
        <f>CHOOSE(CONTROL!$C$42, 16.782, 16.782) * CHOOSE(CONTROL!$C$21, $C$9, 100%, $E$9)</f>
        <v>16.782</v>
      </c>
      <c r="F368" s="17">
        <f>CHOOSE(CONTROL!$C$42, 16.51, 16.51)*CHOOSE(CONTROL!$C$21, $C$9, 100%, $E$9)</f>
        <v>16.510000000000002</v>
      </c>
      <c r="G368" s="17">
        <f>CHOOSE(CONTROL!$C$42, 16.5265, 16.5265)*CHOOSE(CONTROL!$C$21, $C$9, 100%, $E$9)</f>
        <v>16.526499999999999</v>
      </c>
      <c r="H368" s="17">
        <f>CHOOSE(CONTROL!$C$42, 16.7704, 16.7704) * CHOOSE(CONTROL!$C$21, $C$9, 100%, $E$9)</f>
        <v>16.770399999999999</v>
      </c>
      <c r="I368" s="17">
        <f>CHOOSE(CONTROL!$C$42, 16.5709, 16.5709)* CHOOSE(CONTROL!$C$21, $C$9, 100%, $E$9)</f>
        <v>16.570900000000002</v>
      </c>
      <c r="J368" s="17">
        <f>CHOOSE(CONTROL!$C$42, 16.5026, 16.5026)* CHOOSE(CONTROL!$C$21, $C$9, 100%, $E$9)</f>
        <v>16.502600000000001</v>
      </c>
      <c r="K368" s="52">
        <f>CHOOSE(CONTROL!$C$42, 16.5648, 16.5648) * CHOOSE(CONTROL!$C$21, $C$9, 100%, $E$9)</f>
        <v>16.564800000000002</v>
      </c>
      <c r="L368" s="17">
        <f>CHOOSE(CONTROL!$C$42, 17.3574, 17.3574) * CHOOSE(CONTROL!$C$21, $C$9, 100%, $E$9)</f>
        <v>17.357399999999998</v>
      </c>
      <c r="M368" s="17">
        <f>CHOOSE(CONTROL!$C$42, 16.3612, 16.3612) * CHOOSE(CONTROL!$C$21, $C$9, 100%, $E$9)</f>
        <v>16.3612</v>
      </c>
      <c r="N368" s="17">
        <f>CHOOSE(CONTROL!$C$42, 16.3775, 16.3775) * CHOOSE(CONTROL!$C$21, $C$9, 100%, $E$9)</f>
        <v>16.377500000000001</v>
      </c>
      <c r="O368" s="17">
        <f>CHOOSE(CONTROL!$C$42, 16.6266, 16.6266) * CHOOSE(CONTROL!$C$21, $C$9, 100%, $E$9)</f>
        <v>16.6266</v>
      </c>
      <c r="P368" s="17">
        <f>CHOOSE(CONTROL!$C$42, 16.4285, 16.4285) * CHOOSE(CONTROL!$C$21, $C$9, 100%, $E$9)</f>
        <v>16.4285</v>
      </c>
      <c r="Q368" s="17">
        <f>CHOOSE(CONTROL!$C$42, 17.2213, 17.2213) * CHOOSE(CONTROL!$C$21, $C$9, 100%, $E$9)</f>
        <v>17.221299999999999</v>
      </c>
      <c r="R368" s="17">
        <f>CHOOSE(CONTROL!$C$42, 17.8513, 17.8513) * CHOOSE(CONTROL!$C$21, $C$9, 100%, $E$9)</f>
        <v>17.851299999999998</v>
      </c>
      <c r="S368" s="17">
        <f>CHOOSE(CONTROL!$C$42, 15.9869, 15.9869) * CHOOSE(CONTROL!$C$21, $C$9, 100%, $E$9)</f>
        <v>15.9869</v>
      </c>
      <c r="T36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68" s="56">
        <f>(1000*CHOOSE(CONTROL!$C$42, 695, 695)*CHOOSE(CONTROL!$C$42, 0.5599, 0.5599)*CHOOSE(CONTROL!$C$42, 31, 31))/1000000</f>
        <v>12.063045499999998</v>
      </c>
      <c r="V368" s="56">
        <f>(1000*CHOOSE(CONTROL!$C$42, 500, 500)*CHOOSE(CONTROL!$C$42, 0.275, 0.275)*CHOOSE(CONTROL!$C$42, 31, 31))/1000000</f>
        <v>4.2625000000000002</v>
      </c>
      <c r="W368" s="56">
        <f>(1000*CHOOSE(CONTROL!$C$42, 0.0916, 0.0916)*CHOOSE(CONTROL!$C$42, 121.5, 121.5)*CHOOSE(CONTROL!$C$42, 31, 31))/1000000</f>
        <v>0.34501139999999997</v>
      </c>
      <c r="X368" s="56">
        <f>(31*0.1790888*145000/1000000)+(31*0.2374*100000/1000000)</f>
        <v>1.5409441560000001</v>
      </c>
      <c r="Y368" s="56"/>
      <c r="Z368" s="17"/>
      <c r="AA368" s="55"/>
      <c r="AB368" s="48">
        <f>(B368*194.205+C368*267.466+D368*133.845+E368*153.484+F368*40+G368*85+H368*0+I368*100+J368*300)/(194.205+267.466+133.845+153.484+0+40+85+100+300)</f>
        <v>16.569692113736266</v>
      </c>
      <c r="AC368" s="45">
        <f>(M368*'RAP TEMPLATE-GAS AVAILABILITY'!O367+N368*'RAP TEMPLATE-GAS AVAILABILITY'!P367+O368*'RAP TEMPLATE-GAS AVAILABILITY'!Q367+P368*'RAP TEMPLATE-GAS AVAILABILITY'!R367)/('RAP TEMPLATE-GAS AVAILABILITY'!O367+'RAP TEMPLATE-GAS AVAILABILITY'!P367+'RAP TEMPLATE-GAS AVAILABILITY'!Q367+'RAP TEMPLATE-GAS AVAILABILITY'!R367)</f>
        <v>16.449100719424461</v>
      </c>
    </row>
    <row r="369" spans="1:29" ht="15.75" x14ac:dyDescent="0.25">
      <c r="A369" s="14">
        <v>52139</v>
      </c>
      <c r="B369" s="17">
        <f>CHOOSE(CONTROL!$C$42, 15.4516, 15.4516) * CHOOSE(CONTROL!$C$21, $C$9, 100%, $E$9)</f>
        <v>15.451599999999999</v>
      </c>
      <c r="C369" s="17">
        <f>CHOOSE(CONTROL!$C$42, 15.4595, 15.4595) * CHOOSE(CONTROL!$C$21, $C$9, 100%, $E$9)</f>
        <v>15.4595</v>
      </c>
      <c r="D369" s="17">
        <f>CHOOSE(CONTROL!$C$42, 15.704, 15.704) * CHOOSE(CONTROL!$C$21, $C$9, 100%, $E$9)</f>
        <v>15.704000000000001</v>
      </c>
      <c r="E369" s="17">
        <f>CHOOSE(CONTROL!$C$42, 15.7352, 15.7352) * CHOOSE(CONTROL!$C$21, $C$9, 100%, $E$9)</f>
        <v>15.735200000000001</v>
      </c>
      <c r="F369" s="17">
        <f>CHOOSE(CONTROL!$C$42, 15.4632, 15.4632)*CHOOSE(CONTROL!$C$21, $C$9, 100%, $E$9)</f>
        <v>15.463200000000001</v>
      </c>
      <c r="G369" s="17">
        <f>CHOOSE(CONTROL!$C$42, 15.4797, 15.4797)*CHOOSE(CONTROL!$C$21, $C$9, 100%, $E$9)</f>
        <v>15.479699999999999</v>
      </c>
      <c r="H369" s="17">
        <f>CHOOSE(CONTROL!$C$42, 15.7235, 15.7235) * CHOOSE(CONTROL!$C$21, $C$9, 100%, $E$9)</f>
        <v>15.7235</v>
      </c>
      <c r="I369" s="17">
        <f>CHOOSE(CONTROL!$C$42, 15.5208, 15.5208)* CHOOSE(CONTROL!$C$21, $C$9, 100%, $E$9)</f>
        <v>15.520799999999999</v>
      </c>
      <c r="J369" s="17">
        <f>CHOOSE(CONTROL!$C$42, 15.4558, 15.4558)* CHOOSE(CONTROL!$C$21, $C$9, 100%, $E$9)</f>
        <v>15.4558</v>
      </c>
      <c r="K369" s="52">
        <f>CHOOSE(CONTROL!$C$42, 15.5147, 15.5147) * CHOOSE(CONTROL!$C$21, $C$9, 100%, $E$9)</f>
        <v>15.514699999999999</v>
      </c>
      <c r="L369" s="17">
        <f>CHOOSE(CONTROL!$C$42, 16.3105, 16.3105) * CHOOSE(CONTROL!$C$21, $C$9, 100%, $E$9)</f>
        <v>16.310500000000001</v>
      </c>
      <c r="M369" s="17">
        <f>CHOOSE(CONTROL!$C$42, 15.3238, 15.3238) * CHOOSE(CONTROL!$C$21, $C$9, 100%, $E$9)</f>
        <v>15.3238</v>
      </c>
      <c r="N369" s="17">
        <f>CHOOSE(CONTROL!$C$42, 15.3401, 15.3401) * CHOOSE(CONTROL!$C$21, $C$9, 100%, $E$9)</f>
        <v>15.3401</v>
      </c>
      <c r="O369" s="17">
        <f>CHOOSE(CONTROL!$C$42, 15.5891, 15.5891) * CHOOSE(CONTROL!$C$21, $C$9, 100%, $E$9)</f>
        <v>15.5891</v>
      </c>
      <c r="P369" s="17">
        <f>CHOOSE(CONTROL!$C$42, 15.3878, 15.3878) * CHOOSE(CONTROL!$C$21, $C$9, 100%, $E$9)</f>
        <v>15.3878</v>
      </c>
      <c r="Q369" s="17">
        <f>CHOOSE(CONTROL!$C$42, 16.1838, 16.1838) * CHOOSE(CONTROL!$C$21, $C$9, 100%, $E$9)</f>
        <v>16.183800000000002</v>
      </c>
      <c r="R369" s="17">
        <f>CHOOSE(CONTROL!$C$42, 16.8113, 16.8113) * CHOOSE(CONTROL!$C$21, $C$9, 100%, $E$9)</f>
        <v>16.811299999999999</v>
      </c>
      <c r="S369" s="17">
        <f>CHOOSE(CONTROL!$C$42, 14.9718, 14.9718) * CHOOSE(CONTROL!$C$21, $C$9, 100%, $E$9)</f>
        <v>14.9718</v>
      </c>
      <c r="T36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69" s="56">
        <f>(1000*CHOOSE(CONTROL!$C$42, 695, 695)*CHOOSE(CONTROL!$C$42, 0.5599, 0.5599)*CHOOSE(CONTROL!$C$42, 30, 30))/1000000</f>
        <v>11.673914999999997</v>
      </c>
      <c r="V369" s="56">
        <f>(1000*CHOOSE(CONTROL!$C$42, 500, 500)*CHOOSE(CONTROL!$C$42, 0.275, 0.275)*CHOOSE(CONTROL!$C$42, 30, 30))/1000000</f>
        <v>4.125</v>
      </c>
      <c r="W369" s="56">
        <f>(1000*CHOOSE(CONTROL!$C$42, 0.0916, 0.0916)*CHOOSE(CONTROL!$C$42, 121.5, 121.5)*CHOOSE(CONTROL!$C$42, 30, 30))/1000000</f>
        <v>0.33388200000000001</v>
      </c>
      <c r="X369" s="56">
        <f>(30*0.1790888*145000/1000000)+(30*0.2374*100000/1000000)</f>
        <v>1.4912362799999999</v>
      </c>
      <c r="Y369" s="56"/>
      <c r="Z369" s="17"/>
      <c r="AA369" s="55"/>
      <c r="AB369" s="48">
        <f>(B369*194.205+C369*267.466+D369*133.845+E369*153.484+F369*40+G369*85+H369*0+I369*100+J369*300)/(194.205+267.466+133.845+153.484+0+40+85+100+300)</f>
        <v>15.52260158697017</v>
      </c>
      <c r="AC369" s="45">
        <f>(M369*'RAP TEMPLATE-GAS AVAILABILITY'!O368+N369*'RAP TEMPLATE-GAS AVAILABILITY'!P368+O369*'RAP TEMPLATE-GAS AVAILABILITY'!Q368+P369*'RAP TEMPLATE-GAS AVAILABILITY'!R368)/('RAP TEMPLATE-GAS AVAILABILITY'!O368+'RAP TEMPLATE-GAS AVAILABILITY'!P368+'RAP TEMPLATE-GAS AVAILABILITY'!Q368+'RAP TEMPLATE-GAS AVAILABILITY'!R368)</f>
        <v>15.41119784172662</v>
      </c>
    </row>
    <row r="370" spans="1:29" ht="15.75" x14ac:dyDescent="0.25">
      <c r="A370" s="14">
        <v>52170</v>
      </c>
      <c r="B370" s="17">
        <f>CHOOSE(CONTROL!$C$42, 15.1364, 15.1364) * CHOOSE(CONTROL!$C$21, $C$9, 100%, $E$9)</f>
        <v>15.1364</v>
      </c>
      <c r="C370" s="17">
        <f>CHOOSE(CONTROL!$C$42, 15.1417, 15.1417) * CHOOSE(CONTROL!$C$21, $C$9, 100%, $E$9)</f>
        <v>15.1417</v>
      </c>
      <c r="D370" s="17">
        <f>CHOOSE(CONTROL!$C$42, 15.391, 15.391) * CHOOSE(CONTROL!$C$21, $C$9, 100%, $E$9)</f>
        <v>15.391</v>
      </c>
      <c r="E370" s="17">
        <f>CHOOSE(CONTROL!$C$42, 15.4199, 15.4199) * CHOOSE(CONTROL!$C$21, $C$9, 100%, $E$9)</f>
        <v>15.4199</v>
      </c>
      <c r="F370" s="17">
        <f>CHOOSE(CONTROL!$C$42, 15.1502, 15.1502)*CHOOSE(CONTROL!$C$21, $C$9, 100%, $E$9)</f>
        <v>15.1502</v>
      </c>
      <c r="G370" s="17">
        <f>CHOOSE(CONTROL!$C$42, 15.1666, 15.1666)*CHOOSE(CONTROL!$C$21, $C$9, 100%, $E$9)</f>
        <v>15.166600000000001</v>
      </c>
      <c r="H370" s="17">
        <f>CHOOSE(CONTROL!$C$42, 15.41, 15.41) * CHOOSE(CONTROL!$C$21, $C$9, 100%, $E$9)</f>
        <v>15.41</v>
      </c>
      <c r="I370" s="17">
        <f>CHOOSE(CONTROL!$C$42, 15.2063, 15.2063)* CHOOSE(CONTROL!$C$21, $C$9, 100%, $E$9)</f>
        <v>15.206300000000001</v>
      </c>
      <c r="J370" s="17">
        <f>CHOOSE(CONTROL!$C$42, 15.1428, 15.1428)* CHOOSE(CONTROL!$C$21, $C$9, 100%, $E$9)</f>
        <v>15.142799999999999</v>
      </c>
      <c r="K370" s="52">
        <f>CHOOSE(CONTROL!$C$42, 15.2003, 15.2003) * CHOOSE(CONTROL!$C$21, $C$9, 100%, $E$9)</f>
        <v>15.2003</v>
      </c>
      <c r="L370" s="17">
        <f>CHOOSE(CONTROL!$C$42, 15.997, 15.997) * CHOOSE(CONTROL!$C$21, $C$9, 100%, $E$9)</f>
        <v>15.997</v>
      </c>
      <c r="M370" s="17">
        <f>CHOOSE(CONTROL!$C$42, 15.0136, 15.0136) * CHOOSE(CONTROL!$C$21, $C$9, 100%, $E$9)</f>
        <v>15.0136</v>
      </c>
      <c r="N370" s="17">
        <f>CHOOSE(CONTROL!$C$42, 15.0298, 15.0298) * CHOOSE(CONTROL!$C$21, $C$9, 100%, $E$9)</f>
        <v>15.0298</v>
      </c>
      <c r="O370" s="17">
        <f>CHOOSE(CONTROL!$C$42, 15.2785, 15.2785) * CHOOSE(CONTROL!$C$21, $C$9, 100%, $E$9)</f>
        <v>15.278499999999999</v>
      </c>
      <c r="P370" s="17">
        <f>CHOOSE(CONTROL!$C$42, 15.0762, 15.0762) * CHOOSE(CONTROL!$C$21, $C$9, 100%, $E$9)</f>
        <v>15.0762</v>
      </c>
      <c r="Q370" s="17">
        <f>CHOOSE(CONTROL!$C$42, 15.8732, 15.8732) * CHOOSE(CONTROL!$C$21, $C$9, 100%, $E$9)</f>
        <v>15.873200000000001</v>
      </c>
      <c r="R370" s="17">
        <f>CHOOSE(CONTROL!$C$42, 16.4998, 16.4998) * CHOOSE(CONTROL!$C$21, $C$9, 100%, $E$9)</f>
        <v>16.4998</v>
      </c>
      <c r="S370" s="17">
        <f>CHOOSE(CONTROL!$C$42, 14.6678, 14.6678) * CHOOSE(CONTROL!$C$21, $C$9, 100%, $E$9)</f>
        <v>14.6678</v>
      </c>
      <c r="T37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70" s="56">
        <f>(1000*CHOOSE(CONTROL!$C$42, 695, 695)*CHOOSE(CONTROL!$C$42, 0.5599, 0.5599)*CHOOSE(CONTROL!$C$42, 31, 31))/1000000</f>
        <v>12.063045499999998</v>
      </c>
      <c r="V370" s="56">
        <f>(1000*CHOOSE(CONTROL!$C$42, 500, 500)*CHOOSE(CONTROL!$C$42, 0.275, 0.275)*CHOOSE(CONTROL!$C$42, 31, 31))/1000000</f>
        <v>4.2625000000000002</v>
      </c>
      <c r="W370" s="56">
        <f>(1000*CHOOSE(CONTROL!$C$42, 0.0916, 0.0916)*CHOOSE(CONTROL!$C$42, 121.5, 121.5)*CHOOSE(CONTROL!$C$42, 31, 31))/1000000</f>
        <v>0.34501139999999997</v>
      </c>
      <c r="X370" s="56">
        <f>(31*0.1790888*145000/1000000)+(31*0.2374*100000/1000000)</f>
        <v>1.5409441560000001</v>
      </c>
      <c r="Y370" s="56"/>
      <c r="Z370" s="17"/>
      <c r="AA370" s="55"/>
      <c r="AB370" s="48">
        <f>(B370*131.881+C370*277.167+D370*79.08+E370*225.872+F370*40+G370*85+H370*0+I370*100+J370*300)/(131.881+277.167+79.08+225.872+0+40+85+100+300)</f>
        <v>15.215226848345438</v>
      </c>
      <c r="AC370" s="45">
        <f>(M370*'RAP TEMPLATE-GAS AVAILABILITY'!O369+N370*'RAP TEMPLATE-GAS AVAILABILITY'!P369+O370*'RAP TEMPLATE-GAS AVAILABILITY'!Q369+P370*'RAP TEMPLATE-GAS AVAILABILITY'!R369)/('RAP TEMPLATE-GAS AVAILABILITY'!O369+'RAP TEMPLATE-GAS AVAILABILITY'!P369+'RAP TEMPLATE-GAS AVAILABILITY'!Q369+'RAP TEMPLATE-GAS AVAILABILITY'!R369)</f>
        <v>15.100661151079137</v>
      </c>
    </row>
    <row r="371" spans="1:29" ht="15.75" x14ac:dyDescent="0.25">
      <c r="A371" s="14">
        <v>52200</v>
      </c>
      <c r="B371" s="17">
        <f>CHOOSE(CONTROL!$C$42, 15.5344, 15.5344) * CHOOSE(CONTROL!$C$21, $C$9, 100%, $E$9)</f>
        <v>15.5344</v>
      </c>
      <c r="C371" s="17">
        <f>CHOOSE(CONTROL!$C$42, 15.5395, 15.5395) * CHOOSE(CONTROL!$C$21, $C$9, 100%, $E$9)</f>
        <v>15.5395</v>
      </c>
      <c r="D371" s="17">
        <f>CHOOSE(CONTROL!$C$42, 15.6209, 15.6209) * CHOOSE(CONTROL!$C$21, $C$9, 100%, $E$9)</f>
        <v>15.620900000000001</v>
      </c>
      <c r="E371" s="17">
        <f>CHOOSE(CONTROL!$C$42, 15.6546, 15.6546) * CHOOSE(CONTROL!$C$21, $C$9, 100%, $E$9)</f>
        <v>15.6546</v>
      </c>
      <c r="F371" s="17">
        <f>CHOOSE(CONTROL!$C$42, 15.5524, 15.5524)*CHOOSE(CONTROL!$C$21, $C$9, 100%, $E$9)</f>
        <v>15.5524</v>
      </c>
      <c r="G371" s="17">
        <f>CHOOSE(CONTROL!$C$42, 15.5691, 15.5691)*CHOOSE(CONTROL!$C$21, $C$9, 100%, $E$9)</f>
        <v>15.569100000000001</v>
      </c>
      <c r="H371" s="17">
        <f>CHOOSE(CONTROL!$C$42, 15.6435, 15.6435) * CHOOSE(CONTROL!$C$21, $C$9, 100%, $E$9)</f>
        <v>15.6435</v>
      </c>
      <c r="I371" s="17">
        <f>CHOOSE(CONTROL!$C$42, 15.6076, 15.6076)* CHOOSE(CONTROL!$C$21, $C$9, 100%, $E$9)</f>
        <v>15.6076</v>
      </c>
      <c r="J371" s="17">
        <f>CHOOSE(CONTROL!$C$42, 15.545, 15.545)* CHOOSE(CONTROL!$C$21, $C$9, 100%, $E$9)</f>
        <v>15.545</v>
      </c>
      <c r="K371" s="52">
        <f>CHOOSE(CONTROL!$C$42, 15.6016, 15.6016) * CHOOSE(CONTROL!$C$21, $C$9, 100%, $E$9)</f>
        <v>15.601599999999999</v>
      </c>
      <c r="L371" s="17">
        <f>CHOOSE(CONTROL!$C$42, 16.2305, 16.2305) * CHOOSE(CONTROL!$C$21, $C$9, 100%, $E$9)</f>
        <v>16.230499999999999</v>
      </c>
      <c r="M371" s="17">
        <f>CHOOSE(CONTROL!$C$42, 15.4122, 15.4122) * CHOOSE(CONTROL!$C$21, $C$9, 100%, $E$9)</f>
        <v>15.4122</v>
      </c>
      <c r="N371" s="17">
        <f>CHOOSE(CONTROL!$C$42, 15.4288, 15.4288) * CHOOSE(CONTROL!$C$21, $C$9, 100%, $E$9)</f>
        <v>15.428800000000001</v>
      </c>
      <c r="O371" s="17">
        <f>CHOOSE(CONTROL!$C$42, 15.5098, 15.5098) * CHOOSE(CONTROL!$C$21, $C$9, 100%, $E$9)</f>
        <v>15.5098</v>
      </c>
      <c r="P371" s="17">
        <f>CHOOSE(CONTROL!$C$42, 15.4739, 15.4739) * CHOOSE(CONTROL!$C$21, $C$9, 100%, $E$9)</f>
        <v>15.4739</v>
      </c>
      <c r="Q371" s="17">
        <f>CHOOSE(CONTROL!$C$42, 16.1045, 16.1045) * CHOOSE(CONTROL!$C$21, $C$9, 100%, $E$9)</f>
        <v>16.104500000000002</v>
      </c>
      <c r="R371" s="17">
        <f>CHOOSE(CONTROL!$C$42, 16.7318, 16.7318) * CHOOSE(CONTROL!$C$21, $C$9, 100%, $E$9)</f>
        <v>16.7318</v>
      </c>
      <c r="S371" s="17">
        <f>CHOOSE(CONTROL!$C$42, 15.0542, 15.0542) * CHOOSE(CONTROL!$C$21, $C$9, 100%, $E$9)</f>
        <v>15.0542</v>
      </c>
      <c r="T37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71" s="56">
        <f>(1000*CHOOSE(CONTROL!$C$42, 695, 695)*CHOOSE(CONTROL!$C$42, 0.5599, 0.5599)*CHOOSE(CONTROL!$C$42, 30, 30))/1000000</f>
        <v>11.673914999999997</v>
      </c>
      <c r="V371" s="56">
        <f>(1000*CHOOSE(CONTROL!$C$42, 500, 500)*CHOOSE(CONTROL!$C$42, 0.275, 0.275)*CHOOSE(CONTROL!$C$42, 30, 30))/1000000</f>
        <v>4.125</v>
      </c>
      <c r="W371" s="56">
        <f>(1000*CHOOSE(CONTROL!$C$42, 0.0916, 0.0916)*CHOOSE(CONTROL!$C$42, 121.5, 121.5)*CHOOSE(CONTROL!$C$42, 30, 30))/1000000</f>
        <v>0.33388200000000001</v>
      </c>
      <c r="X371" s="56">
        <f>(30*0.2374*100000/1000000)</f>
        <v>0.71220000000000006</v>
      </c>
      <c r="Y371" s="56"/>
      <c r="Z371" s="17"/>
      <c r="AA371" s="55"/>
      <c r="AB371" s="48">
        <f>(B371*122.58+C371*297.941+D371*89.177+E371*140.302+F371*40+G371*60+H371*0+I371*100+J371*300)/(122.58+297.941+89.177+140.302+0+40+60+100+300)</f>
        <v>15.56866053043478</v>
      </c>
      <c r="AC371" s="45">
        <f>(M371*'RAP TEMPLATE-GAS AVAILABILITY'!O370+N371*'RAP TEMPLATE-GAS AVAILABILITY'!P370+O371*'RAP TEMPLATE-GAS AVAILABILITY'!Q370+P371*'RAP TEMPLATE-GAS AVAILABILITY'!R370)/('RAP TEMPLATE-GAS AVAILABILITY'!O370+'RAP TEMPLATE-GAS AVAILABILITY'!P370+'RAP TEMPLATE-GAS AVAILABILITY'!Q370+'RAP TEMPLATE-GAS AVAILABILITY'!R370)</f>
        <v>15.466269064748202</v>
      </c>
    </row>
    <row r="372" spans="1:29" ht="15.75" x14ac:dyDescent="0.25">
      <c r="A372" s="14">
        <v>52231</v>
      </c>
      <c r="B372" s="17">
        <f>CHOOSE(CONTROL!$C$42, 16.5928, 16.5928) * CHOOSE(CONTROL!$C$21, $C$9, 100%, $E$9)</f>
        <v>16.5928</v>
      </c>
      <c r="C372" s="17">
        <f>CHOOSE(CONTROL!$C$42, 16.5979, 16.5979) * CHOOSE(CONTROL!$C$21, $C$9, 100%, $E$9)</f>
        <v>16.597899999999999</v>
      </c>
      <c r="D372" s="17">
        <f>CHOOSE(CONTROL!$C$42, 16.6793, 16.6793) * CHOOSE(CONTROL!$C$21, $C$9, 100%, $E$9)</f>
        <v>16.679300000000001</v>
      </c>
      <c r="E372" s="17">
        <f>CHOOSE(CONTROL!$C$42, 16.7131, 16.7131) * CHOOSE(CONTROL!$C$21, $C$9, 100%, $E$9)</f>
        <v>16.713100000000001</v>
      </c>
      <c r="F372" s="17">
        <f>CHOOSE(CONTROL!$C$42, 16.6132, 16.6132)*CHOOSE(CONTROL!$C$21, $C$9, 100%, $E$9)</f>
        <v>16.613199999999999</v>
      </c>
      <c r="G372" s="17">
        <f>CHOOSE(CONTROL!$C$42, 16.6305, 16.6305)*CHOOSE(CONTROL!$C$21, $C$9, 100%, $E$9)</f>
        <v>16.630500000000001</v>
      </c>
      <c r="H372" s="17">
        <f>CHOOSE(CONTROL!$C$42, 16.7019, 16.7019) * CHOOSE(CONTROL!$C$21, $C$9, 100%, $E$9)</f>
        <v>16.701899999999998</v>
      </c>
      <c r="I372" s="17">
        <f>CHOOSE(CONTROL!$C$42, 16.6693, 16.6693)* CHOOSE(CONTROL!$C$21, $C$9, 100%, $E$9)</f>
        <v>16.6693</v>
      </c>
      <c r="J372" s="17">
        <f>CHOOSE(CONTROL!$C$42, 16.6058, 16.6058)* CHOOSE(CONTROL!$C$21, $C$9, 100%, $E$9)</f>
        <v>16.605799999999999</v>
      </c>
      <c r="K372" s="52">
        <f>CHOOSE(CONTROL!$C$42, 16.6632, 16.6632) * CHOOSE(CONTROL!$C$21, $C$9, 100%, $E$9)</f>
        <v>16.6632</v>
      </c>
      <c r="L372" s="17">
        <f>CHOOSE(CONTROL!$C$42, 17.2889, 17.2889) * CHOOSE(CONTROL!$C$21, $C$9, 100%, $E$9)</f>
        <v>17.288900000000002</v>
      </c>
      <c r="M372" s="17">
        <f>CHOOSE(CONTROL!$C$42, 16.4634, 16.4634) * CHOOSE(CONTROL!$C$21, $C$9, 100%, $E$9)</f>
        <v>16.4634</v>
      </c>
      <c r="N372" s="17">
        <f>CHOOSE(CONTROL!$C$42, 16.4806, 16.4806) * CHOOSE(CONTROL!$C$21, $C$9, 100%, $E$9)</f>
        <v>16.480599999999999</v>
      </c>
      <c r="O372" s="17">
        <f>CHOOSE(CONTROL!$C$42, 16.5587, 16.5587) * CHOOSE(CONTROL!$C$21, $C$9, 100%, $E$9)</f>
        <v>16.558700000000002</v>
      </c>
      <c r="P372" s="17">
        <f>CHOOSE(CONTROL!$C$42, 16.526, 16.526) * CHOOSE(CONTROL!$C$21, $C$9, 100%, $E$9)</f>
        <v>16.526</v>
      </c>
      <c r="Q372" s="17">
        <f>CHOOSE(CONTROL!$C$42, 17.1534, 17.1534) * CHOOSE(CONTROL!$C$21, $C$9, 100%, $E$9)</f>
        <v>17.153400000000001</v>
      </c>
      <c r="R372" s="17">
        <f>CHOOSE(CONTROL!$C$42, 17.7833, 17.7833) * CHOOSE(CONTROL!$C$21, $C$9, 100%, $E$9)</f>
        <v>17.783300000000001</v>
      </c>
      <c r="S372" s="17">
        <f>CHOOSE(CONTROL!$C$42, 16.0806, 16.0806) * CHOOSE(CONTROL!$C$21, $C$9, 100%, $E$9)</f>
        <v>16.0806</v>
      </c>
      <c r="T37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72" s="56">
        <f>(1000*CHOOSE(CONTROL!$C$42, 695, 695)*CHOOSE(CONTROL!$C$42, 0.5599, 0.5599)*CHOOSE(CONTROL!$C$42, 31, 31))/1000000</f>
        <v>12.063045499999998</v>
      </c>
      <c r="V372" s="56">
        <f>(1000*CHOOSE(CONTROL!$C$42, 500, 500)*CHOOSE(CONTROL!$C$42, 0.275, 0.275)*CHOOSE(CONTROL!$C$42, 31, 31))/1000000</f>
        <v>4.2625000000000002</v>
      </c>
      <c r="W372" s="56">
        <f>(1000*CHOOSE(CONTROL!$C$42, 0.0916, 0.0916)*CHOOSE(CONTROL!$C$42, 121.5, 121.5)*CHOOSE(CONTROL!$C$42, 31, 31))/1000000</f>
        <v>0.34501139999999997</v>
      </c>
      <c r="X372" s="56">
        <f>(31*0.2374*100000/1000000)</f>
        <v>0.73594000000000004</v>
      </c>
      <c r="Y372" s="56"/>
      <c r="Z372" s="17"/>
      <c r="AA372" s="55"/>
      <c r="AB372" s="48">
        <f>(B372*122.58+C372*297.941+D372*89.177+E372*140.302+F372*40+G372*60+H372*0+I372*100+J372*300)/(122.58+297.941+89.177+140.302+0+40+60+100+300)</f>
        <v>16.62822577408696</v>
      </c>
      <c r="AC372" s="45">
        <f>(M372*'RAP TEMPLATE-GAS AVAILABILITY'!O371+N372*'RAP TEMPLATE-GAS AVAILABILITY'!P371+O372*'RAP TEMPLATE-GAS AVAILABILITY'!Q371+P372*'RAP TEMPLATE-GAS AVAILABILITY'!R371)/('RAP TEMPLATE-GAS AVAILABILITY'!O371+'RAP TEMPLATE-GAS AVAILABILITY'!P371+'RAP TEMPLATE-GAS AVAILABILITY'!Q371+'RAP TEMPLATE-GAS AVAILABILITY'!R371)</f>
        <v>16.516590647482015</v>
      </c>
    </row>
    <row r="373" spans="1:29" ht="15.75" x14ac:dyDescent="0.25">
      <c r="A373" s="14">
        <v>52262</v>
      </c>
      <c r="B373" s="17">
        <f>CHOOSE(CONTROL!$C$42, 17.9675, 17.9675) * CHOOSE(CONTROL!$C$21, $C$9, 100%, $E$9)</f>
        <v>17.967500000000001</v>
      </c>
      <c r="C373" s="17">
        <f>CHOOSE(CONTROL!$C$42, 17.9726, 17.9726) * CHOOSE(CONTROL!$C$21, $C$9, 100%, $E$9)</f>
        <v>17.9726</v>
      </c>
      <c r="D373" s="17">
        <f>CHOOSE(CONTROL!$C$42, 18.0694, 18.0694) * CHOOSE(CONTROL!$C$21, $C$9, 100%, $E$9)</f>
        <v>18.069400000000002</v>
      </c>
      <c r="E373" s="17">
        <f>CHOOSE(CONTROL!$C$42, 18.1032, 18.1032) * CHOOSE(CONTROL!$C$21, $C$9, 100%, $E$9)</f>
        <v>18.103200000000001</v>
      </c>
      <c r="F373" s="17">
        <f>CHOOSE(CONTROL!$C$42, 17.9818, 17.9818)*CHOOSE(CONTROL!$C$21, $C$9, 100%, $E$9)</f>
        <v>17.9818</v>
      </c>
      <c r="G373" s="17">
        <f>CHOOSE(CONTROL!$C$42, 17.9982, 17.9982)*CHOOSE(CONTROL!$C$21, $C$9, 100%, $E$9)</f>
        <v>17.998200000000001</v>
      </c>
      <c r="H373" s="17">
        <f>CHOOSE(CONTROL!$C$42, 18.0921, 18.0921) * CHOOSE(CONTROL!$C$21, $C$9, 100%, $E$9)</f>
        <v>18.092099999999999</v>
      </c>
      <c r="I373" s="17">
        <f>CHOOSE(CONTROL!$C$42, 18.0482, 18.0482)* CHOOSE(CONTROL!$C$21, $C$9, 100%, $E$9)</f>
        <v>18.048200000000001</v>
      </c>
      <c r="J373" s="17">
        <f>CHOOSE(CONTROL!$C$42, 17.9744, 17.9744)* CHOOSE(CONTROL!$C$21, $C$9, 100%, $E$9)</f>
        <v>17.974399999999999</v>
      </c>
      <c r="K373" s="52">
        <f>CHOOSE(CONTROL!$C$42, 18.0422, 18.0422) * CHOOSE(CONTROL!$C$21, $C$9, 100%, $E$9)</f>
        <v>18.042200000000001</v>
      </c>
      <c r="L373" s="17">
        <f>CHOOSE(CONTROL!$C$42, 18.6791, 18.6791) * CHOOSE(CONTROL!$C$21, $C$9, 100%, $E$9)</f>
        <v>18.679099999999998</v>
      </c>
      <c r="M373" s="17">
        <f>CHOOSE(CONTROL!$C$42, 17.8197, 17.8197) * CHOOSE(CONTROL!$C$21, $C$9, 100%, $E$9)</f>
        <v>17.819700000000001</v>
      </c>
      <c r="N373" s="17">
        <f>CHOOSE(CONTROL!$C$42, 17.836, 17.836) * CHOOSE(CONTROL!$C$21, $C$9, 100%, $E$9)</f>
        <v>17.835999999999999</v>
      </c>
      <c r="O373" s="17">
        <f>CHOOSE(CONTROL!$C$42, 17.9364, 17.9364) * CHOOSE(CONTROL!$C$21, $C$9, 100%, $E$9)</f>
        <v>17.936399999999999</v>
      </c>
      <c r="P373" s="17">
        <f>CHOOSE(CONTROL!$C$42, 17.8925, 17.8925) * CHOOSE(CONTROL!$C$21, $C$9, 100%, $E$9)</f>
        <v>17.892499999999998</v>
      </c>
      <c r="Q373" s="17">
        <f>CHOOSE(CONTROL!$C$42, 18.5311, 18.5311) * CHOOSE(CONTROL!$C$21, $C$9, 100%, $E$9)</f>
        <v>18.531099999999999</v>
      </c>
      <c r="R373" s="17">
        <f>CHOOSE(CONTROL!$C$42, 19.1644, 19.1644) * CHOOSE(CONTROL!$C$21, $C$9, 100%, $E$9)</f>
        <v>19.164400000000001</v>
      </c>
      <c r="S373" s="17">
        <f>CHOOSE(CONTROL!$C$42, 17.4136, 17.4136) * CHOOSE(CONTROL!$C$21, $C$9, 100%, $E$9)</f>
        <v>17.413599999999999</v>
      </c>
      <c r="T37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73" s="56">
        <f>(1000*CHOOSE(CONTROL!$C$42, 695, 695)*CHOOSE(CONTROL!$C$42, 0.5599, 0.5599)*CHOOSE(CONTROL!$C$42, 31, 31))/1000000</f>
        <v>12.063045499999998</v>
      </c>
      <c r="V373" s="56">
        <f>(1000*CHOOSE(CONTROL!$C$42, 500, 500)*CHOOSE(CONTROL!$C$42, 0.275, 0.275)*CHOOSE(CONTROL!$C$42, 31, 31))/1000000</f>
        <v>4.2625000000000002</v>
      </c>
      <c r="W373" s="56">
        <f>(1000*CHOOSE(CONTROL!$C$42, 0.0916, 0.0916)*CHOOSE(CONTROL!$C$42, 121.5, 121.5)*CHOOSE(CONTROL!$C$42, 31, 31))/1000000</f>
        <v>0.34501139999999997</v>
      </c>
      <c r="X373" s="56">
        <f>(31*0.2374*100000/1000000)</f>
        <v>0.73594000000000004</v>
      </c>
      <c r="Y373" s="56"/>
      <c r="Z373" s="17"/>
      <c r="AA373" s="55"/>
      <c r="AB373" s="48">
        <f>(B373*122.58+C373*297.941+D373*89.177+E373*140.302+F373*40+G373*60+H373*0+I373*100+J373*300)/(122.58+297.941+89.177+140.302+0+40+60+100+300)</f>
        <v>18.004195318956523</v>
      </c>
      <c r="AC373" s="45">
        <f>(M373*'RAP TEMPLATE-GAS AVAILABILITY'!O372+N373*'RAP TEMPLATE-GAS AVAILABILITY'!P372+O373*'RAP TEMPLATE-GAS AVAILABILITY'!Q372+P373*'RAP TEMPLATE-GAS AVAILABILITY'!R372)/('RAP TEMPLATE-GAS AVAILABILITY'!O372+'RAP TEMPLATE-GAS AVAILABILITY'!P372+'RAP TEMPLATE-GAS AVAILABILITY'!Q372+'RAP TEMPLATE-GAS AVAILABILITY'!R372)</f>
        <v>17.88400575539568</v>
      </c>
    </row>
    <row r="374" spans="1:29" ht="15.75" x14ac:dyDescent="0.25">
      <c r="A374" s="14">
        <v>52290</v>
      </c>
      <c r="B374" s="17">
        <f>CHOOSE(CONTROL!$C$42, 18.2872, 18.2872) * CHOOSE(CONTROL!$C$21, $C$9, 100%, $E$9)</f>
        <v>18.287199999999999</v>
      </c>
      <c r="C374" s="17">
        <f>CHOOSE(CONTROL!$C$42, 18.2923, 18.2923) * CHOOSE(CONTROL!$C$21, $C$9, 100%, $E$9)</f>
        <v>18.292300000000001</v>
      </c>
      <c r="D374" s="17">
        <f>CHOOSE(CONTROL!$C$42, 18.3891, 18.3891) * CHOOSE(CONTROL!$C$21, $C$9, 100%, $E$9)</f>
        <v>18.389099999999999</v>
      </c>
      <c r="E374" s="17">
        <f>CHOOSE(CONTROL!$C$42, 18.4229, 18.4229) * CHOOSE(CONTROL!$C$21, $C$9, 100%, $E$9)</f>
        <v>18.422899999999998</v>
      </c>
      <c r="F374" s="17">
        <f>CHOOSE(CONTROL!$C$42, 18.3014, 18.3014)*CHOOSE(CONTROL!$C$21, $C$9, 100%, $E$9)</f>
        <v>18.301400000000001</v>
      </c>
      <c r="G374" s="17">
        <f>CHOOSE(CONTROL!$C$42, 18.3179, 18.3179)*CHOOSE(CONTROL!$C$21, $C$9, 100%, $E$9)</f>
        <v>18.317900000000002</v>
      </c>
      <c r="H374" s="17">
        <f>CHOOSE(CONTROL!$C$42, 18.4117, 18.4117) * CHOOSE(CONTROL!$C$21, $C$9, 100%, $E$9)</f>
        <v>18.4117</v>
      </c>
      <c r="I374" s="17">
        <f>CHOOSE(CONTROL!$C$42, 18.3689, 18.3689)* CHOOSE(CONTROL!$C$21, $C$9, 100%, $E$9)</f>
        <v>18.3689</v>
      </c>
      <c r="J374" s="17">
        <f>CHOOSE(CONTROL!$C$42, 18.294, 18.294)* CHOOSE(CONTROL!$C$21, $C$9, 100%, $E$9)</f>
        <v>18.294</v>
      </c>
      <c r="K374" s="52">
        <f>CHOOSE(CONTROL!$C$42, 18.3629, 18.3629) * CHOOSE(CONTROL!$C$21, $C$9, 100%, $E$9)</f>
        <v>18.3629</v>
      </c>
      <c r="L374" s="17">
        <f>CHOOSE(CONTROL!$C$42, 18.9987, 18.9987) * CHOOSE(CONTROL!$C$21, $C$9, 100%, $E$9)</f>
        <v>18.998699999999999</v>
      </c>
      <c r="M374" s="17">
        <f>CHOOSE(CONTROL!$C$42, 18.1365, 18.1365) * CHOOSE(CONTROL!$C$21, $C$9, 100%, $E$9)</f>
        <v>18.136500000000002</v>
      </c>
      <c r="N374" s="17">
        <f>CHOOSE(CONTROL!$C$42, 18.1528, 18.1528) * CHOOSE(CONTROL!$C$21, $C$9, 100%, $E$9)</f>
        <v>18.152799999999999</v>
      </c>
      <c r="O374" s="17">
        <f>CHOOSE(CONTROL!$C$42, 18.2532, 18.2532) * CHOOSE(CONTROL!$C$21, $C$9, 100%, $E$9)</f>
        <v>18.2532</v>
      </c>
      <c r="P374" s="17">
        <f>CHOOSE(CONTROL!$C$42, 18.2102, 18.2102) * CHOOSE(CONTROL!$C$21, $C$9, 100%, $E$9)</f>
        <v>18.2102</v>
      </c>
      <c r="Q374" s="17">
        <f>CHOOSE(CONTROL!$C$42, 18.8479, 18.8479) * CHOOSE(CONTROL!$C$21, $C$9, 100%, $E$9)</f>
        <v>18.847899999999999</v>
      </c>
      <c r="R374" s="17">
        <f>CHOOSE(CONTROL!$C$42, 19.482, 19.482) * CHOOSE(CONTROL!$C$21, $C$9, 100%, $E$9)</f>
        <v>19.481999999999999</v>
      </c>
      <c r="S374" s="17">
        <f>CHOOSE(CONTROL!$C$42, 17.7236, 17.7236) * CHOOSE(CONTROL!$C$21, $C$9, 100%, $E$9)</f>
        <v>17.723600000000001</v>
      </c>
      <c r="T37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74" s="56">
        <f>(1000*CHOOSE(CONTROL!$C$42, 695, 695)*CHOOSE(CONTROL!$C$42, 0.5599, 0.5599)*CHOOSE(CONTROL!$C$42, 28, 28))/1000000</f>
        <v>10.895653999999999</v>
      </c>
      <c r="V374" s="56">
        <f>(1000*CHOOSE(CONTROL!$C$42, 500, 500)*CHOOSE(CONTROL!$C$42, 0.275, 0.275)*CHOOSE(CONTROL!$C$42, 28, 28))/1000000</f>
        <v>3.85</v>
      </c>
      <c r="W374" s="56">
        <f>(1000*CHOOSE(CONTROL!$C$42, 0.0916, 0.0916)*CHOOSE(CONTROL!$C$42, 121.5, 121.5)*CHOOSE(CONTROL!$C$42, 28, 28))/1000000</f>
        <v>0.31162319999999999</v>
      </c>
      <c r="X374" s="56">
        <f>(28*0.2374*100000/1000000)</f>
        <v>0.66471999999999998</v>
      </c>
      <c r="Y374" s="56"/>
      <c r="Z374" s="17"/>
      <c r="AA374" s="55"/>
      <c r="AB374" s="48">
        <f>(B374*122.58+C374*297.941+D374*89.177+E374*140.302+F374*40+G374*60+H374*0+I374*100+J374*300)/(122.58+297.941+89.177+140.302+0+40+60+100+300)</f>
        <v>18.323952710260869</v>
      </c>
      <c r="AC374" s="45">
        <f>(M374*'RAP TEMPLATE-GAS AVAILABILITY'!O373+N374*'RAP TEMPLATE-GAS AVAILABILITY'!P373+O374*'RAP TEMPLATE-GAS AVAILABILITY'!Q373+P374*'RAP TEMPLATE-GAS AVAILABILITY'!R373)/('RAP TEMPLATE-GAS AVAILABILITY'!O373+'RAP TEMPLATE-GAS AVAILABILITY'!P373+'RAP TEMPLATE-GAS AVAILABILITY'!Q373+'RAP TEMPLATE-GAS AVAILABILITY'!R373)</f>
        <v>18.200935251798562</v>
      </c>
    </row>
    <row r="375" spans="1:29" ht="15.75" x14ac:dyDescent="0.25">
      <c r="A375" s="14">
        <v>52321</v>
      </c>
      <c r="B375" s="17">
        <f>CHOOSE(CONTROL!$C$42, 17.7683, 17.7683) * CHOOSE(CONTROL!$C$21, $C$9, 100%, $E$9)</f>
        <v>17.7683</v>
      </c>
      <c r="C375" s="17">
        <f>CHOOSE(CONTROL!$C$42, 17.7734, 17.7734) * CHOOSE(CONTROL!$C$21, $C$9, 100%, $E$9)</f>
        <v>17.773399999999999</v>
      </c>
      <c r="D375" s="17">
        <f>CHOOSE(CONTROL!$C$42, 17.8702, 17.8702) * CHOOSE(CONTROL!$C$21, $C$9, 100%, $E$9)</f>
        <v>17.870200000000001</v>
      </c>
      <c r="E375" s="17">
        <f>CHOOSE(CONTROL!$C$42, 17.904, 17.904) * CHOOSE(CONTROL!$C$21, $C$9, 100%, $E$9)</f>
        <v>17.904</v>
      </c>
      <c r="F375" s="17">
        <f>CHOOSE(CONTROL!$C$42, 17.7819, 17.7819)*CHOOSE(CONTROL!$C$21, $C$9, 100%, $E$9)</f>
        <v>17.7819</v>
      </c>
      <c r="G375" s="17">
        <f>CHOOSE(CONTROL!$C$42, 17.7982, 17.7982)*CHOOSE(CONTROL!$C$21, $C$9, 100%, $E$9)</f>
        <v>17.798200000000001</v>
      </c>
      <c r="H375" s="17">
        <f>CHOOSE(CONTROL!$C$42, 17.8929, 17.8929) * CHOOSE(CONTROL!$C$21, $C$9, 100%, $E$9)</f>
        <v>17.892900000000001</v>
      </c>
      <c r="I375" s="17">
        <f>CHOOSE(CONTROL!$C$42, 17.8484, 17.8484)* CHOOSE(CONTROL!$C$21, $C$9, 100%, $E$9)</f>
        <v>17.848400000000002</v>
      </c>
      <c r="J375" s="17">
        <f>CHOOSE(CONTROL!$C$42, 17.7745, 17.7745)* CHOOSE(CONTROL!$C$21, $C$9, 100%, $E$9)</f>
        <v>17.7745</v>
      </c>
      <c r="K375" s="52">
        <f>CHOOSE(CONTROL!$C$42, 17.8424, 17.8424) * CHOOSE(CONTROL!$C$21, $C$9, 100%, $E$9)</f>
        <v>17.842400000000001</v>
      </c>
      <c r="L375" s="17">
        <f>CHOOSE(CONTROL!$C$42, 18.4799, 18.4799) * CHOOSE(CONTROL!$C$21, $C$9, 100%, $E$9)</f>
        <v>18.479900000000001</v>
      </c>
      <c r="M375" s="17">
        <f>CHOOSE(CONTROL!$C$42, 17.6217, 17.6217) * CHOOSE(CONTROL!$C$21, $C$9, 100%, $E$9)</f>
        <v>17.621700000000001</v>
      </c>
      <c r="N375" s="17">
        <f>CHOOSE(CONTROL!$C$42, 17.6378, 17.6378) * CHOOSE(CONTROL!$C$21, $C$9, 100%, $E$9)</f>
        <v>17.637799999999999</v>
      </c>
      <c r="O375" s="17">
        <f>CHOOSE(CONTROL!$C$42, 17.7389, 17.7389) * CHOOSE(CONTROL!$C$21, $C$9, 100%, $E$9)</f>
        <v>17.738900000000001</v>
      </c>
      <c r="P375" s="17">
        <f>CHOOSE(CONTROL!$C$42, 17.6944, 17.6944) * CHOOSE(CONTROL!$C$21, $C$9, 100%, $E$9)</f>
        <v>17.694400000000002</v>
      </c>
      <c r="Q375" s="17">
        <f>CHOOSE(CONTROL!$C$42, 18.3336, 18.3336) * CHOOSE(CONTROL!$C$21, $C$9, 100%, $E$9)</f>
        <v>18.333600000000001</v>
      </c>
      <c r="R375" s="17">
        <f>CHOOSE(CONTROL!$C$42, 18.9665, 18.9665) * CHOOSE(CONTROL!$C$21, $C$9, 100%, $E$9)</f>
        <v>18.9665</v>
      </c>
      <c r="S375" s="17">
        <f>CHOOSE(CONTROL!$C$42, 17.2204, 17.2204) * CHOOSE(CONTROL!$C$21, $C$9, 100%, $E$9)</f>
        <v>17.220400000000001</v>
      </c>
      <c r="T37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75" s="56">
        <f>(1000*CHOOSE(CONTROL!$C$42, 695, 695)*CHOOSE(CONTROL!$C$42, 0.5599, 0.5599)*CHOOSE(CONTROL!$C$42, 31, 31))/1000000</f>
        <v>12.063045499999998</v>
      </c>
      <c r="V375" s="56">
        <f>(1000*CHOOSE(CONTROL!$C$42, 500, 500)*CHOOSE(CONTROL!$C$42, 0.275, 0.275)*CHOOSE(CONTROL!$C$42, 31, 31))/1000000</f>
        <v>4.2625000000000002</v>
      </c>
      <c r="W375" s="56">
        <f>(1000*CHOOSE(CONTROL!$C$42, 0.0916, 0.0916)*CHOOSE(CONTROL!$C$42, 121.5, 121.5)*CHOOSE(CONTROL!$C$42, 31, 31))/1000000</f>
        <v>0.34501139999999997</v>
      </c>
      <c r="X375" s="56">
        <f>(31*0.2374*100000/1000000)</f>
        <v>0.73594000000000004</v>
      </c>
      <c r="Y375" s="56"/>
      <c r="Z375" s="17"/>
      <c r="AA375" s="55"/>
      <c r="AB375" s="48">
        <f>(B375*122.58+C375*297.941+D375*89.177+E375*140.302+F375*40+G375*60+H375*0+I375*100+J375*300)/(122.58+297.941+89.177+140.302+0+40+60+100+300)</f>
        <v>17.804694449391302</v>
      </c>
      <c r="AC375" s="45">
        <f>(M375*'RAP TEMPLATE-GAS AVAILABILITY'!O374+N375*'RAP TEMPLATE-GAS AVAILABILITY'!P374+O375*'RAP TEMPLATE-GAS AVAILABILITY'!Q374+P375*'RAP TEMPLATE-GAS AVAILABILITY'!R374)/('RAP TEMPLATE-GAS AVAILABILITY'!O374+'RAP TEMPLATE-GAS AVAILABILITY'!P374+'RAP TEMPLATE-GAS AVAILABILITY'!Q374+'RAP TEMPLATE-GAS AVAILABILITY'!R374)</f>
        <v>17.686206474820146</v>
      </c>
    </row>
    <row r="376" spans="1:29" ht="15.75" x14ac:dyDescent="0.25">
      <c r="A376" s="14">
        <v>52351</v>
      </c>
      <c r="B376" s="17">
        <f>CHOOSE(CONTROL!$C$42, 17.7161, 17.7161) * CHOOSE(CONTROL!$C$21, $C$9, 100%, $E$9)</f>
        <v>17.716100000000001</v>
      </c>
      <c r="C376" s="17">
        <f>CHOOSE(CONTROL!$C$42, 17.7206, 17.7206) * CHOOSE(CONTROL!$C$21, $C$9, 100%, $E$9)</f>
        <v>17.720600000000001</v>
      </c>
      <c r="D376" s="17">
        <f>CHOOSE(CONTROL!$C$42, 17.9682, 17.9682) * CHOOSE(CONTROL!$C$21, $C$9, 100%, $E$9)</f>
        <v>17.9682</v>
      </c>
      <c r="E376" s="17">
        <f>CHOOSE(CONTROL!$C$42, 18, 18) * CHOOSE(CONTROL!$C$21, $C$9, 100%, $E$9)</f>
        <v>18</v>
      </c>
      <c r="F376" s="17">
        <f>CHOOSE(CONTROL!$C$42, 17.7278, 17.7278)*CHOOSE(CONTROL!$C$21, $C$9, 100%, $E$9)</f>
        <v>17.727799999999998</v>
      </c>
      <c r="G376" s="17">
        <f>CHOOSE(CONTROL!$C$42, 17.7437, 17.7437)*CHOOSE(CONTROL!$C$21, $C$9, 100%, $E$9)</f>
        <v>17.7437</v>
      </c>
      <c r="H376" s="17">
        <f>CHOOSE(CONTROL!$C$42, 17.9894, 17.9894) * CHOOSE(CONTROL!$C$21, $C$9, 100%, $E$9)</f>
        <v>17.9894</v>
      </c>
      <c r="I376" s="17">
        <f>CHOOSE(CONTROL!$C$42, 17.7937, 17.7937)* CHOOSE(CONTROL!$C$21, $C$9, 100%, $E$9)</f>
        <v>17.793700000000001</v>
      </c>
      <c r="J376" s="17">
        <f>CHOOSE(CONTROL!$C$42, 17.7204, 17.7204)* CHOOSE(CONTROL!$C$21, $C$9, 100%, $E$9)</f>
        <v>17.720400000000001</v>
      </c>
      <c r="K376" s="52">
        <f>CHOOSE(CONTROL!$C$42, 17.7877, 17.7877) * CHOOSE(CONTROL!$C$21, $C$9, 100%, $E$9)</f>
        <v>17.787700000000001</v>
      </c>
      <c r="L376" s="17">
        <f>CHOOSE(CONTROL!$C$42, 18.5764, 18.5764) * CHOOSE(CONTROL!$C$21, $C$9, 100%, $E$9)</f>
        <v>18.5764</v>
      </c>
      <c r="M376" s="17">
        <f>CHOOSE(CONTROL!$C$42, 17.568, 17.568) * CHOOSE(CONTROL!$C$21, $C$9, 100%, $E$9)</f>
        <v>17.568000000000001</v>
      </c>
      <c r="N376" s="17">
        <f>CHOOSE(CONTROL!$C$42, 17.5838, 17.5838) * CHOOSE(CONTROL!$C$21, $C$9, 100%, $E$9)</f>
        <v>17.5838</v>
      </c>
      <c r="O376" s="17">
        <f>CHOOSE(CONTROL!$C$42, 17.8347, 17.8347) * CHOOSE(CONTROL!$C$21, $C$9, 100%, $E$9)</f>
        <v>17.834700000000002</v>
      </c>
      <c r="P376" s="17">
        <f>CHOOSE(CONTROL!$C$42, 17.6403, 17.6403) * CHOOSE(CONTROL!$C$21, $C$9, 100%, $E$9)</f>
        <v>17.6403</v>
      </c>
      <c r="Q376" s="17">
        <f>CHOOSE(CONTROL!$C$42, 18.4294, 18.4294) * CHOOSE(CONTROL!$C$21, $C$9, 100%, $E$9)</f>
        <v>18.429400000000001</v>
      </c>
      <c r="R376" s="17">
        <f>CHOOSE(CONTROL!$C$42, 19.0624, 19.0624) * CHOOSE(CONTROL!$C$21, $C$9, 100%, $E$9)</f>
        <v>19.0624</v>
      </c>
      <c r="S376" s="17">
        <f>CHOOSE(CONTROL!$C$42, 17.1691, 17.1691) * CHOOSE(CONTROL!$C$21, $C$9, 100%, $E$9)</f>
        <v>17.1691</v>
      </c>
      <c r="T37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76" s="56">
        <f>(1000*CHOOSE(CONTROL!$C$42, 695, 695)*CHOOSE(CONTROL!$C$42, 0.5599, 0.5599)*CHOOSE(CONTROL!$C$42, 30, 30))/1000000</f>
        <v>11.673914999999997</v>
      </c>
      <c r="V376" s="56">
        <f>(1000*CHOOSE(CONTROL!$C$42, 500, 500)*CHOOSE(CONTROL!$C$42, 0.275, 0.275)*CHOOSE(CONTROL!$C$42, 30, 30))/1000000</f>
        <v>4.125</v>
      </c>
      <c r="W376" s="56">
        <f>(1000*CHOOSE(CONTROL!$C$42, 0.0916, 0.0916)*CHOOSE(CONTROL!$C$42, 121.5, 121.5)*CHOOSE(CONTROL!$C$42, 30, 30))/1000000</f>
        <v>0.33388200000000001</v>
      </c>
      <c r="X376" s="56">
        <f>(30*0.1790888*145000/1000000)+(30*0.2374*100000/1000000)</f>
        <v>1.4912362799999999</v>
      </c>
      <c r="Y376" s="56"/>
      <c r="Z376" s="17"/>
      <c r="AA376" s="55"/>
      <c r="AB376" s="48">
        <f>(B376*141.293+C376*267.993+D376*115.016+E376*189.698+F376*40+G376*85+H376*0+I376*100+J376*300)/(141.293+267.993+115.016+189.698+0+40+85+100+300)</f>
        <v>17.793517888861984</v>
      </c>
      <c r="AC376" s="45">
        <f>(M376*'RAP TEMPLATE-GAS AVAILABILITY'!O375+N376*'RAP TEMPLATE-GAS AVAILABILITY'!P375+O376*'RAP TEMPLATE-GAS AVAILABILITY'!Q375+P376*'RAP TEMPLATE-GAS AVAILABILITY'!R375)/('RAP TEMPLATE-GAS AVAILABILITY'!O375+'RAP TEMPLATE-GAS AVAILABILITY'!P375+'RAP TEMPLATE-GAS AVAILABILITY'!Q375+'RAP TEMPLATE-GAS AVAILABILITY'!R375)</f>
        <v>17.656869784172663</v>
      </c>
    </row>
    <row r="377" spans="1:29" ht="15.75" x14ac:dyDescent="0.25">
      <c r="A377" s="14">
        <v>52382</v>
      </c>
      <c r="B377" s="17">
        <f>CHOOSE(CONTROL!$C$42, 17.8738, 17.8738) * CHOOSE(CONTROL!$C$21, $C$9, 100%, $E$9)</f>
        <v>17.873799999999999</v>
      </c>
      <c r="C377" s="17">
        <f>CHOOSE(CONTROL!$C$42, 17.8817, 17.8817) * CHOOSE(CONTROL!$C$21, $C$9, 100%, $E$9)</f>
        <v>17.881699999999999</v>
      </c>
      <c r="D377" s="17">
        <f>CHOOSE(CONTROL!$C$42, 18.1262, 18.1262) * CHOOSE(CONTROL!$C$21, $C$9, 100%, $E$9)</f>
        <v>18.126200000000001</v>
      </c>
      <c r="E377" s="17">
        <f>CHOOSE(CONTROL!$C$42, 18.1574, 18.1574) * CHOOSE(CONTROL!$C$21, $C$9, 100%, $E$9)</f>
        <v>18.157399999999999</v>
      </c>
      <c r="F377" s="17">
        <f>CHOOSE(CONTROL!$C$42, 17.8843, 17.8843)*CHOOSE(CONTROL!$C$21, $C$9, 100%, $E$9)</f>
        <v>17.8843</v>
      </c>
      <c r="G377" s="17">
        <f>CHOOSE(CONTROL!$C$42, 17.9005, 17.9005)*CHOOSE(CONTROL!$C$21, $C$9, 100%, $E$9)</f>
        <v>17.900500000000001</v>
      </c>
      <c r="H377" s="17">
        <f>CHOOSE(CONTROL!$C$42, 18.1457, 18.1457) * CHOOSE(CONTROL!$C$21, $C$9, 100%, $E$9)</f>
        <v>18.145700000000001</v>
      </c>
      <c r="I377" s="17">
        <f>CHOOSE(CONTROL!$C$42, 17.9505, 17.9505)* CHOOSE(CONTROL!$C$21, $C$9, 100%, $E$9)</f>
        <v>17.950500000000002</v>
      </c>
      <c r="J377" s="17">
        <f>CHOOSE(CONTROL!$C$42, 17.8769, 17.8769)* CHOOSE(CONTROL!$C$21, $C$9, 100%, $E$9)</f>
        <v>17.876899999999999</v>
      </c>
      <c r="K377" s="52">
        <f>CHOOSE(CONTROL!$C$42, 17.9444, 17.9444) * CHOOSE(CONTROL!$C$21, $C$9, 100%, $E$9)</f>
        <v>17.944400000000002</v>
      </c>
      <c r="L377" s="17">
        <f>CHOOSE(CONTROL!$C$42, 18.7327, 18.7327) * CHOOSE(CONTROL!$C$21, $C$9, 100%, $E$9)</f>
        <v>18.732700000000001</v>
      </c>
      <c r="M377" s="17">
        <f>CHOOSE(CONTROL!$C$42, 17.7231, 17.7231) * CHOOSE(CONTROL!$C$21, $C$9, 100%, $E$9)</f>
        <v>17.723099999999999</v>
      </c>
      <c r="N377" s="17">
        <f>CHOOSE(CONTROL!$C$42, 17.7392, 17.7392) * CHOOSE(CONTROL!$C$21, $C$9, 100%, $E$9)</f>
        <v>17.7392</v>
      </c>
      <c r="O377" s="17">
        <f>CHOOSE(CONTROL!$C$42, 17.9895, 17.9895) * CHOOSE(CONTROL!$C$21, $C$9, 100%, $E$9)</f>
        <v>17.9895</v>
      </c>
      <c r="P377" s="17">
        <f>CHOOSE(CONTROL!$C$42, 17.7956, 17.7956) * CHOOSE(CONTROL!$C$21, $C$9, 100%, $E$9)</f>
        <v>17.7956</v>
      </c>
      <c r="Q377" s="17">
        <f>CHOOSE(CONTROL!$C$42, 18.5842, 18.5842) * CHOOSE(CONTROL!$C$21, $C$9, 100%, $E$9)</f>
        <v>18.584199999999999</v>
      </c>
      <c r="R377" s="17">
        <f>CHOOSE(CONTROL!$C$42, 19.2177, 19.2177) * CHOOSE(CONTROL!$C$21, $C$9, 100%, $E$9)</f>
        <v>19.217700000000001</v>
      </c>
      <c r="S377" s="17">
        <f>CHOOSE(CONTROL!$C$42, 17.3206, 17.3206) * CHOOSE(CONTROL!$C$21, $C$9, 100%, $E$9)</f>
        <v>17.320599999999999</v>
      </c>
      <c r="T37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77" s="56">
        <f>(1000*CHOOSE(CONTROL!$C$42, 695, 695)*CHOOSE(CONTROL!$C$42, 0.5599, 0.5599)*CHOOSE(CONTROL!$C$42, 31, 31))/1000000</f>
        <v>12.063045499999998</v>
      </c>
      <c r="V377" s="56">
        <f>(1000*CHOOSE(CONTROL!$C$42, 500, 500)*CHOOSE(CONTROL!$C$42, 0.275, 0.275)*CHOOSE(CONTROL!$C$42, 31, 31))/1000000</f>
        <v>4.2625000000000002</v>
      </c>
      <c r="W377" s="56">
        <f>(1000*CHOOSE(CONTROL!$C$42, 0.0916, 0.0916)*CHOOSE(CONTROL!$C$42, 121.5, 121.5)*CHOOSE(CONTROL!$C$42, 31, 31))/1000000</f>
        <v>0.34501139999999997</v>
      </c>
      <c r="X377" s="56">
        <f>(31*0.1790888*145000/1000000)+(31*0.2374*100000/1000000)</f>
        <v>1.5409441560000001</v>
      </c>
      <c r="Y377" s="56"/>
      <c r="Z377" s="17"/>
      <c r="AA377" s="55"/>
      <c r="AB377" s="48">
        <f>(B377*194.205+C377*267.466+D377*133.845+E377*153.484+F377*40+G377*85+H377*0+I377*100+J377*300)/(194.205+267.466+133.845+153.484+0+40+85+100+300)</f>
        <v>17.945003313814755</v>
      </c>
      <c r="AC377" s="45">
        <f>(M377*'RAP TEMPLATE-GAS AVAILABILITY'!O376+N377*'RAP TEMPLATE-GAS AVAILABILITY'!P376+O377*'RAP TEMPLATE-GAS AVAILABILITY'!Q376+P377*'RAP TEMPLATE-GAS AVAILABILITY'!R376)/('RAP TEMPLATE-GAS AVAILABILITY'!O376+'RAP TEMPLATE-GAS AVAILABILITY'!P376+'RAP TEMPLATE-GAS AVAILABILITY'!Q376+'RAP TEMPLATE-GAS AVAILABILITY'!R376)</f>
        <v>17.81198345323741</v>
      </c>
    </row>
    <row r="378" spans="1:29" ht="15.75" x14ac:dyDescent="0.25">
      <c r="A378" s="14">
        <v>52412</v>
      </c>
      <c r="B378" s="17">
        <f>CHOOSE(CONTROL!$C$42, 18.3804, 18.3804) * CHOOSE(CONTROL!$C$21, $C$9, 100%, $E$9)</f>
        <v>18.380400000000002</v>
      </c>
      <c r="C378" s="17">
        <f>CHOOSE(CONTROL!$C$42, 18.3884, 18.3884) * CHOOSE(CONTROL!$C$21, $C$9, 100%, $E$9)</f>
        <v>18.388400000000001</v>
      </c>
      <c r="D378" s="17">
        <f>CHOOSE(CONTROL!$C$42, 18.6329, 18.6329) * CHOOSE(CONTROL!$C$21, $C$9, 100%, $E$9)</f>
        <v>18.632899999999999</v>
      </c>
      <c r="E378" s="17">
        <f>CHOOSE(CONTROL!$C$42, 18.664, 18.664) * CHOOSE(CONTROL!$C$21, $C$9, 100%, $E$9)</f>
        <v>18.664000000000001</v>
      </c>
      <c r="F378" s="17">
        <f>CHOOSE(CONTROL!$C$42, 18.3913, 18.3913)*CHOOSE(CONTROL!$C$21, $C$9, 100%, $E$9)</f>
        <v>18.391300000000001</v>
      </c>
      <c r="G378" s="17">
        <f>CHOOSE(CONTROL!$C$42, 18.4076, 18.4076)*CHOOSE(CONTROL!$C$21, $C$9, 100%, $E$9)</f>
        <v>18.407599999999999</v>
      </c>
      <c r="H378" s="17">
        <f>CHOOSE(CONTROL!$C$42, 18.6524, 18.6524) * CHOOSE(CONTROL!$C$21, $C$9, 100%, $E$9)</f>
        <v>18.6524</v>
      </c>
      <c r="I378" s="17">
        <f>CHOOSE(CONTROL!$C$42, 18.4587, 18.4587)* CHOOSE(CONTROL!$C$21, $C$9, 100%, $E$9)</f>
        <v>18.4587</v>
      </c>
      <c r="J378" s="17">
        <f>CHOOSE(CONTROL!$C$42, 18.3839, 18.3839)* CHOOSE(CONTROL!$C$21, $C$9, 100%, $E$9)</f>
        <v>18.383900000000001</v>
      </c>
      <c r="K378" s="52">
        <f>CHOOSE(CONTROL!$C$42, 18.4527, 18.4527) * CHOOSE(CONTROL!$C$21, $C$9, 100%, $E$9)</f>
        <v>18.4527</v>
      </c>
      <c r="L378" s="17">
        <f>CHOOSE(CONTROL!$C$42, 19.2394, 19.2394) * CHOOSE(CONTROL!$C$21, $C$9, 100%, $E$9)</f>
        <v>19.2394</v>
      </c>
      <c r="M378" s="17">
        <f>CHOOSE(CONTROL!$C$42, 18.2256, 18.2256) * CHOOSE(CONTROL!$C$21, $C$9, 100%, $E$9)</f>
        <v>18.2256</v>
      </c>
      <c r="N378" s="17">
        <f>CHOOSE(CONTROL!$C$42, 18.2417, 18.2417) * CHOOSE(CONTROL!$C$21, $C$9, 100%, $E$9)</f>
        <v>18.241700000000002</v>
      </c>
      <c r="O378" s="17">
        <f>CHOOSE(CONTROL!$C$42, 18.4916, 18.4916) * CHOOSE(CONTROL!$C$21, $C$9, 100%, $E$9)</f>
        <v>18.491599999999998</v>
      </c>
      <c r="P378" s="17">
        <f>CHOOSE(CONTROL!$C$42, 18.2992, 18.2992) * CHOOSE(CONTROL!$C$21, $C$9, 100%, $E$9)</f>
        <v>18.299199999999999</v>
      </c>
      <c r="Q378" s="17">
        <f>CHOOSE(CONTROL!$C$42, 19.0863, 19.0863) * CHOOSE(CONTROL!$C$21, $C$9, 100%, $E$9)</f>
        <v>19.086300000000001</v>
      </c>
      <c r="R378" s="17">
        <f>CHOOSE(CONTROL!$C$42, 19.721, 19.721) * CHOOSE(CONTROL!$C$21, $C$9, 100%, $E$9)</f>
        <v>19.721</v>
      </c>
      <c r="S378" s="17">
        <f>CHOOSE(CONTROL!$C$42, 17.8119, 17.8119) * CHOOSE(CONTROL!$C$21, $C$9, 100%, $E$9)</f>
        <v>17.811900000000001</v>
      </c>
      <c r="T37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78" s="56">
        <f>(1000*CHOOSE(CONTROL!$C$42, 695, 695)*CHOOSE(CONTROL!$C$42, 0.5599, 0.5599)*CHOOSE(CONTROL!$C$42, 30, 30))/1000000</f>
        <v>11.673914999999997</v>
      </c>
      <c r="V378" s="56">
        <f>(1000*CHOOSE(CONTROL!$C$42, 500, 500)*CHOOSE(CONTROL!$C$42, 0.275, 0.275)*CHOOSE(CONTROL!$C$42, 30, 30))/1000000</f>
        <v>4.125</v>
      </c>
      <c r="W378" s="56">
        <f>(1000*CHOOSE(CONTROL!$C$42, 0.0916, 0.0916)*CHOOSE(CONTROL!$C$42, 121.5, 121.5)*CHOOSE(CONTROL!$C$42, 30, 30))/1000000</f>
        <v>0.33388200000000001</v>
      </c>
      <c r="X378" s="56">
        <f>(30*0.1790888*145000/1000000)+(30*0.2374*100000/1000000)</f>
        <v>1.4912362799999999</v>
      </c>
      <c r="Y378" s="56"/>
      <c r="Z378" s="17"/>
      <c r="AA378" s="55"/>
      <c r="AB378" s="48">
        <f>(B378*194.205+C378*267.466+D378*133.845+E378*153.484+F378*40+G378*85+H378*0+I378*100+J378*300)/(194.205+267.466+133.845+153.484+0+40+85+100+300)</f>
        <v>18.451900512480378</v>
      </c>
      <c r="AC378" s="45">
        <f>(M378*'RAP TEMPLATE-GAS AVAILABILITY'!O377+N378*'RAP TEMPLATE-GAS AVAILABILITY'!P377+O378*'RAP TEMPLATE-GAS AVAILABILITY'!Q377+P378*'RAP TEMPLATE-GAS AVAILABILITY'!R377)/('RAP TEMPLATE-GAS AVAILABILITY'!O377+'RAP TEMPLATE-GAS AVAILABILITY'!P377+'RAP TEMPLATE-GAS AVAILABILITY'!Q377+'RAP TEMPLATE-GAS AVAILABILITY'!R377)</f>
        <v>18.314529496402876</v>
      </c>
    </row>
    <row r="379" spans="1:29" ht="15.75" x14ac:dyDescent="0.25">
      <c r="A379" s="14">
        <v>52443</v>
      </c>
      <c r="B379" s="17">
        <f>CHOOSE(CONTROL!$C$42, 18.028, 18.028) * CHOOSE(CONTROL!$C$21, $C$9, 100%, $E$9)</f>
        <v>18.027999999999999</v>
      </c>
      <c r="C379" s="17">
        <f>CHOOSE(CONTROL!$C$42, 18.036, 18.036) * CHOOSE(CONTROL!$C$21, $C$9, 100%, $E$9)</f>
        <v>18.036000000000001</v>
      </c>
      <c r="D379" s="17">
        <f>CHOOSE(CONTROL!$C$42, 18.2805, 18.2805) * CHOOSE(CONTROL!$C$21, $C$9, 100%, $E$9)</f>
        <v>18.2805</v>
      </c>
      <c r="E379" s="17">
        <f>CHOOSE(CONTROL!$C$42, 18.3117, 18.3117) * CHOOSE(CONTROL!$C$21, $C$9, 100%, $E$9)</f>
        <v>18.311699999999998</v>
      </c>
      <c r="F379" s="17">
        <f>CHOOSE(CONTROL!$C$42, 18.0394, 18.0394)*CHOOSE(CONTROL!$C$21, $C$9, 100%, $E$9)</f>
        <v>18.039400000000001</v>
      </c>
      <c r="G379" s="17">
        <f>CHOOSE(CONTROL!$C$42, 18.0558, 18.0558)*CHOOSE(CONTROL!$C$21, $C$9, 100%, $E$9)</f>
        <v>18.055800000000001</v>
      </c>
      <c r="H379" s="17">
        <f>CHOOSE(CONTROL!$C$42, 18.3, 18.3) * CHOOSE(CONTROL!$C$21, $C$9, 100%, $E$9)</f>
        <v>18.3</v>
      </c>
      <c r="I379" s="17">
        <f>CHOOSE(CONTROL!$C$42, 18.1052, 18.1052)* CHOOSE(CONTROL!$C$21, $C$9, 100%, $E$9)</f>
        <v>18.1052</v>
      </c>
      <c r="J379" s="17">
        <f>CHOOSE(CONTROL!$C$42, 18.032, 18.032)* CHOOSE(CONTROL!$C$21, $C$9, 100%, $E$9)</f>
        <v>18.032</v>
      </c>
      <c r="K379" s="52">
        <f>CHOOSE(CONTROL!$C$42, 18.0992, 18.0992) * CHOOSE(CONTROL!$C$21, $C$9, 100%, $E$9)</f>
        <v>18.0992</v>
      </c>
      <c r="L379" s="17">
        <f>CHOOSE(CONTROL!$C$42, 18.887, 18.887) * CHOOSE(CONTROL!$C$21, $C$9, 100%, $E$9)</f>
        <v>18.887</v>
      </c>
      <c r="M379" s="17">
        <f>CHOOSE(CONTROL!$C$42, 17.8768, 17.8768) * CHOOSE(CONTROL!$C$21, $C$9, 100%, $E$9)</f>
        <v>17.876799999999999</v>
      </c>
      <c r="N379" s="17">
        <f>CHOOSE(CONTROL!$C$42, 17.8931, 17.8931) * CHOOSE(CONTROL!$C$21, $C$9, 100%, $E$9)</f>
        <v>17.8931</v>
      </c>
      <c r="O379" s="17">
        <f>CHOOSE(CONTROL!$C$42, 18.1424, 18.1424) * CHOOSE(CONTROL!$C$21, $C$9, 100%, $E$9)</f>
        <v>18.142399999999999</v>
      </c>
      <c r="P379" s="17">
        <f>CHOOSE(CONTROL!$C$42, 17.949, 17.949) * CHOOSE(CONTROL!$C$21, $C$9, 100%, $E$9)</f>
        <v>17.949000000000002</v>
      </c>
      <c r="Q379" s="17">
        <f>CHOOSE(CONTROL!$C$42, 18.7371, 18.7371) * CHOOSE(CONTROL!$C$21, $C$9, 100%, $E$9)</f>
        <v>18.737100000000002</v>
      </c>
      <c r="R379" s="17">
        <f>CHOOSE(CONTROL!$C$42, 19.371, 19.371) * CHOOSE(CONTROL!$C$21, $C$9, 100%, $E$9)</f>
        <v>19.370999999999999</v>
      </c>
      <c r="S379" s="17">
        <f>CHOOSE(CONTROL!$C$42, 17.4702, 17.4702) * CHOOSE(CONTROL!$C$21, $C$9, 100%, $E$9)</f>
        <v>17.470199999999998</v>
      </c>
      <c r="T37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79" s="56">
        <f>(1000*CHOOSE(CONTROL!$C$42, 695, 695)*CHOOSE(CONTROL!$C$42, 0.5599, 0.5599)*CHOOSE(CONTROL!$C$42, 31, 31))/1000000</f>
        <v>12.063045499999998</v>
      </c>
      <c r="V379" s="56">
        <f>(1000*CHOOSE(CONTROL!$C$42, 500, 500)*CHOOSE(CONTROL!$C$42, 0.275, 0.275)*CHOOSE(CONTROL!$C$42, 31, 31))/1000000</f>
        <v>4.2625000000000002</v>
      </c>
      <c r="W379" s="56">
        <f>(1000*CHOOSE(CONTROL!$C$42, 0.0916, 0.0916)*CHOOSE(CONTROL!$C$42, 121.5, 121.5)*CHOOSE(CONTROL!$C$42, 31, 31))/1000000</f>
        <v>0.34501139999999997</v>
      </c>
      <c r="X379" s="56">
        <f>(31*0.1790888*145000/1000000)+(31*0.2374*100000/1000000)</f>
        <v>1.5409441560000001</v>
      </c>
      <c r="Y379" s="56"/>
      <c r="Z379" s="17"/>
      <c r="AA379" s="55"/>
      <c r="AB379" s="48">
        <f>(B379*194.205+C379*267.466+D379*133.845+E379*153.484+F379*40+G379*85+H379*0+I379*100+J379*300)/(194.205+267.466+133.845+153.484+0+40+85+100+300)</f>
        <v>18.099599687048666</v>
      </c>
      <c r="AC379" s="45">
        <f>(M379*'RAP TEMPLATE-GAS AVAILABILITY'!O378+N379*'RAP TEMPLATE-GAS AVAILABILITY'!P378+O379*'RAP TEMPLATE-GAS AVAILABILITY'!Q378+P379*'RAP TEMPLATE-GAS AVAILABILITY'!R378)/('RAP TEMPLATE-GAS AVAILABILITY'!O378+'RAP TEMPLATE-GAS AVAILABILITY'!P378+'RAP TEMPLATE-GAS AVAILABILITY'!Q378+'RAP TEMPLATE-GAS AVAILABILITY'!R378)</f>
        <v>17.965461870503596</v>
      </c>
    </row>
    <row r="380" spans="1:29" ht="15.75" x14ac:dyDescent="0.25">
      <c r="A380" s="14">
        <v>52474</v>
      </c>
      <c r="B380" s="17">
        <f>CHOOSE(CONTROL!$C$42, 17.1382, 17.1382) * CHOOSE(CONTROL!$C$21, $C$9, 100%, $E$9)</f>
        <v>17.138200000000001</v>
      </c>
      <c r="C380" s="17">
        <f>CHOOSE(CONTROL!$C$42, 17.1462, 17.1462) * CHOOSE(CONTROL!$C$21, $C$9, 100%, $E$9)</f>
        <v>17.1462</v>
      </c>
      <c r="D380" s="17">
        <f>CHOOSE(CONTROL!$C$42, 17.3906, 17.3906) * CHOOSE(CONTROL!$C$21, $C$9, 100%, $E$9)</f>
        <v>17.390599999999999</v>
      </c>
      <c r="E380" s="17">
        <f>CHOOSE(CONTROL!$C$42, 17.4218, 17.4218) * CHOOSE(CONTROL!$C$21, $C$9, 100%, $E$9)</f>
        <v>17.421800000000001</v>
      </c>
      <c r="F380" s="17">
        <f>CHOOSE(CONTROL!$C$42, 17.1497, 17.1497)*CHOOSE(CONTROL!$C$21, $C$9, 100%, $E$9)</f>
        <v>17.149699999999999</v>
      </c>
      <c r="G380" s="17">
        <f>CHOOSE(CONTROL!$C$42, 17.1662, 17.1662)*CHOOSE(CONTROL!$C$21, $C$9, 100%, $E$9)</f>
        <v>17.1662</v>
      </c>
      <c r="H380" s="17">
        <f>CHOOSE(CONTROL!$C$42, 17.4101, 17.4101) * CHOOSE(CONTROL!$C$21, $C$9, 100%, $E$9)</f>
        <v>17.4101</v>
      </c>
      <c r="I380" s="17">
        <f>CHOOSE(CONTROL!$C$42, 17.2126, 17.2126)* CHOOSE(CONTROL!$C$21, $C$9, 100%, $E$9)</f>
        <v>17.212599999999998</v>
      </c>
      <c r="J380" s="17">
        <f>CHOOSE(CONTROL!$C$42, 17.1423, 17.1423)* CHOOSE(CONTROL!$C$21, $C$9, 100%, $E$9)</f>
        <v>17.142299999999999</v>
      </c>
      <c r="K380" s="52">
        <f>CHOOSE(CONTROL!$C$42, 17.2066, 17.2066) * CHOOSE(CONTROL!$C$21, $C$9, 100%, $E$9)</f>
        <v>17.206600000000002</v>
      </c>
      <c r="L380" s="17">
        <f>CHOOSE(CONTROL!$C$42, 17.9971, 17.9971) * CHOOSE(CONTROL!$C$21, $C$9, 100%, $E$9)</f>
        <v>17.9971</v>
      </c>
      <c r="M380" s="17">
        <f>CHOOSE(CONTROL!$C$42, 16.9952, 16.9952) * CHOOSE(CONTROL!$C$21, $C$9, 100%, $E$9)</f>
        <v>16.995200000000001</v>
      </c>
      <c r="N380" s="17">
        <f>CHOOSE(CONTROL!$C$42, 17.0115, 17.0115) * CHOOSE(CONTROL!$C$21, $C$9, 100%, $E$9)</f>
        <v>17.011500000000002</v>
      </c>
      <c r="O380" s="17">
        <f>CHOOSE(CONTROL!$C$42, 17.2605, 17.2605) * CHOOSE(CONTROL!$C$21, $C$9, 100%, $E$9)</f>
        <v>17.2605</v>
      </c>
      <c r="P380" s="17">
        <f>CHOOSE(CONTROL!$C$42, 17.0644, 17.0644) * CHOOSE(CONTROL!$C$21, $C$9, 100%, $E$9)</f>
        <v>17.064399999999999</v>
      </c>
      <c r="Q380" s="17">
        <f>CHOOSE(CONTROL!$C$42, 17.8552, 17.8552) * CHOOSE(CONTROL!$C$21, $C$9, 100%, $E$9)</f>
        <v>17.8552</v>
      </c>
      <c r="R380" s="17">
        <f>CHOOSE(CONTROL!$C$42, 18.4869, 18.4869) * CHOOSE(CONTROL!$C$21, $C$9, 100%, $E$9)</f>
        <v>18.486899999999999</v>
      </c>
      <c r="S380" s="17">
        <f>CHOOSE(CONTROL!$C$42, 16.6073, 16.6073) * CHOOSE(CONTROL!$C$21, $C$9, 100%, $E$9)</f>
        <v>16.607299999999999</v>
      </c>
      <c r="T38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80" s="56">
        <f>(1000*CHOOSE(CONTROL!$C$42, 695, 695)*CHOOSE(CONTROL!$C$42, 0.5599, 0.5599)*CHOOSE(CONTROL!$C$42, 31, 31))/1000000</f>
        <v>12.063045499999998</v>
      </c>
      <c r="V380" s="56">
        <f>(1000*CHOOSE(CONTROL!$C$42, 500, 500)*CHOOSE(CONTROL!$C$42, 0.275, 0.275)*CHOOSE(CONTROL!$C$42, 31, 31))/1000000</f>
        <v>4.2625000000000002</v>
      </c>
      <c r="W380" s="56">
        <f>(1000*CHOOSE(CONTROL!$C$42, 0.0916, 0.0916)*CHOOSE(CONTROL!$C$42, 121.5, 121.5)*CHOOSE(CONTROL!$C$42, 31, 31))/1000000</f>
        <v>0.34501139999999997</v>
      </c>
      <c r="X380" s="56">
        <f>(31*0.1790888*145000/1000000)+(31*0.2374*100000/1000000)</f>
        <v>1.5409441560000001</v>
      </c>
      <c r="Y380" s="56"/>
      <c r="Z380" s="17"/>
      <c r="AA380" s="55"/>
      <c r="AB380" s="48">
        <f>(B380*194.205+C380*267.466+D380*133.845+E380*153.484+F380*40+G380*85+H380*0+I380*100+J380*300)/(194.205+267.466+133.845+153.484+0+40+85+100+300)</f>
        <v>17.209597384929356</v>
      </c>
      <c r="AC380" s="45">
        <f>(M380*'RAP TEMPLATE-GAS AVAILABILITY'!O379+N380*'RAP TEMPLATE-GAS AVAILABILITY'!P379+O380*'RAP TEMPLATE-GAS AVAILABILITY'!Q379+P380*'RAP TEMPLATE-GAS AVAILABILITY'!R379)/('RAP TEMPLATE-GAS AVAILABILITY'!O379+'RAP TEMPLATE-GAS AVAILABILITY'!P379+'RAP TEMPLATE-GAS AVAILABILITY'!Q379+'RAP TEMPLATE-GAS AVAILABILITY'!R379)</f>
        <v>17.08334604316547</v>
      </c>
    </row>
    <row r="381" spans="1:29" ht="15.75" x14ac:dyDescent="0.25">
      <c r="A381" s="14">
        <v>52504</v>
      </c>
      <c r="B381" s="17">
        <f>CHOOSE(CONTROL!$C$42, 16.0507, 16.0507) * CHOOSE(CONTROL!$C$21, $C$9, 100%, $E$9)</f>
        <v>16.050699999999999</v>
      </c>
      <c r="C381" s="17">
        <f>CHOOSE(CONTROL!$C$42, 16.0587, 16.0587) * CHOOSE(CONTROL!$C$21, $C$9, 100%, $E$9)</f>
        <v>16.058700000000002</v>
      </c>
      <c r="D381" s="17">
        <f>CHOOSE(CONTROL!$C$42, 16.3031, 16.3031) * CHOOSE(CONTROL!$C$21, $C$9, 100%, $E$9)</f>
        <v>16.303100000000001</v>
      </c>
      <c r="E381" s="17">
        <f>CHOOSE(CONTROL!$C$42, 16.3343, 16.3343) * CHOOSE(CONTROL!$C$21, $C$9, 100%, $E$9)</f>
        <v>16.334299999999999</v>
      </c>
      <c r="F381" s="17">
        <f>CHOOSE(CONTROL!$C$42, 16.0623, 16.0623)*CHOOSE(CONTROL!$C$21, $C$9, 100%, $E$9)</f>
        <v>16.0623</v>
      </c>
      <c r="G381" s="17">
        <f>CHOOSE(CONTROL!$C$42, 16.0788, 16.0788)*CHOOSE(CONTROL!$C$21, $C$9, 100%, $E$9)</f>
        <v>16.078800000000001</v>
      </c>
      <c r="H381" s="17">
        <f>CHOOSE(CONTROL!$C$42, 16.3226, 16.3226) * CHOOSE(CONTROL!$C$21, $C$9, 100%, $E$9)</f>
        <v>16.322600000000001</v>
      </c>
      <c r="I381" s="17">
        <f>CHOOSE(CONTROL!$C$42, 16.1218, 16.1218)* CHOOSE(CONTROL!$C$21, $C$9, 100%, $E$9)</f>
        <v>16.1218</v>
      </c>
      <c r="J381" s="17">
        <f>CHOOSE(CONTROL!$C$42, 16.0549, 16.0549)* CHOOSE(CONTROL!$C$21, $C$9, 100%, $E$9)</f>
        <v>16.0549</v>
      </c>
      <c r="K381" s="52">
        <f>CHOOSE(CONTROL!$C$42, 16.1157, 16.1157) * CHOOSE(CONTROL!$C$21, $C$9, 100%, $E$9)</f>
        <v>16.1157</v>
      </c>
      <c r="L381" s="17">
        <f>CHOOSE(CONTROL!$C$42, 16.9096, 16.9096) * CHOOSE(CONTROL!$C$21, $C$9, 100%, $E$9)</f>
        <v>16.909600000000001</v>
      </c>
      <c r="M381" s="17">
        <f>CHOOSE(CONTROL!$C$42, 15.9175, 15.9175) * CHOOSE(CONTROL!$C$21, $C$9, 100%, $E$9)</f>
        <v>15.9175</v>
      </c>
      <c r="N381" s="17">
        <f>CHOOSE(CONTROL!$C$42, 15.9339, 15.9339) * CHOOSE(CONTROL!$C$21, $C$9, 100%, $E$9)</f>
        <v>15.9339</v>
      </c>
      <c r="O381" s="17">
        <f>CHOOSE(CONTROL!$C$42, 16.1829, 16.1829) * CHOOSE(CONTROL!$C$21, $C$9, 100%, $E$9)</f>
        <v>16.1829</v>
      </c>
      <c r="P381" s="17">
        <f>CHOOSE(CONTROL!$C$42, 15.9834, 15.9834) * CHOOSE(CONTROL!$C$21, $C$9, 100%, $E$9)</f>
        <v>15.9834</v>
      </c>
      <c r="Q381" s="17">
        <f>CHOOSE(CONTROL!$C$42, 16.7776, 16.7776) * CHOOSE(CONTROL!$C$21, $C$9, 100%, $E$9)</f>
        <v>16.7776</v>
      </c>
      <c r="R381" s="17">
        <f>CHOOSE(CONTROL!$C$42, 17.4065, 17.4065) * CHOOSE(CONTROL!$C$21, $C$9, 100%, $E$9)</f>
        <v>17.406500000000001</v>
      </c>
      <c r="S381" s="17">
        <f>CHOOSE(CONTROL!$C$42, 15.5528, 15.5528) * CHOOSE(CONTROL!$C$21, $C$9, 100%, $E$9)</f>
        <v>15.5528</v>
      </c>
      <c r="T38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81" s="56">
        <f>(1000*CHOOSE(CONTROL!$C$42, 695, 695)*CHOOSE(CONTROL!$C$42, 0.5599, 0.5599)*CHOOSE(CONTROL!$C$42, 30, 30))/1000000</f>
        <v>11.673914999999997</v>
      </c>
      <c r="V381" s="56">
        <f>(1000*CHOOSE(CONTROL!$C$42, 500, 500)*CHOOSE(CONTROL!$C$42, 0.275, 0.275)*CHOOSE(CONTROL!$C$42, 30, 30))/1000000</f>
        <v>4.125</v>
      </c>
      <c r="W381" s="56">
        <f>(1000*CHOOSE(CONTROL!$C$42, 0.0916, 0.0916)*CHOOSE(CONTROL!$C$42, 121.5, 121.5)*CHOOSE(CONTROL!$C$42, 30, 30))/1000000</f>
        <v>0.33388200000000001</v>
      </c>
      <c r="X381" s="56">
        <f>(30*0.1790888*145000/1000000)+(30*0.2374*100000/1000000)</f>
        <v>1.4912362799999999</v>
      </c>
      <c r="Y381" s="56"/>
      <c r="Z381" s="17"/>
      <c r="AA381" s="55"/>
      <c r="AB381" s="48">
        <f>(B381*194.205+C381*267.466+D381*133.845+E381*153.484+F381*40+G381*85+H381*0+I381*100+J381*300)/(194.205+267.466+133.845+153.484+0+40+85+100+300)</f>
        <v>16.121871717739406</v>
      </c>
      <c r="AC381" s="45">
        <f>(M381*'RAP TEMPLATE-GAS AVAILABILITY'!O380+N381*'RAP TEMPLATE-GAS AVAILABILITY'!P380+O381*'RAP TEMPLATE-GAS AVAILABILITY'!Q380+P381*'RAP TEMPLATE-GAS AVAILABILITY'!R380)/('RAP TEMPLATE-GAS AVAILABILITY'!O380+'RAP TEMPLATE-GAS AVAILABILITY'!P380+'RAP TEMPLATE-GAS AVAILABILITY'!Q380+'RAP TEMPLATE-GAS AVAILABILITY'!R380)</f>
        <v>16.005222302158273</v>
      </c>
    </row>
    <row r="382" spans="1:29" ht="15.75" x14ac:dyDescent="0.25">
      <c r="A382" s="14">
        <v>52535</v>
      </c>
      <c r="B382" s="17">
        <f>CHOOSE(CONTROL!$C$42, 15.7233, 15.7233) * CHOOSE(CONTROL!$C$21, $C$9, 100%, $E$9)</f>
        <v>15.7233</v>
      </c>
      <c r="C382" s="17">
        <f>CHOOSE(CONTROL!$C$42, 15.7287, 15.7287) * CHOOSE(CONTROL!$C$21, $C$9, 100%, $E$9)</f>
        <v>15.7287</v>
      </c>
      <c r="D382" s="17">
        <f>CHOOSE(CONTROL!$C$42, 15.978, 15.978) * CHOOSE(CONTROL!$C$21, $C$9, 100%, $E$9)</f>
        <v>15.978</v>
      </c>
      <c r="E382" s="17">
        <f>CHOOSE(CONTROL!$C$42, 16.0069, 16.0069) * CHOOSE(CONTROL!$C$21, $C$9, 100%, $E$9)</f>
        <v>16.006900000000002</v>
      </c>
      <c r="F382" s="17">
        <f>CHOOSE(CONTROL!$C$42, 15.7371, 15.7371)*CHOOSE(CONTROL!$C$21, $C$9, 100%, $E$9)</f>
        <v>15.7371</v>
      </c>
      <c r="G382" s="17">
        <f>CHOOSE(CONTROL!$C$42, 15.7535, 15.7535)*CHOOSE(CONTROL!$C$21, $C$9, 100%, $E$9)</f>
        <v>15.753500000000001</v>
      </c>
      <c r="H382" s="17">
        <f>CHOOSE(CONTROL!$C$42, 15.997, 15.997) * CHOOSE(CONTROL!$C$21, $C$9, 100%, $E$9)</f>
        <v>15.997</v>
      </c>
      <c r="I382" s="17">
        <f>CHOOSE(CONTROL!$C$42, 15.7951, 15.7951)* CHOOSE(CONTROL!$C$21, $C$9, 100%, $E$9)</f>
        <v>15.7951</v>
      </c>
      <c r="J382" s="17">
        <f>CHOOSE(CONTROL!$C$42, 15.7297, 15.7297)* CHOOSE(CONTROL!$C$21, $C$9, 100%, $E$9)</f>
        <v>15.729699999999999</v>
      </c>
      <c r="K382" s="52">
        <f>CHOOSE(CONTROL!$C$42, 15.7891, 15.7891) * CHOOSE(CONTROL!$C$21, $C$9, 100%, $E$9)</f>
        <v>15.789099999999999</v>
      </c>
      <c r="L382" s="17">
        <f>CHOOSE(CONTROL!$C$42, 16.584, 16.584) * CHOOSE(CONTROL!$C$21, $C$9, 100%, $E$9)</f>
        <v>16.584</v>
      </c>
      <c r="M382" s="17">
        <f>CHOOSE(CONTROL!$C$42, 15.5953, 15.5953) * CHOOSE(CONTROL!$C$21, $C$9, 100%, $E$9)</f>
        <v>15.5953</v>
      </c>
      <c r="N382" s="17">
        <f>CHOOSE(CONTROL!$C$42, 15.6115, 15.6115) * CHOOSE(CONTROL!$C$21, $C$9, 100%, $E$9)</f>
        <v>15.611499999999999</v>
      </c>
      <c r="O382" s="17">
        <f>CHOOSE(CONTROL!$C$42, 15.8601, 15.8601) * CHOOSE(CONTROL!$C$21, $C$9, 100%, $E$9)</f>
        <v>15.860099999999999</v>
      </c>
      <c r="P382" s="17">
        <f>CHOOSE(CONTROL!$C$42, 15.6597, 15.6597) * CHOOSE(CONTROL!$C$21, $C$9, 100%, $E$9)</f>
        <v>15.659700000000001</v>
      </c>
      <c r="Q382" s="17">
        <f>CHOOSE(CONTROL!$C$42, 16.4548, 16.4548) * CHOOSE(CONTROL!$C$21, $C$9, 100%, $E$9)</f>
        <v>16.454799999999999</v>
      </c>
      <c r="R382" s="17">
        <f>CHOOSE(CONTROL!$C$42, 17.083, 17.083) * CHOOSE(CONTROL!$C$21, $C$9, 100%, $E$9)</f>
        <v>17.082999999999998</v>
      </c>
      <c r="S382" s="17">
        <f>CHOOSE(CONTROL!$C$42, 15.237, 15.237) * CHOOSE(CONTROL!$C$21, $C$9, 100%, $E$9)</f>
        <v>15.237</v>
      </c>
      <c r="T38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82" s="56">
        <f>(1000*CHOOSE(CONTROL!$C$42, 695, 695)*CHOOSE(CONTROL!$C$42, 0.5599, 0.5599)*CHOOSE(CONTROL!$C$42, 31, 31))/1000000</f>
        <v>12.063045499999998</v>
      </c>
      <c r="V382" s="56">
        <f>(1000*CHOOSE(CONTROL!$C$42, 500, 500)*CHOOSE(CONTROL!$C$42, 0.275, 0.275)*CHOOSE(CONTROL!$C$42, 31, 31))/1000000</f>
        <v>4.2625000000000002</v>
      </c>
      <c r="W382" s="56">
        <f>(1000*CHOOSE(CONTROL!$C$42, 0.0916, 0.0916)*CHOOSE(CONTROL!$C$42, 121.5, 121.5)*CHOOSE(CONTROL!$C$42, 31, 31))/1000000</f>
        <v>0.34501139999999997</v>
      </c>
      <c r="X382" s="56">
        <f>(31*0.1790888*145000/1000000)+(31*0.2374*100000/1000000)</f>
        <v>1.5409441560000001</v>
      </c>
      <c r="Y382" s="56"/>
      <c r="Z382" s="17"/>
      <c r="AA382" s="55"/>
      <c r="AB382" s="48">
        <f>(B382*131.881+C382*277.167+D382*79.08+E382*225.872+F382*40+G382*85+H382*0+I382*100+J382*300)/(131.881+277.167+79.08+225.872+0+40+85+100+300)</f>
        <v>15.802327180790963</v>
      </c>
      <c r="AC382" s="45">
        <f>(M382*'RAP TEMPLATE-GAS AVAILABILITY'!O381+N382*'RAP TEMPLATE-GAS AVAILABILITY'!P381+O382*'RAP TEMPLATE-GAS AVAILABILITY'!Q381+P382*'RAP TEMPLATE-GAS AVAILABILITY'!R381)/('RAP TEMPLATE-GAS AVAILABILITY'!O381+'RAP TEMPLATE-GAS AVAILABILITY'!P381+'RAP TEMPLATE-GAS AVAILABILITY'!Q381+'RAP TEMPLATE-GAS AVAILABILITY'!R381)</f>
        <v>15.682592086330933</v>
      </c>
    </row>
    <row r="383" spans="1:29" ht="15.75" x14ac:dyDescent="0.25">
      <c r="A383" s="14">
        <v>52565</v>
      </c>
      <c r="B383" s="17">
        <f>CHOOSE(CONTROL!$C$42, 16.1369, 16.1369) * CHOOSE(CONTROL!$C$21, $C$9, 100%, $E$9)</f>
        <v>16.136900000000001</v>
      </c>
      <c r="C383" s="17">
        <f>CHOOSE(CONTROL!$C$42, 16.1419, 16.1419) * CHOOSE(CONTROL!$C$21, $C$9, 100%, $E$9)</f>
        <v>16.1419</v>
      </c>
      <c r="D383" s="17">
        <f>CHOOSE(CONTROL!$C$42, 16.2233, 16.2233) * CHOOSE(CONTROL!$C$21, $C$9, 100%, $E$9)</f>
        <v>16.223299999999998</v>
      </c>
      <c r="E383" s="17">
        <f>CHOOSE(CONTROL!$C$42, 16.2571, 16.2571) * CHOOSE(CONTROL!$C$21, $C$9, 100%, $E$9)</f>
        <v>16.257100000000001</v>
      </c>
      <c r="F383" s="17">
        <f>CHOOSE(CONTROL!$C$42, 16.1548, 16.1548)*CHOOSE(CONTROL!$C$21, $C$9, 100%, $E$9)</f>
        <v>16.154800000000002</v>
      </c>
      <c r="G383" s="17">
        <f>CHOOSE(CONTROL!$C$42, 16.1715, 16.1715)*CHOOSE(CONTROL!$C$21, $C$9, 100%, $E$9)</f>
        <v>16.171500000000002</v>
      </c>
      <c r="H383" s="17">
        <f>CHOOSE(CONTROL!$C$42, 16.2459, 16.2459) * CHOOSE(CONTROL!$C$21, $C$9, 100%, $E$9)</f>
        <v>16.245899999999999</v>
      </c>
      <c r="I383" s="17">
        <f>CHOOSE(CONTROL!$C$42, 16.2119, 16.2119)* CHOOSE(CONTROL!$C$21, $C$9, 100%, $E$9)</f>
        <v>16.2119</v>
      </c>
      <c r="J383" s="17">
        <f>CHOOSE(CONTROL!$C$42, 16.1474, 16.1474)* CHOOSE(CONTROL!$C$21, $C$9, 100%, $E$9)</f>
        <v>16.147400000000001</v>
      </c>
      <c r="K383" s="52">
        <f>CHOOSE(CONTROL!$C$42, 16.2058, 16.2058) * CHOOSE(CONTROL!$C$21, $C$9, 100%, $E$9)</f>
        <v>16.2058</v>
      </c>
      <c r="L383" s="17">
        <f>CHOOSE(CONTROL!$C$42, 16.8329, 16.8329) * CHOOSE(CONTROL!$C$21, $C$9, 100%, $E$9)</f>
        <v>16.832899999999999</v>
      </c>
      <c r="M383" s="17">
        <f>CHOOSE(CONTROL!$C$42, 16.0092, 16.0092) * CHOOSE(CONTROL!$C$21, $C$9, 100%, $E$9)</f>
        <v>16.0092</v>
      </c>
      <c r="N383" s="17">
        <f>CHOOSE(CONTROL!$C$42, 16.0258, 16.0258) * CHOOSE(CONTROL!$C$21, $C$9, 100%, $E$9)</f>
        <v>16.0258</v>
      </c>
      <c r="O383" s="17">
        <f>CHOOSE(CONTROL!$C$42, 16.1068, 16.1068) * CHOOSE(CONTROL!$C$21, $C$9, 100%, $E$9)</f>
        <v>16.1068</v>
      </c>
      <c r="P383" s="17">
        <f>CHOOSE(CONTROL!$C$42, 16.0727, 16.0727) * CHOOSE(CONTROL!$C$21, $C$9, 100%, $E$9)</f>
        <v>16.072700000000001</v>
      </c>
      <c r="Q383" s="17">
        <f>CHOOSE(CONTROL!$C$42, 16.7015, 16.7015) * CHOOSE(CONTROL!$C$21, $C$9, 100%, $E$9)</f>
        <v>16.701499999999999</v>
      </c>
      <c r="R383" s="17">
        <f>CHOOSE(CONTROL!$C$42, 17.3303, 17.3303) * CHOOSE(CONTROL!$C$21, $C$9, 100%, $E$9)</f>
        <v>17.330300000000001</v>
      </c>
      <c r="S383" s="17">
        <f>CHOOSE(CONTROL!$C$42, 15.6384, 15.6384) * CHOOSE(CONTROL!$C$21, $C$9, 100%, $E$9)</f>
        <v>15.638400000000001</v>
      </c>
      <c r="T38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83" s="56">
        <f>(1000*CHOOSE(CONTROL!$C$42, 695, 695)*CHOOSE(CONTROL!$C$42, 0.5599, 0.5599)*CHOOSE(CONTROL!$C$42, 30, 30))/1000000</f>
        <v>11.673914999999997</v>
      </c>
      <c r="V383" s="56">
        <f>(1000*CHOOSE(CONTROL!$C$42, 500, 500)*CHOOSE(CONTROL!$C$42, 0.275, 0.275)*CHOOSE(CONTROL!$C$42, 30, 30))/1000000</f>
        <v>4.125</v>
      </c>
      <c r="W383" s="56">
        <f>(1000*CHOOSE(CONTROL!$C$42, 0.0916, 0.0916)*CHOOSE(CONTROL!$C$42, 121.5, 121.5)*CHOOSE(CONTROL!$C$42, 30, 30))/1000000</f>
        <v>0.33388200000000001</v>
      </c>
      <c r="X383" s="56">
        <f>(30*0.2374*100000/1000000)</f>
        <v>0.71220000000000006</v>
      </c>
      <c r="Y383" s="56"/>
      <c r="Z383" s="17"/>
      <c r="AA383" s="55"/>
      <c r="AB383" s="48">
        <f>(B383*122.58+C383*297.941+D383*89.177+E383*140.302+F383*40+G383*60+H383*0+I383*100+J383*300)/(122.58+297.941+89.177+140.302+0+40+60+100+300)</f>
        <v>16.171248607130433</v>
      </c>
      <c r="AC383" s="45">
        <f>(M383*'RAP TEMPLATE-GAS AVAILABILITY'!O382+N383*'RAP TEMPLATE-GAS AVAILABILITY'!P382+O383*'RAP TEMPLATE-GAS AVAILABILITY'!Q382+P383*'RAP TEMPLATE-GAS AVAILABILITY'!R382)/('RAP TEMPLATE-GAS AVAILABILITY'!O382+'RAP TEMPLATE-GAS AVAILABILITY'!P382+'RAP TEMPLATE-GAS AVAILABILITY'!Q382+'RAP TEMPLATE-GAS AVAILABILITY'!R382)</f>
        <v>16.063528057553956</v>
      </c>
    </row>
    <row r="384" spans="1:29" ht="15.75" x14ac:dyDescent="0.25">
      <c r="A384" s="14">
        <v>52596</v>
      </c>
      <c r="B384" s="17">
        <f>CHOOSE(CONTROL!$C$42, 17.2364, 17.2364) * CHOOSE(CONTROL!$C$21, $C$9, 100%, $E$9)</f>
        <v>17.2364</v>
      </c>
      <c r="C384" s="17">
        <f>CHOOSE(CONTROL!$C$42, 17.2414, 17.2414) * CHOOSE(CONTROL!$C$21, $C$9, 100%, $E$9)</f>
        <v>17.241399999999999</v>
      </c>
      <c r="D384" s="17">
        <f>CHOOSE(CONTROL!$C$42, 17.3228, 17.3228) * CHOOSE(CONTROL!$C$21, $C$9, 100%, $E$9)</f>
        <v>17.322800000000001</v>
      </c>
      <c r="E384" s="17">
        <f>CHOOSE(CONTROL!$C$42, 17.3566, 17.3566) * CHOOSE(CONTROL!$C$21, $C$9, 100%, $E$9)</f>
        <v>17.3566</v>
      </c>
      <c r="F384" s="17">
        <f>CHOOSE(CONTROL!$C$42, 17.2567, 17.2567)*CHOOSE(CONTROL!$C$21, $C$9, 100%, $E$9)</f>
        <v>17.256699999999999</v>
      </c>
      <c r="G384" s="17">
        <f>CHOOSE(CONTROL!$C$42, 17.274, 17.274)*CHOOSE(CONTROL!$C$21, $C$9, 100%, $E$9)</f>
        <v>17.274000000000001</v>
      </c>
      <c r="H384" s="17">
        <f>CHOOSE(CONTROL!$C$42, 17.3454, 17.3454) * CHOOSE(CONTROL!$C$21, $C$9, 100%, $E$9)</f>
        <v>17.345400000000001</v>
      </c>
      <c r="I384" s="17">
        <f>CHOOSE(CONTROL!$C$42, 17.3148, 17.3148)* CHOOSE(CONTROL!$C$21, $C$9, 100%, $E$9)</f>
        <v>17.314800000000002</v>
      </c>
      <c r="J384" s="17">
        <f>CHOOSE(CONTROL!$C$42, 17.2493, 17.2493)* CHOOSE(CONTROL!$C$21, $C$9, 100%, $E$9)</f>
        <v>17.249300000000002</v>
      </c>
      <c r="K384" s="52">
        <f>CHOOSE(CONTROL!$C$42, 17.3087, 17.3087) * CHOOSE(CONTROL!$C$21, $C$9, 100%, $E$9)</f>
        <v>17.308700000000002</v>
      </c>
      <c r="L384" s="17">
        <f>CHOOSE(CONTROL!$C$42, 17.9324, 17.9324) * CHOOSE(CONTROL!$C$21, $C$9, 100%, $E$9)</f>
        <v>17.932400000000001</v>
      </c>
      <c r="M384" s="17">
        <f>CHOOSE(CONTROL!$C$42, 17.1011, 17.1011) * CHOOSE(CONTROL!$C$21, $C$9, 100%, $E$9)</f>
        <v>17.101099999999999</v>
      </c>
      <c r="N384" s="17">
        <f>CHOOSE(CONTROL!$C$42, 17.1183, 17.1183) * CHOOSE(CONTROL!$C$21, $C$9, 100%, $E$9)</f>
        <v>17.118300000000001</v>
      </c>
      <c r="O384" s="17">
        <f>CHOOSE(CONTROL!$C$42, 17.1964, 17.1964) * CHOOSE(CONTROL!$C$21, $C$9, 100%, $E$9)</f>
        <v>17.196400000000001</v>
      </c>
      <c r="P384" s="17">
        <f>CHOOSE(CONTROL!$C$42, 17.1656, 17.1656) * CHOOSE(CONTROL!$C$21, $C$9, 100%, $E$9)</f>
        <v>17.165600000000001</v>
      </c>
      <c r="Q384" s="17">
        <f>CHOOSE(CONTROL!$C$42, 17.7911, 17.7911) * CHOOSE(CONTROL!$C$21, $C$9, 100%, $E$9)</f>
        <v>17.7911</v>
      </c>
      <c r="R384" s="17">
        <f>CHOOSE(CONTROL!$C$42, 18.4226, 18.4226) * CHOOSE(CONTROL!$C$21, $C$9, 100%, $E$9)</f>
        <v>18.422599999999999</v>
      </c>
      <c r="S384" s="17">
        <f>CHOOSE(CONTROL!$C$42, 16.7046, 16.7046) * CHOOSE(CONTROL!$C$21, $C$9, 100%, $E$9)</f>
        <v>16.704599999999999</v>
      </c>
      <c r="T38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84" s="56">
        <f>(1000*CHOOSE(CONTROL!$C$42, 695, 695)*CHOOSE(CONTROL!$C$42, 0.5599, 0.5599)*CHOOSE(CONTROL!$C$42, 31, 31))/1000000</f>
        <v>12.063045499999998</v>
      </c>
      <c r="V384" s="56">
        <f>(1000*CHOOSE(CONTROL!$C$42, 500, 500)*CHOOSE(CONTROL!$C$42, 0.275, 0.275)*CHOOSE(CONTROL!$C$42, 31, 31))/1000000</f>
        <v>4.2625000000000002</v>
      </c>
      <c r="W384" s="56">
        <f>(1000*CHOOSE(CONTROL!$C$42, 0.0916, 0.0916)*CHOOSE(CONTROL!$C$42, 121.5, 121.5)*CHOOSE(CONTROL!$C$42, 31, 31))/1000000</f>
        <v>0.34501139999999997</v>
      </c>
      <c r="X384" s="56">
        <f>(31*0.2374*100000/1000000)</f>
        <v>0.73594000000000004</v>
      </c>
      <c r="Y384" s="56"/>
      <c r="Z384" s="17"/>
      <c r="AA384" s="55"/>
      <c r="AB384" s="48">
        <f>(B384*122.58+C384*297.941+D384*89.177+E384*140.302+F384*40+G384*60+H384*0+I384*100+J384*300)/(122.58+297.941+89.177+140.302+0+40+60+100+300)</f>
        <v>17.271910346260874</v>
      </c>
      <c r="AC384" s="45">
        <f>(M384*'RAP TEMPLATE-GAS AVAILABILITY'!O383+N384*'RAP TEMPLATE-GAS AVAILABILITY'!P383+O384*'RAP TEMPLATE-GAS AVAILABILITY'!Q383+P384*'RAP TEMPLATE-GAS AVAILABILITY'!R383)/('RAP TEMPLATE-GAS AVAILABILITY'!O383+'RAP TEMPLATE-GAS AVAILABILITY'!P383+'RAP TEMPLATE-GAS AVAILABILITY'!Q383+'RAP TEMPLATE-GAS AVAILABILITY'!R383)</f>
        <v>17.154564028776978</v>
      </c>
    </row>
    <row r="385" spans="1:29" ht="15.75" x14ac:dyDescent="0.25">
      <c r="A385" s="14">
        <v>52627</v>
      </c>
      <c r="B385" s="17">
        <f>CHOOSE(CONTROL!$C$42, 18.6644, 18.6644) * CHOOSE(CONTROL!$C$21, $C$9, 100%, $E$9)</f>
        <v>18.664400000000001</v>
      </c>
      <c r="C385" s="17">
        <f>CHOOSE(CONTROL!$C$42, 18.6695, 18.6695) * CHOOSE(CONTROL!$C$21, $C$9, 100%, $E$9)</f>
        <v>18.669499999999999</v>
      </c>
      <c r="D385" s="17">
        <f>CHOOSE(CONTROL!$C$42, 18.7663, 18.7663) * CHOOSE(CONTROL!$C$21, $C$9, 100%, $E$9)</f>
        <v>18.766300000000001</v>
      </c>
      <c r="E385" s="17">
        <f>CHOOSE(CONTROL!$C$42, 18.8001, 18.8001) * CHOOSE(CONTROL!$C$21, $C$9, 100%, $E$9)</f>
        <v>18.8001</v>
      </c>
      <c r="F385" s="17">
        <f>CHOOSE(CONTROL!$C$42, 18.6786, 18.6786)*CHOOSE(CONTROL!$C$21, $C$9, 100%, $E$9)</f>
        <v>18.678599999999999</v>
      </c>
      <c r="G385" s="17">
        <f>CHOOSE(CONTROL!$C$42, 18.6951, 18.6951)*CHOOSE(CONTROL!$C$21, $C$9, 100%, $E$9)</f>
        <v>18.6951</v>
      </c>
      <c r="H385" s="17">
        <f>CHOOSE(CONTROL!$C$42, 18.7889, 18.7889) * CHOOSE(CONTROL!$C$21, $C$9, 100%, $E$9)</f>
        <v>18.788900000000002</v>
      </c>
      <c r="I385" s="17">
        <f>CHOOSE(CONTROL!$C$42, 18.7473, 18.7473)* CHOOSE(CONTROL!$C$21, $C$9, 100%, $E$9)</f>
        <v>18.747299999999999</v>
      </c>
      <c r="J385" s="17">
        <f>CHOOSE(CONTROL!$C$42, 18.6712, 18.6712)* CHOOSE(CONTROL!$C$21, $C$9, 100%, $E$9)</f>
        <v>18.671199999999999</v>
      </c>
      <c r="K385" s="52">
        <f>CHOOSE(CONTROL!$C$42, 18.7412, 18.7412) * CHOOSE(CONTROL!$C$21, $C$9, 100%, $E$9)</f>
        <v>18.741199999999999</v>
      </c>
      <c r="L385" s="17">
        <f>CHOOSE(CONTROL!$C$42, 19.3759, 19.3759) * CHOOSE(CONTROL!$C$21, $C$9, 100%, $E$9)</f>
        <v>19.375900000000001</v>
      </c>
      <c r="M385" s="17">
        <f>CHOOSE(CONTROL!$C$42, 18.5103, 18.5103) * CHOOSE(CONTROL!$C$21, $C$9, 100%, $E$9)</f>
        <v>18.510300000000001</v>
      </c>
      <c r="N385" s="17">
        <f>CHOOSE(CONTROL!$C$42, 18.5266, 18.5266) * CHOOSE(CONTROL!$C$21, $C$9, 100%, $E$9)</f>
        <v>18.526599999999998</v>
      </c>
      <c r="O385" s="17">
        <f>CHOOSE(CONTROL!$C$42, 18.627, 18.627) * CHOOSE(CONTROL!$C$21, $C$9, 100%, $E$9)</f>
        <v>18.626999999999999</v>
      </c>
      <c r="P385" s="17">
        <f>CHOOSE(CONTROL!$C$42, 18.5852, 18.5852) * CHOOSE(CONTROL!$C$21, $C$9, 100%, $E$9)</f>
        <v>18.5852</v>
      </c>
      <c r="Q385" s="17">
        <f>CHOOSE(CONTROL!$C$42, 19.2217, 19.2217) * CHOOSE(CONTROL!$C$21, $C$9, 100%, $E$9)</f>
        <v>19.221699999999998</v>
      </c>
      <c r="R385" s="17">
        <f>CHOOSE(CONTROL!$C$42, 19.8567, 19.8567) * CHOOSE(CONTROL!$C$21, $C$9, 100%, $E$9)</f>
        <v>19.8567</v>
      </c>
      <c r="S385" s="17">
        <f>CHOOSE(CONTROL!$C$42, 18.0893, 18.0893) * CHOOSE(CONTROL!$C$21, $C$9, 100%, $E$9)</f>
        <v>18.089300000000001</v>
      </c>
      <c r="T38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85" s="56">
        <f>(1000*CHOOSE(CONTROL!$C$42, 695, 695)*CHOOSE(CONTROL!$C$42, 0.5599, 0.5599)*CHOOSE(CONTROL!$C$42, 31, 31))/1000000</f>
        <v>12.063045499999998</v>
      </c>
      <c r="V385" s="56">
        <f>(1000*CHOOSE(CONTROL!$C$42, 500, 500)*CHOOSE(CONTROL!$C$42, 0.275, 0.275)*CHOOSE(CONTROL!$C$42, 31, 31))/1000000</f>
        <v>4.2625000000000002</v>
      </c>
      <c r="W385" s="56">
        <f>(1000*CHOOSE(CONTROL!$C$42, 0.0916, 0.0916)*CHOOSE(CONTROL!$C$42, 121.5, 121.5)*CHOOSE(CONTROL!$C$42, 31, 31))/1000000</f>
        <v>0.34501139999999997</v>
      </c>
      <c r="X385" s="56">
        <f>(31*0.2374*100000/1000000)</f>
        <v>0.73594000000000004</v>
      </c>
      <c r="Y385" s="56"/>
      <c r="Z385" s="17"/>
      <c r="AA385" s="55"/>
      <c r="AB385" s="48">
        <f>(B385*122.58+C385*297.941+D385*89.177+E385*140.302+F385*40+G385*60+H385*0+I385*100+J385*300)/(122.58+297.941+89.177+140.302+0+40+60+100+300)</f>
        <v>18.701257058086956</v>
      </c>
      <c r="AC385" s="45">
        <f>(M385*'RAP TEMPLATE-GAS AVAILABILITY'!O384+N385*'RAP TEMPLATE-GAS AVAILABILITY'!P384+O385*'RAP TEMPLATE-GAS AVAILABILITY'!Q384+P385*'RAP TEMPLATE-GAS AVAILABILITY'!R384)/('RAP TEMPLATE-GAS AVAILABILITY'!O384+'RAP TEMPLATE-GAS AVAILABILITY'!P384+'RAP TEMPLATE-GAS AVAILABILITY'!Q384+'RAP TEMPLATE-GAS AVAILABILITY'!R384)</f>
        <v>18.574907913669065</v>
      </c>
    </row>
    <row r="386" spans="1:29" ht="15.75" x14ac:dyDescent="0.25">
      <c r="A386" s="14">
        <v>52655</v>
      </c>
      <c r="B386" s="17">
        <f>CHOOSE(CONTROL!$C$42, 18.9965, 18.9965) * CHOOSE(CONTROL!$C$21, $C$9, 100%, $E$9)</f>
        <v>18.996500000000001</v>
      </c>
      <c r="C386" s="17">
        <f>CHOOSE(CONTROL!$C$42, 19.0015, 19.0015) * CHOOSE(CONTROL!$C$21, $C$9, 100%, $E$9)</f>
        <v>19.0015</v>
      </c>
      <c r="D386" s="17">
        <f>CHOOSE(CONTROL!$C$42, 19.0984, 19.0984) * CHOOSE(CONTROL!$C$21, $C$9, 100%, $E$9)</f>
        <v>19.098400000000002</v>
      </c>
      <c r="E386" s="17">
        <f>CHOOSE(CONTROL!$C$42, 19.1321, 19.1321) * CHOOSE(CONTROL!$C$21, $C$9, 100%, $E$9)</f>
        <v>19.132100000000001</v>
      </c>
      <c r="F386" s="17">
        <f>CHOOSE(CONTROL!$C$42, 19.0107, 19.0107)*CHOOSE(CONTROL!$C$21, $C$9, 100%, $E$9)</f>
        <v>19.0107</v>
      </c>
      <c r="G386" s="17">
        <f>CHOOSE(CONTROL!$C$42, 19.0271, 19.0271)*CHOOSE(CONTROL!$C$21, $C$9, 100%, $E$9)</f>
        <v>19.027100000000001</v>
      </c>
      <c r="H386" s="17">
        <f>CHOOSE(CONTROL!$C$42, 19.121, 19.121) * CHOOSE(CONTROL!$C$21, $C$9, 100%, $E$9)</f>
        <v>19.120999999999999</v>
      </c>
      <c r="I386" s="17">
        <f>CHOOSE(CONTROL!$C$42, 19.0803, 19.0803)* CHOOSE(CONTROL!$C$21, $C$9, 100%, $E$9)</f>
        <v>19.080300000000001</v>
      </c>
      <c r="J386" s="17">
        <f>CHOOSE(CONTROL!$C$42, 19.0033, 19.0033)* CHOOSE(CONTROL!$C$21, $C$9, 100%, $E$9)</f>
        <v>19.003299999999999</v>
      </c>
      <c r="K386" s="52">
        <f>CHOOSE(CONTROL!$C$42, 19.0743, 19.0743) * CHOOSE(CONTROL!$C$21, $C$9, 100%, $E$9)</f>
        <v>19.074300000000001</v>
      </c>
      <c r="L386" s="17">
        <f>CHOOSE(CONTROL!$C$42, 19.708, 19.708) * CHOOSE(CONTROL!$C$21, $C$9, 100%, $E$9)</f>
        <v>19.707999999999998</v>
      </c>
      <c r="M386" s="17">
        <f>CHOOSE(CONTROL!$C$42, 18.8394, 18.8394) * CHOOSE(CONTROL!$C$21, $C$9, 100%, $E$9)</f>
        <v>18.839400000000001</v>
      </c>
      <c r="N386" s="17">
        <f>CHOOSE(CONTROL!$C$42, 18.8557, 18.8557) * CHOOSE(CONTROL!$C$21, $C$9, 100%, $E$9)</f>
        <v>18.855699999999999</v>
      </c>
      <c r="O386" s="17">
        <f>CHOOSE(CONTROL!$C$42, 18.956, 18.956) * CHOOSE(CONTROL!$C$21, $C$9, 100%, $E$9)</f>
        <v>18.956</v>
      </c>
      <c r="P386" s="17">
        <f>CHOOSE(CONTROL!$C$42, 18.9153, 18.9153) * CHOOSE(CONTROL!$C$21, $C$9, 100%, $E$9)</f>
        <v>18.915299999999998</v>
      </c>
      <c r="Q386" s="17">
        <f>CHOOSE(CONTROL!$C$42, 19.5507, 19.5507) * CHOOSE(CONTROL!$C$21, $C$9, 100%, $E$9)</f>
        <v>19.550699999999999</v>
      </c>
      <c r="R386" s="17">
        <f>CHOOSE(CONTROL!$C$42, 20.1866, 20.1866) * CHOOSE(CONTROL!$C$21, $C$9, 100%, $E$9)</f>
        <v>20.186599999999999</v>
      </c>
      <c r="S386" s="17">
        <f>CHOOSE(CONTROL!$C$42, 18.4113, 18.4113) * CHOOSE(CONTROL!$C$21, $C$9, 100%, $E$9)</f>
        <v>18.411300000000001</v>
      </c>
      <c r="T386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86" s="56">
        <f>(1000*CHOOSE(CONTROL!$C$42, 695, 695)*CHOOSE(CONTROL!$C$42, 0.5599, 0.5599)*CHOOSE(CONTROL!$C$42, 29, 29))/1000000</f>
        <v>11.284784499999999</v>
      </c>
      <c r="V386" s="56">
        <f>(1000*CHOOSE(CONTROL!$C$42, 500, 500)*CHOOSE(CONTROL!$C$42, 0.275, 0.275)*CHOOSE(CONTROL!$C$42, 29, 29))/1000000</f>
        <v>3.9874999999999998</v>
      </c>
      <c r="W386" s="56">
        <f>(1000*CHOOSE(CONTROL!$C$42, 0.0916, 0.0916)*CHOOSE(CONTROL!$C$42, 121.5, 121.5)*CHOOSE(CONTROL!$C$42, 29, 29))/1000000</f>
        <v>0.3227526</v>
      </c>
      <c r="X386" s="56">
        <f>(29*0.2374*100000/1000000)</f>
        <v>0.68845999999999996</v>
      </c>
      <c r="Y386" s="56"/>
      <c r="Z386" s="17"/>
      <c r="AA386" s="55"/>
      <c r="AB386" s="48">
        <f>(B386*122.58+C386*297.941+D386*89.177+E386*140.302+F386*40+G386*60+H386*0+I386*100+J386*300)/(122.58+297.941+89.177+140.302+0+40+60+100+300)</f>
        <v>19.033391993478261</v>
      </c>
      <c r="AC386" s="45">
        <f>(M386*'RAP TEMPLATE-GAS AVAILABILITY'!O385+N386*'RAP TEMPLATE-GAS AVAILABILITY'!P385+O386*'RAP TEMPLATE-GAS AVAILABILITY'!Q385+P386*'RAP TEMPLATE-GAS AVAILABILITY'!R385)/('RAP TEMPLATE-GAS AVAILABILITY'!O385+'RAP TEMPLATE-GAS AVAILABILITY'!P385+'RAP TEMPLATE-GAS AVAILABILITY'!Q385+'RAP TEMPLATE-GAS AVAILABILITY'!R385)</f>
        <v>18.904106474820143</v>
      </c>
    </row>
    <row r="387" spans="1:29" ht="15.75" x14ac:dyDescent="0.25">
      <c r="A387" s="14">
        <v>52687</v>
      </c>
      <c r="B387" s="17">
        <f>CHOOSE(CONTROL!$C$42, 18.4574, 18.4574) * CHOOSE(CONTROL!$C$21, $C$9, 100%, $E$9)</f>
        <v>18.4574</v>
      </c>
      <c r="C387" s="17">
        <f>CHOOSE(CONTROL!$C$42, 18.4625, 18.4625) * CHOOSE(CONTROL!$C$21, $C$9, 100%, $E$9)</f>
        <v>18.462499999999999</v>
      </c>
      <c r="D387" s="17">
        <f>CHOOSE(CONTROL!$C$42, 18.5593, 18.5593) * CHOOSE(CONTROL!$C$21, $C$9, 100%, $E$9)</f>
        <v>18.5593</v>
      </c>
      <c r="E387" s="17">
        <f>CHOOSE(CONTROL!$C$42, 18.5931, 18.5931) * CHOOSE(CONTROL!$C$21, $C$9, 100%, $E$9)</f>
        <v>18.5931</v>
      </c>
      <c r="F387" s="17">
        <f>CHOOSE(CONTROL!$C$42, 18.471, 18.471)*CHOOSE(CONTROL!$C$21, $C$9, 100%, $E$9)</f>
        <v>18.471</v>
      </c>
      <c r="G387" s="17">
        <f>CHOOSE(CONTROL!$C$42, 18.4873, 18.4873)*CHOOSE(CONTROL!$C$21, $C$9, 100%, $E$9)</f>
        <v>18.487300000000001</v>
      </c>
      <c r="H387" s="17">
        <f>CHOOSE(CONTROL!$C$42, 18.582, 18.582) * CHOOSE(CONTROL!$C$21, $C$9, 100%, $E$9)</f>
        <v>18.582000000000001</v>
      </c>
      <c r="I387" s="17">
        <f>CHOOSE(CONTROL!$C$42, 18.5397, 18.5397)* CHOOSE(CONTROL!$C$21, $C$9, 100%, $E$9)</f>
        <v>18.5397</v>
      </c>
      <c r="J387" s="17">
        <f>CHOOSE(CONTROL!$C$42, 18.4636, 18.4636)* CHOOSE(CONTROL!$C$21, $C$9, 100%, $E$9)</f>
        <v>18.4636</v>
      </c>
      <c r="K387" s="52">
        <f>CHOOSE(CONTROL!$C$42, 18.5336, 18.5336) * CHOOSE(CONTROL!$C$21, $C$9, 100%, $E$9)</f>
        <v>18.5336</v>
      </c>
      <c r="L387" s="17">
        <f>CHOOSE(CONTROL!$C$42, 19.169, 19.169) * CHOOSE(CONTROL!$C$21, $C$9, 100%, $E$9)</f>
        <v>19.169</v>
      </c>
      <c r="M387" s="17">
        <f>CHOOSE(CONTROL!$C$42, 18.3046, 18.3046) * CHOOSE(CONTROL!$C$21, $C$9, 100%, $E$9)</f>
        <v>18.304600000000001</v>
      </c>
      <c r="N387" s="17">
        <f>CHOOSE(CONTROL!$C$42, 18.3207, 18.3207) * CHOOSE(CONTROL!$C$21, $C$9, 100%, $E$9)</f>
        <v>18.320699999999999</v>
      </c>
      <c r="O387" s="17">
        <f>CHOOSE(CONTROL!$C$42, 18.4219, 18.4219) * CHOOSE(CONTROL!$C$21, $C$9, 100%, $E$9)</f>
        <v>18.421900000000001</v>
      </c>
      <c r="P387" s="17">
        <f>CHOOSE(CONTROL!$C$42, 18.3795, 18.3795) * CHOOSE(CONTROL!$C$21, $C$9, 100%, $E$9)</f>
        <v>18.3795</v>
      </c>
      <c r="Q387" s="17">
        <f>CHOOSE(CONTROL!$C$42, 19.0166, 19.0166) * CHOOSE(CONTROL!$C$21, $C$9, 100%, $E$9)</f>
        <v>19.0166</v>
      </c>
      <c r="R387" s="17">
        <f>CHOOSE(CONTROL!$C$42, 19.6511, 19.6511) * CHOOSE(CONTROL!$C$21, $C$9, 100%, $E$9)</f>
        <v>19.6511</v>
      </c>
      <c r="S387" s="17">
        <f>CHOOSE(CONTROL!$C$42, 17.8887, 17.8887) * CHOOSE(CONTROL!$C$21, $C$9, 100%, $E$9)</f>
        <v>17.8887</v>
      </c>
      <c r="T38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87" s="56">
        <f>(1000*CHOOSE(CONTROL!$C$42, 695, 695)*CHOOSE(CONTROL!$C$42, 0.5599, 0.5599)*CHOOSE(CONTROL!$C$42, 31, 31))/1000000</f>
        <v>12.063045499999998</v>
      </c>
      <c r="V387" s="56">
        <f>(1000*CHOOSE(CONTROL!$C$42, 500, 500)*CHOOSE(CONTROL!$C$42, 0.275, 0.275)*CHOOSE(CONTROL!$C$42, 31, 31))/1000000</f>
        <v>4.2625000000000002</v>
      </c>
      <c r="W387" s="56">
        <f>(1000*CHOOSE(CONTROL!$C$42, 0.0916, 0.0916)*CHOOSE(CONTROL!$C$42, 121.5, 121.5)*CHOOSE(CONTROL!$C$42, 31, 31))/1000000</f>
        <v>0.34501139999999997</v>
      </c>
      <c r="X387" s="56">
        <f>(31*0.2374*100000/1000000)</f>
        <v>0.73594000000000004</v>
      </c>
      <c r="Y387" s="56"/>
      <c r="Z387" s="17"/>
      <c r="AA387" s="55"/>
      <c r="AB387" s="48">
        <f>(B387*122.58+C387*297.941+D387*89.177+E387*140.302+F387*40+G387*60+H387*0+I387*100+J387*300)/(122.58+297.941+89.177+140.302+0+40+60+100+300)</f>
        <v>18.493985753739128</v>
      </c>
      <c r="AC387" s="45">
        <f>(M387*'RAP TEMPLATE-GAS AVAILABILITY'!O386+N387*'RAP TEMPLATE-GAS AVAILABILITY'!P386+O387*'RAP TEMPLATE-GAS AVAILABILITY'!Q386+P387*'RAP TEMPLATE-GAS AVAILABILITY'!R386)/('RAP TEMPLATE-GAS AVAILABILITY'!O386+'RAP TEMPLATE-GAS AVAILABILITY'!P386+'RAP TEMPLATE-GAS AVAILABILITY'!Q386+'RAP TEMPLATE-GAS AVAILABILITY'!R386)</f>
        <v>18.369468345323742</v>
      </c>
    </row>
    <row r="388" spans="1:29" ht="15.75" x14ac:dyDescent="0.25">
      <c r="A388" s="14">
        <v>52717</v>
      </c>
      <c r="B388" s="17">
        <f>CHOOSE(CONTROL!$C$42, 18.4032, 18.4032) * CHOOSE(CONTROL!$C$21, $C$9, 100%, $E$9)</f>
        <v>18.403199999999998</v>
      </c>
      <c r="C388" s="17">
        <f>CHOOSE(CONTROL!$C$42, 18.4077, 18.4077) * CHOOSE(CONTROL!$C$21, $C$9, 100%, $E$9)</f>
        <v>18.407699999999998</v>
      </c>
      <c r="D388" s="17">
        <f>CHOOSE(CONTROL!$C$42, 18.6552, 18.6552) * CHOOSE(CONTROL!$C$21, $C$9, 100%, $E$9)</f>
        <v>18.655200000000001</v>
      </c>
      <c r="E388" s="17">
        <f>CHOOSE(CONTROL!$C$42, 18.687, 18.687) * CHOOSE(CONTROL!$C$21, $C$9, 100%, $E$9)</f>
        <v>18.687000000000001</v>
      </c>
      <c r="F388" s="17">
        <f>CHOOSE(CONTROL!$C$42, 18.4148, 18.4148)*CHOOSE(CONTROL!$C$21, $C$9, 100%, $E$9)</f>
        <v>18.4148</v>
      </c>
      <c r="G388" s="17">
        <f>CHOOSE(CONTROL!$C$42, 18.4308, 18.4308)*CHOOSE(CONTROL!$C$21, $C$9, 100%, $E$9)</f>
        <v>18.430800000000001</v>
      </c>
      <c r="H388" s="17">
        <f>CHOOSE(CONTROL!$C$42, 18.6765, 18.6765) * CHOOSE(CONTROL!$C$21, $C$9, 100%, $E$9)</f>
        <v>18.676500000000001</v>
      </c>
      <c r="I388" s="17">
        <f>CHOOSE(CONTROL!$C$42, 18.4829, 18.4829)* CHOOSE(CONTROL!$C$21, $C$9, 100%, $E$9)</f>
        <v>18.482900000000001</v>
      </c>
      <c r="J388" s="17">
        <f>CHOOSE(CONTROL!$C$42, 18.4074, 18.4074)* CHOOSE(CONTROL!$C$21, $C$9, 100%, $E$9)</f>
        <v>18.407399999999999</v>
      </c>
      <c r="K388" s="52">
        <f>CHOOSE(CONTROL!$C$42, 18.4769, 18.4769) * CHOOSE(CONTROL!$C$21, $C$9, 100%, $E$9)</f>
        <v>18.476900000000001</v>
      </c>
      <c r="L388" s="17">
        <f>CHOOSE(CONTROL!$C$42, 19.2635, 19.2635) * CHOOSE(CONTROL!$C$21, $C$9, 100%, $E$9)</f>
        <v>19.263500000000001</v>
      </c>
      <c r="M388" s="17">
        <f>CHOOSE(CONTROL!$C$42, 18.2489, 18.2489) * CHOOSE(CONTROL!$C$21, $C$9, 100%, $E$9)</f>
        <v>18.248899999999999</v>
      </c>
      <c r="N388" s="17">
        <f>CHOOSE(CONTROL!$C$42, 18.2647, 18.2647) * CHOOSE(CONTROL!$C$21, $C$9, 100%, $E$9)</f>
        <v>18.264700000000001</v>
      </c>
      <c r="O388" s="17">
        <f>CHOOSE(CONTROL!$C$42, 18.5155, 18.5155) * CHOOSE(CONTROL!$C$21, $C$9, 100%, $E$9)</f>
        <v>18.515499999999999</v>
      </c>
      <c r="P388" s="17">
        <f>CHOOSE(CONTROL!$C$42, 18.3232, 18.3232) * CHOOSE(CONTROL!$C$21, $C$9, 100%, $E$9)</f>
        <v>18.3232</v>
      </c>
      <c r="Q388" s="17">
        <f>CHOOSE(CONTROL!$C$42, 19.1102, 19.1102) * CHOOSE(CONTROL!$C$21, $C$9, 100%, $E$9)</f>
        <v>19.110199999999999</v>
      </c>
      <c r="R388" s="17">
        <f>CHOOSE(CONTROL!$C$42, 19.745, 19.745) * CHOOSE(CONTROL!$C$21, $C$9, 100%, $E$9)</f>
        <v>19.745000000000001</v>
      </c>
      <c r="S388" s="17">
        <f>CHOOSE(CONTROL!$C$42, 17.8353, 17.8353) * CHOOSE(CONTROL!$C$21, $C$9, 100%, $E$9)</f>
        <v>17.8353</v>
      </c>
      <c r="T38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88" s="56">
        <f>(1000*CHOOSE(CONTROL!$C$42, 695, 695)*CHOOSE(CONTROL!$C$42, 0.5599, 0.5599)*CHOOSE(CONTROL!$C$42, 30, 30))/1000000</f>
        <v>11.673914999999997</v>
      </c>
      <c r="V388" s="56">
        <f>(1000*CHOOSE(CONTROL!$C$42, 500, 500)*CHOOSE(CONTROL!$C$42, 0.275, 0.275)*CHOOSE(CONTROL!$C$42, 30, 30))/1000000</f>
        <v>4.125</v>
      </c>
      <c r="W388" s="56">
        <f>(1000*CHOOSE(CONTROL!$C$42, 0.0916, 0.0916)*CHOOSE(CONTROL!$C$42, 121.5, 121.5)*CHOOSE(CONTROL!$C$42, 30, 30))/1000000</f>
        <v>0.33388200000000001</v>
      </c>
      <c r="X388" s="56">
        <f>(30*0.1790888*145000/1000000)+(30*0.2374*100000/1000000)</f>
        <v>1.4912362799999999</v>
      </c>
      <c r="Y388" s="56"/>
      <c r="Z388" s="17"/>
      <c r="AA388" s="55"/>
      <c r="AB388" s="48">
        <f>(B388*141.293+C388*267.993+D388*115.016+E388*189.698+F388*40+G388*85+H388*0+I388*100+J388*300)/(141.293+267.993+115.016+189.698+0+40+85+100+300)</f>
        <v>18.480735345359165</v>
      </c>
      <c r="AC388" s="45">
        <f>(M388*'RAP TEMPLATE-GAS AVAILABILITY'!O387+N388*'RAP TEMPLATE-GAS AVAILABILITY'!P387+O388*'RAP TEMPLATE-GAS AVAILABILITY'!Q387+P388*'RAP TEMPLATE-GAS AVAILABILITY'!R387)/('RAP TEMPLATE-GAS AVAILABILITY'!O387+'RAP TEMPLATE-GAS AVAILABILITY'!P387+'RAP TEMPLATE-GAS AVAILABILITY'!Q387+'RAP TEMPLATE-GAS AVAILABILITY'!R387)</f>
        <v>18.338029496402875</v>
      </c>
    </row>
    <row r="389" spans="1:29" ht="15.75" x14ac:dyDescent="0.25">
      <c r="A389" s="14">
        <v>52748</v>
      </c>
      <c r="B389" s="17">
        <f>CHOOSE(CONTROL!$C$42, 18.5669, 18.5669) * CHOOSE(CONTROL!$C$21, $C$9, 100%, $E$9)</f>
        <v>18.5669</v>
      </c>
      <c r="C389" s="17">
        <f>CHOOSE(CONTROL!$C$42, 18.5749, 18.5749) * CHOOSE(CONTROL!$C$21, $C$9, 100%, $E$9)</f>
        <v>18.5749</v>
      </c>
      <c r="D389" s="17">
        <f>CHOOSE(CONTROL!$C$42, 18.8193, 18.8193) * CHOOSE(CONTROL!$C$21, $C$9, 100%, $E$9)</f>
        <v>18.819299999999998</v>
      </c>
      <c r="E389" s="17">
        <f>CHOOSE(CONTROL!$C$42, 18.8505, 18.8505) * CHOOSE(CONTROL!$C$21, $C$9, 100%, $E$9)</f>
        <v>18.8505</v>
      </c>
      <c r="F389" s="17">
        <f>CHOOSE(CONTROL!$C$42, 18.5774, 18.5774)*CHOOSE(CONTROL!$C$21, $C$9, 100%, $E$9)</f>
        <v>18.577400000000001</v>
      </c>
      <c r="G389" s="17">
        <f>CHOOSE(CONTROL!$C$42, 18.5936, 18.5936)*CHOOSE(CONTROL!$C$21, $C$9, 100%, $E$9)</f>
        <v>18.593599999999999</v>
      </c>
      <c r="H389" s="17">
        <f>CHOOSE(CONTROL!$C$42, 18.8388, 18.8388) * CHOOSE(CONTROL!$C$21, $C$9, 100%, $E$9)</f>
        <v>18.838799999999999</v>
      </c>
      <c r="I389" s="17">
        <f>CHOOSE(CONTROL!$C$42, 18.6458, 18.6458)* CHOOSE(CONTROL!$C$21, $C$9, 100%, $E$9)</f>
        <v>18.645800000000001</v>
      </c>
      <c r="J389" s="17">
        <f>CHOOSE(CONTROL!$C$42, 18.57, 18.57)* CHOOSE(CONTROL!$C$21, $C$9, 100%, $E$9)</f>
        <v>18.57</v>
      </c>
      <c r="K389" s="52">
        <f>CHOOSE(CONTROL!$C$42, 18.6397, 18.6397) * CHOOSE(CONTROL!$C$21, $C$9, 100%, $E$9)</f>
        <v>18.639700000000001</v>
      </c>
      <c r="L389" s="17">
        <f>CHOOSE(CONTROL!$C$42, 19.4258, 19.4258) * CHOOSE(CONTROL!$C$21, $C$9, 100%, $E$9)</f>
        <v>19.425799999999999</v>
      </c>
      <c r="M389" s="17">
        <f>CHOOSE(CONTROL!$C$42, 18.41, 18.41) * CHOOSE(CONTROL!$C$21, $C$9, 100%, $E$9)</f>
        <v>18.41</v>
      </c>
      <c r="N389" s="17">
        <f>CHOOSE(CONTROL!$C$42, 18.4261, 18.4261) * CHOOSE(CONTROL!$C$21, $C$9, 100%, $E$9)</f>
        <v>18.426100000000002</v>
      </c>
      <c r="O389" s="17">
        <f>CHOOSE(CONTROL!$C$42, 18.6764, 18.6764) * CHOOSE(CONTROL!$C$21, $C$9, 100%, $E$9)</f>
        <v>18.676400000000001</v>
      </c>
      <c r="P389" s="17">
        <f>CHOOSE(CONTROL!$C$42, 18.4846, 18.4846) * CHOOSE(CONTROL!$C$21, $C$9, 100%, $E$9)</f>
        <v>18.4846</v>
      </c>
      <c r="Q389" s="17">
        <f>CHOOSE(CONTROL!$C$42, 19.2711, 19.2711) * CHOOSE(CONTROL!$C$21, $C$9, 100%, $E$9)</f>
        <v>19.271100000000001</v>
      </c>
      <c r="R389" s="17">
        <f>CHOOSE(CONTROL!$C$42, 19.9063, 19.9063) * CHOOSE(CONTROL!$C$21, $C$9, 100%, $E$9)</f>
        <v>19.906300000000002</v>
      </c>
      <c r="S389" s="17">
        <f>CHOOSE(CONTROL!$C$42, 17.9927, 17.9927) * CHOOSE(CONTROL!$C$21, $C$9, 100%, $E$9)</f>
        <v>17.992699999999999</v>
      </c>
      <c r="T38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89" s="56">
        <f>(1000*CHOOSE(CONTROL!$C$42, 695, 695)*CHOOSE(CONTROL!$C$42, 0.5599, 0.5599)*CHOOSE(CONTROL!$C$42, 31, 31))/1000000</f>
        <v>12.063045499999998</v>
      </c>
      <c r="V389" s="56">
        <f>(1000*CHOOSE(CONTROL!$C$42, 500, 500)*CHOOSE(CONTROL!$C$42, 0.275, 0.275)*CHOOSE(CONTROL!$C$42, 31, 31))/1000000</f>
        <v>4.2625000000000002</v>
      </c>
      <c r="W389" s="56">
        <f>(1000*CHOOSE(CONTROL!$C$42, 0.0916, 0.0916)*CHOOSE(CONTROL!$C$42, 121.5, 121.5)*CHOOSE(CONTROL!$C$42, 31, 31))/1000000</f>
        <v>0.34501139999999997</v>
      </c>
      <c r="X389" s="56">
        <f>(31*0.1790888*145000/1000000)+(31*0.2374*100000/1000000)</f>
        <v>1.5409441560000001</v>
      </c>
      <c r="Y389" s="56"/>
      <c r="Z389" s="17"/>
      <c r="AA389" s="55"/>
      <c r="AB389" s="48">
        <f>(B389*194.205+C389*267.466+D389*133.845+E389*153.484+F389*40+G389*85+H389*0+I389*100+J389*300)/(194.205+267.466+133.845+153.484+0+40+85+100+300)</f>
        <v>18.638296992464682</v>
      </c>
      <c r="AC389" s="45">
        <f>(M389*'RAP TEMPLATE-GAS AVAILABILITY'!O388+N389*'RAP TEMPLATE-GAS AVAILABILITY'!P388+O389*'RAP TEMPLATE-GAS AVAILABILITY'!Q388+P389*'RAP TEMPLATE-GAS AVAILABILITY'!R388)/('RAP TEMPLATE-GAS AVAILABILITY'!O388+'RAP TEMPLATE-GAS AVAILABILITY'!P388+'RAP TEMPLATE-GAS AVAILABILITY'!Q388+'RAP TEMPLATE-GAS AVAILABILITY'!R388)</f>
        <v>18.499185611510793</v>
      </c>
    </row>
    <row r="390" spans="1:29" ht="15.75" x14ac:dyDescent="0.25">
      <c r="A390" s="14">
        <v>52778</v>
      </c>
      <c r="B390" s="17">
        <f>CHOOSE(CONTROL!$C$42, 19.0932, 19.0932) * CHOOSE(CONTROL!$C$21, $C$9, 100%, $E$9)</f>
        <v>19.0932</v>
      </c>
      <c r="C390" s="17">
        <f>CHOOSE(CONTROL!$C$42, 19.1012, 19.1012) * CHOOSE(CONTROL!$C$21, $C$9, 100%, $E$9)</f>
        <v>19.101199999999999</v>
      </c>
      <c r="D390" s="17">
        <f>CHOOSE(CONTROL!$C$42, 19.3456, 19.3456) * CHOOSE(CONTROL!$C$21, $C$9, 100%, $E$9)</f>
        <v>19.345600000000001</v>
      </c>
      <c r="E390" s="17">
        <f>CHOOSE(CONTROL!$C$42, 19.3768, 19.3768) * CHOOSE(CONTROL!$C$21, $C$9, 100%, $E$9)</f>
        <v>19.376799999999999</v>
      </c>
      <c r="F390" s="17">
        <f>CHOOSE(CONTROL!$C$42, 19.1041, 19.1041)*CHOOSE(CONTROL!$C$21, $C$9, 100%, $E$9)</f>
        <v>19.104099999999999</v>
      </c>
      <c r="G390" s="17">
        <f>CHOOSE(CONTROL!$C$42, 19.1204, 19.1204)*CHOOSE(CONTROL!$C$21, $C$9, 100%, $E$9)</f>
        <v>19.1204</v>
      </c>
      <c r="H390" s="17">
        <f>CHOOSE(CONTROL!$C$42, 19.3651, 19.3651) * CHOOSE(CONTROL!$C$21, $C$9, 100%, $E$9)</f>
        <v>19.365100000000002</v>
      </c>
      <c r="I390" s="17">
        <f>CHOOSE(CONTROL!$C$42, 19.1737, 19.1737)* CHOOSE(CONTROL!$C$21, $C$9, 100%, $E$9)</f>
        <v>19.1737</v>
      </c>
      <c r="J390" s="17">
        <f>CHOOSE(CONTROL!$C$42, 19.0967, 19.0967)* CHOOSE(CONTROL!$C$21, $C$9, 100%, $E$9)</f>
        <v>19.096699999999998</v>
      </c>
      <c r="K390" s="52">
        <f>CHOOSE(CONTROL!$C$42, 19.1677, 19.1677) * CHOOSE(CONTROL!$C$21, $C$9, 100%, $E$9)</f>
        <v>19.1677</v>
      </c>
      <c r="L390" s="17">
        <f>CHOOSE(CONTROL!$C$42, 19.9521, 19.9521) * CHOOSE(CONTROL!$C$21, $C$9, 100%, $E$9)</f>
        <v>19.952100000000002</v>
      </c>
      <c r="M390" s="17">
        <f>CHOOSE(CONTROL!$C$42, 18.9319, 18.9319) * CHOOSE(CONTROL!$C$21, $C$9, 100%, $E$9)</f>
        <v>18.931899999999999</v>
      </c>
      <c r="N390" s="17">
        <f>CHOOSE(CONTROL!$C$42, 18.9481, 18.9481) * CHOOSE(CONTROL!$C$21, $C$9, 100%, $E$9)</f>
        <v>18.9481</v>
      </c>
      <c r="O390" s="17">
        <f>CHOOSE(CONTROL!$C$42, 19.198, 19.198) * CHOOSE(CONTROL!$C$21, $C$9, 100%, $E$9)</f>
        <v>19.198</v>
      </c>
      <c r="P390" s="17">
        <f>CHOOSE(CONTROL!$C$42, 19.0078, 19.0078) * CHOOSE(CONTROL!$C$21, $C$9, 100%, $E$9)</f>
        <v>19.0078</v>
      </c>
      <c r="Q390" s="17">
        <f>CHOOSE(CONTROL!$C$42, 19.7927, 19.7927) * CHOOSE(CONTROL!$C$21, $C$9, 100%, $E$9)</f>
        <v>19.7927</v>
      </c>
      <c r="R390" s="17">
        <f>CHOOSE(CONTROL!$C$42, 20.4292, 20.4292) * CHOOSE(CONTROL!$C$21, $C$9, 100%, $E$9)</f>
        <v>20.429200000000002</v>
      </c>
      <c r="S390" s="17">
        <f>CHOOSE(CONTROL!$C$42, 18.5031, 18.5031) * CHOOSE(CONTROL!$C$21, $C$9, 100%, $E$9)</f>
        <v>18.5031</v>
      </c>
      <c r="T39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90" s="56">
        <f>(1000*CHOOSE(CONTROL!$C$42, 695, 695)*CHOOSE(CONTROL!$C$42, 0.5599, 0.5599)*CHOOSE(CONTROL!$C$42, 30, 30))/1000000</f>
        <v>11.673914999999997</v>
      </c>
      <c r="V390" s="56">
        <f>(1000*CHOOSE(CONTROL!$C$42, 500, 500)*CHOOSE(CONTROL!$C$42, 0.275, 0.275)*CHOOSE(CONTROL!$C$42, 30, 30))/1000000</f>
        <v>4.125</v>
      </c>
      <c r="W390" s="56">
        <f>(1000*CHOOSE(CONTROL!$C$42, 0.0916, 0.0916)*CHOOSE(CONTROL!$C$42, 121.5, 121.5)*CHOOSE(CONTROL!$C$42, 30, 30))/1000000</f>
        <v>0.33388200000000001</v>
      </c>
      <c r="X390" s="56">
        <f>(30*0.1790888*145000/1000000)+(30*0.2374*100000/1000000)</f>
        <v>1.4912362799999999</v>
      </c>
      <c r="Y390" s="56"/>
      <c r="Z390" s="17"/>
      <c r="AA390" s="55"/>
      <c r="AB390" s="48">
        <f>(B390*194.205+C390*267.466+D390*133.845+E390*153.484+F390*40+G390*85+H390*0+I390*100+J390*300)/(194.205+267.466+133.845+153.484+0+40+85+100+300)</f>
        <v>19.164862691051802</v>
      </c>
      <c r="AC390" s="45">
        <f>(M390*'RAP TEMPLATE-GAS AVAILABILITY'!O389+N390*'RAP TEMPLATE-GAS AVAILABILITY'!P389+O390*'RAP TEMPLATE-GAS AVAILABILITY'!Q389+P390*'RAP TEMPLATE-GAS AVAILABILITY'!R389)/('RAP TEMPLATE-GAS AVAILABILITY'!O389+'RAP TEMPLATE-GAS AVAILABILITY'!P389+'RAP TEMPLATE-GAS AVAILABILITY'!Q389+'RAP TEMPLATE-GAS AVAILABILITY'!R389)</f>
        <v>19.021211510791368</v>
      </c>
    </row>
    <row r="391" spans="1:29" ht="15.75" x14ac:dyDescent="0.25">
      <c r="A391" s="14">
        <v>52809</v>
      </c>
      <c r="B391" s="17">
        <f>CHOOSE(CONTROL!$C$42, 18.7271, 18.7271) * CHOOSE(CONTROL!$C$21, $C$9, 100%, $E$9)</f>
        <v>18.7271</v>
      </c>
      <c r="C391" s="17">
        <f>CHOOSE(CONTROL!$C$42, 18.7351, 18.7351) * CHOOSE(CONTROL!$C$21, $C$9, 100%, $E$9)</f>
        <v>18.735099999999999</v>
      </c>
      <c r="D391" s="17">
        <f>CHOOSE(CONTROL!$C$42, 18.9796, 18.9796) * CHOOSE(CONTROL!$C$21, $C$9, 100%, $E$9)</f>
        <v>18.979600000000001</v>
      </c>
      <c r="E391" s="17">
        <f>CHOOSE(CONTROL!$C$42, 19.0108, 19.0108) * CHOOSE(CONTROL!$C$21, $C$9, 100%, $E$9)</f>
        <v>19.0108</v>
      </c>
      <c r="F391" s="17">
        <f>CHOOSE(CONTROL!$C$42, 18.7385, 18.7385)*CHOOSE(CONTROL!$C$21, $C$9, 100%, $E$9)</f>
        <v>18.738499999999998</v>
      </c>
      <c r="G391" s="17">
        <f>CHOOSE(CONTROL!$C$42, 18.7549, 18.7549)*CHOOSE(CONTROL!$C$21, $C$9, 100%, $E$9)</f>
        <v>18.754899999999999</v>
      </c>
      <c r="H391" s="17">
        <f>CHOOSE(CONTROL!$C$42, 18.9991, 18.9991) * CHOOSE(CONTROL!$C$21, $C$9, 100%, $E$9)</f>
        <v>18.999099999999999</v>
      </c>
      <c r="I391" s="17">
        <f>CHOOSE(CONTROL!$C$42, 18.8065, 18.8065)* CHOOSE(CONTROL!$C$21, $C$9, 100%, $E$9)</f>
        <v>18.8065</v>
      </c>
      <c r="J391" s="17">
        <f>CHOOSE(CONTROL!$C$42, 18.7311, 18.7311)* CHOOSE(CONTROL!$C$21, $C$9, 100%, $E$9)</f>
        <v>18.731100000000001</v>
      </c>
      <c r="K391" s="52">
        <f>CHOOSE(CONTROL!$C$42, 18.8005, 18.8005) * CHOOSE(CONTROL!$C$21, $C$9, 100%, $E$9)</f>
        <v>18.8005</v>
      </c>
      <c r="L391" s="17">
        <f>CHOOSE(CONTROL!$C$42, 19.5861, 19.5861) * CHOOSE(CONTROL!$C$21, $C$9, 100%, $E$9)</f>
        <v>19.586099999999998</v>
      </c>
      <c r="M391" s="17">
        <f>CHOOSE(CONTROL!$C$42, 18.5696, 18.5696) * CHOOSE(CONTROL!$C$21, $C$9, 100%, $E$9)</f>
        <v>18.569600000000001</v>
      </c>
      <c r="N391" s="17">
        <f>CHOOSE(CONTROL!$C$42, 18.5859, 18.5859) * CHOOSE(CONTROL!$C$21, $C$9, 100%, $E$9)</f>
        <v>18.585899999999999</v>
      </c>
      <c r="O391" s="17">
        <f>CHOOSE(CONTROL!$C$42, 18.8352, 18.8352) * CHOOSE(CONTROL!$C$21, $C$9, 100%, $E$9)</f>
        <v>18.8352</v>
      </c>
      <c r="P391" s="17">
        <f>CHOOSE(CONTROL!$C$42, 18.6439, 18.6439) * CHOOSE(CONTROL!$C$21, $C$9, 100%, $E$9)</f>
        <v>18.643899999999999</v>
      </c>
      <c r="Q391" s="17">
        <f>CHOOSE(CONTROL!$C$42, 19.4299, 19.4299) * CHOOSE(CONTROL!$C$21, $C$9, 100%, $E$9)</f>
        <v>19.4299</v>
      </c>
      <c r="R391" s="17">
        <f>CHOOSE(CONTROL!$C$42, 20.0655, 20.0655) * CHOOSE(CONTROL!$C$21, $C$9, 100%, $E$9)</f>
        <v>20.0655</v>
      </c>
      <c r="S391" s="17">
        <f>CHOOSE(CONTROL!$C$42, 18.1481, 18.1481) * CHOOSE(CONTROL!$C$21, $C$9, 100%, $E$9)</f>
        <v>18.148099999999999</v>
      </c>
      <c r="T39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91" s="56">
        <f>(1000*CHOOSE(CONTROL!$C$42, 695, 695)*CHOOSE(CONTROL!$C$42, 0.5599, 0.5599)*CHOOSE(CONTROL!$C$42, 31, 31))/1000000</f>
        <v>12.063045499999998</v>
      </c>
      <c r="V391" s="56">
        <f>(1000*CHOOSE(CONTROL!$C$42, 500, 500)*CHOOSE(CONTROL!$C$42, 0.275, 0.275)*CHOOSE(CONTROL!$C$42, 31, 31))/1000000</f>
        <v>4.2625000000000002</v>
      </c>
      <c r="W391" s="56">
        <f>(1000*CHOOSE(CONTROL!$C$42, 0.0916, 0.0916)*CHOOSE(CONTROL!$C$42, 121.5, 121.5)*CHOOSE(CONTROL!$C$42, 31, 31))/1000000</f>
        <v>0.34501139999999997</v>
      </c>
      <c r="X391" s="56">
        <f>(31*0.1790888*145000/1000000)+(31*0.2374*100000/1000000)</f>
        <v>1.5409441560000001</v>
      </c>
      <c r="Y391" s="56"/>
      <c r="Z391" s="17"/>
      <c r="AA391" s="55"/>
      <c r="AB391" s="48">
        <f>(B391*194.205+C391*267.466+D391*133.845+E391*153.484+F391*40+G391*85+H391*0+I391*100+J391*300)/(194.205+267.466+133.845+153.484+0+40+85+100+300)</f>
        <v>18.798872371507066</v>
      </c>
      <c r="AC391" s="45">
        <f>(M391*'RAP TEMPLATE-GAS AVAILABILITY'!O390+N391*'RAP TEMPLATE-GAS AVAILABILITY'!P390+O391*'RAP TEMPLATE-GAS AVAILABILITY'!Q390+P391*'RAP TEMPLATE-GAS AVAILABILITY'!R390)/('RAP TEMPLATE-GAS AVAILABILITY'!O390+'RAP TEMPLATE-GAS AVAILABILITY'!P390+'RAP TEMPLATE-GAS AVAILABILITY'!Q390+'RAP TEMPLATE-GAS AVAILABILITY'!R390)</f>
        <v>18.658564028776979</v>
      </c>
    </row>
    <row r="392" spans="1:29" ht="15.75" x14ac:dyDescent="0.25">
      <c r="A392" s="14">
        <v>52840</v>
      </c>
      <c r="B392" s="17">
        <f>CHOOSE(CONTROL!$C$42, 17.8027, 17.8027) * CHOOSE(CONTROL!$C$21, $C$9, 100%, $E$9)</f>
        <v>17.802700000000002</v>
      </c>
      <c r="C392" s="17">
        <f>CHOOSE(CONTROL!$C$42, 17.8107, 17.8107) * CHOOSE(CONTROL!$C$21, $C$9, 100%, $E$9)</f>
        <v>17.810700000000001</v>
      </c>
      <c r="D392" s="17">
        <f>CHOOSE(CONTROL!$C$42, 18.0552, 18.0552) * CHOOSE(CONTROL!$C$21, $C$9, 100%, $E$9)</f>
        <v>18.055199999999999</v>
      </c>
      <c r="E392" s="17">
        <f>CHOOSE(CONTROL!$C$42, 18.0864, 18.0864) * CHOOSE(CONTROL!$C$21, $C$9, 100%, $E$9)</f>
        <v>18.086400000000001</v>
      </c>
      <c r="F392" s="17">
        <f>CHOOSE(CONTROL!$C$42, 17.8143, 17.8143)*CHOOSE(CONTROL!$C$21, $C$9, 100%, $E$9)</f>
        <v>17.814299999999999</v>
      </c>
      <c r="G392" s="17">
        <f>CHOOSE(CONTROL!$C$42, 17.8308, 17.8308)*CHOOSE(CONTROL!$C$21, $C$9, 100%, $E$9)</f>
        <v>17.8308</v>
      </c>
      <c r="H392" s="17">
        <f>CHOOSE(CONTROL!$C$42, 18.0747, 18.0747) * CHOOSE(CONTROL!$C$21, $C$9, 100%, $E$9)</f>
        <v>18.0747</v>
      </c>
      <c r="I392" s="17">
        <f>CHOOSE(CONTROL!$C$42, 17.8792, 17.8792)* CHOOSE(CONTROL!$C$21, $C$9, 100%, $E$9)</f>
        <v>17.879200000000001</v>
      </c>
      <c r="J392" s="17">
        <f>CHOOSE(CONTROL!$C$42, 17.8069, 17.8069)* CHOOSE(CONTROL!$C$21, $C$9, 100%, $E$9)</f>
        <v>17.806899999999999</v>
      </c>
      <c r="K392" s="52">
        <f>CHOOSE(CONTROL!$C$42, 17.8732, 17.8732) * CHOOSE(CONTROL!$C$21, $C$9, 100%, $E$9)</f>
        <v>17.873200000000001</v>
      </c>
      <c r="L392" s="17">
        <f>CHOOSE(CONTROL!$C$42, 18.6617, 18.6617) * CHOOSE(CONTROL!$C$21, $C$9, 100%, $E$9)</f>
        <v>18.6617</v>
      </c>
      <c r="M392" s="17">
        <f>CHOOSE(CONTROL!$C$42, 17.6538, 17.6538) * CHOOSE(CONTROL!$C$21, $C$9, 100%, $E$9)</f>
        <v>17.6538</v>
      </c>
      <c r="N392" s="17">
        <f>CHOOSE(CONTROL!$C$42, 17.6701, 17.6701) * CHOOSE(CONTROL!$C$21, $C$9, 100%, $E$9)</f>
        <v>17.670100000000001</v>
      </c>
      <c r="O392" s="17">
        <f>CHOOSE(CONTROL!$C$42, 17.9191, 17.9191) * CHOOSE(CONTROL!$C$21, $C$9, 100%, $E$9)</f>
        <v>17.9191</v>
      </c>
      <c r="P392" s="17">
        <f>CHOOSE(CONTROL!$C$42, 17.725, 17.725) * CHOOSE(CONTROL!$C$21, $C$9, 100%, $E$9)</f>
        <v>17.725000000000001</v>
      </c>
      <c r="Q392" s="17">
        <f>CHOOSE(CONTROL!$C$42, 18.5138, 18.5138) * CHOOSE(CONTROL!$C$21, $C$9, 100%, $E$9)</f>
        <v>18.5138</v>
      </c>
      <c r="R392" s="17">
        <f>CHOOSE(CONTROL!$C$42, 19.1471, 19.1471) * CHOOSE(CONTROL!$C$21, $C$9, 100%, $E$9)</f>
        <v>19.147099999999998</v>
      </c>
      <c r="S392" s="17">
        <f>CHOOSE(CONTROL!$C$42, 17.2517, 17.2517) * CHOOSE(CONTROL!$C$21, $C$9, 100%, $E$9)</f>
        <v>17.2517</v>
      </c>
      <c r="T39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92" s="56">
        <f>(1000*CHOOSE(CONTROL!$C$42, 695, 695)*CHOOSE(CONTROL!$C$42, 0.5599, 0.5599)*CHOOSE(CONTROL!$C$42, 31, 31))/1000000</f>
        <v>12.063045499999998</v>
      </c>
      <c r="V392" s="56">
        <f>(1000*CHOOSE(CONTROL!$C$42, 500, 500)*CHOOSE(CONTROL!$C$42, 0.275, 0.275)*CHOOSE(CONTROL!$C$42, 31, 31))/1000000</f>
        <v>4.2625000000000002</v>
      </c>
      <c r="W392" s="56">
        <f>(1000*CHOOSE(CONTROL!$C$42, 0.0916, 0.0916)*CHOOSE(CONTROL!$C$42, 121.5, 121.5)*CHOOSE(CONTROL!$C$42, 31, 31))/1000000</f>
        <v>0.34501139999999997</v>
      </c>
      <c r="X392" s="56">
        <f>(31*0.1790888*145000/1000000)+(31*0.2374*100000/1000000)</f>
        <v>1.5409441560000001</v>
      </c>
      <c r="Y392" s="56"/>
      <c r="Z392" s="17"/>
      <c r="AA392" s="55"/>
      <c r="AB392" s="48">
        <f>(B392*194.205+C392*267.466+D392*133.845+E392*153.484+F392*40+G392*85+H392*0+I392*100+J392*300)/(194.205+267.466+133.845+153.484+0+40+85+100+300)</f>
        <v>17.874318132888543</v>
      </c>
      <c r="AC392" s="45">
        <f>(M392*'RAP TEMPLATE-GAS AVAILABILITY'!O391+N392*'RAP TEMPLATE-GAS AVAILABILITY'!P391+O392*'RAP TEMPLATE-GAS AVAILABILITY'!Q391+P392*'RAP TEMPLATE-GAS AVAILABILITY'!R391)/('RAP TEMPLATE-GAS AVAILABILITY'!O391+'RAP TEMPLATE-GAS AVAILABILITY'!P391+'RAP TEMPLATE-GAS AVAILABILITY'!Q391+'RAP TEMPLATE-GAS AVAILABILITY'!R391)</f>
        <v>17.742233812949642</v>
      </c>
    </row>
    <row r="393" spans="1:29" ht="15.75" x14ac:dyDescent="0.25">
      <c r="A393" s="14">
        <v>52870</v>
      </c>
      <c r="B393" s="17">
        <f>CHOOSE(CONTROL!$C$42, 16.6731, 16.6731) * CHOOSE(CONTROL!$C$21, $C$9, 100%, $E$9)</f>
        <v>16.673100000000002</v>
      </c>
      <c r="C393" s="17">
        <f>CHOOSE(CONTROL!$C$42, 16.6811, 16.6811) * CHOOSE(CONTROL!$C$21, $C$9, 100%, $E$9)</f>
        <v>16.681100000000001</v>
      </c>
      <c r="D393" s="17">
        <f>CHOOSE(CONTROL!$C$42, 16.9255, 16.9255) * CHOOSE(CONTROL!$C$21, $C$9, 100%, $E$9)</f>
        <v>16.9255</v>
      </c>
      <c r="E393" s="17">
        <f>CHOOSE(CONTROL!$C$42, 16.9567, 16.9567) * CHOOSE(CONTROL!$C$21, $C$9, 100%, $E$9)</f>
        <v>16.956700000000001</v>
      </c>
      <c r="F393" s="17">
        <f>CHOOSE(CONTROL!$C$42, 16.6847, 16.6847)*CHOOSE(CONTROL!$C$21, $C$9, 100%, $E$9)</f>
        <v>16.684699999999999</v>
      </c>
      <c r="G393" s="17">
        <f>CHOOSE(CONTROL!$C$42, 16.7012, 16.7012)*CHOOSE(CONTROL!$C$21, $C$9, 100%, $E$9)</f>
        <v>16.7012</v>
      </c>
      <c r="H393" s="17">
        <f>CHOOSE(CONTROL!$C$42, 16.945, 16.945) * CHOOSE(CONTROL!$C$21, $C$9, 100%, $E$9)</f>
        <v>16.945</v>
      </c>
      <c r="I393" s="17">
        <f>CHOOSE(CONTROL!$C$42, 16.7461, 16.7461)* CHOOSE(CONTROL!$C$21, $C$9, 100%, $E$9)</f>
        <v>16.746099999999998</v>
      </c>
      <c r="J393" s="17">
        <f>CHOOSE(CONTROL!$C$42, 16.6773, 16.6773)* CHOOSE(CONTROL!$C$21, $C$9, 100%, $E$9)</f>
        <v>16.677299999999999</v>
      </c>
      <c r="K393" s="52">
        <f>CHOOSE(CONTROL!$C$42, 16.74, 16.74) * CHOOSE(CONTROL!$C$21, $C$9, 100%, $E$9)</f>
        <v>16.739999999999998</v>
      </c>
      <c r="L393" s="17">
        <f>CHOOSE(CONTROL!$C$42, 17.532, 17.532) * CHOOSE(CONTROL!$C$21, $C$9, 100%, $E$9)</f>
        <v>17.532</v>
      </c>
      <c r="M393" s="17">
        <f>CHOOSE(CONTROL!$C$42, 16.5343, 16.5343) * CHOOSE(CONTROL!$C$21, $C$9, 100%, $E$9)</f>
        <v>16.534300000000002</v>
      </c>
      <c r="N393" s="17">
        <f>CHOOSE(CONTROL!$C$42, 16.5507, 16.5507) * CHOOSE(CONTROL!$C$21, $C$9, 100%, $E$9)</f>
        <v>16.550699999999999</v>
      </c>
      <c r="O393" s="17">
        <f>CHOOSE(CONTROL!$C$42, 16.7996, 16.7996) * CHOOSE(CONTROL!$C$21, $C$9, 100%, $E$9)</f>
        <v>16.799600000000002</v>
      </c>
      <c r="P393" s="17">
        <f>CHOOSE(CONTROL!$C$42, 16.6021, 16.6021) * CHOOSE(CONTROL!$C$21, $C$9, 100%, $E$9)</f>
        <v>16.6021</v>
      </c>
      <c r="Q393" s="17">
        <f>CHOOSE(CONTROL!$C$42, 17.3943, 17.3943) * CHOOSE(CONTROL!$C$21, $C$9, 100%, $E$9)</f>
        <v>17.394300000000001</v>
      </c>
      <c r="R393" s="17">
        <f>CHOOSE(CONTROL!$C$42, 18.0248, 18.0248) * CHOOSE(CONTROL!$C$21, $C$9, 100%, $E$9)</f>
        <v>18.024799999999999</v>
      </c>
      <c r="S393" s="17">
        <f>CHOOSE(CONTROL!$C$42, 16.1563, 16.1563) * CHOOSE(CONTROL!$C$21, $C$9, 100%, $E$9)</f>
        <v>16.156300000000002</v>
      </c>
      <c r="T39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93" s="56">
        <f>(1000*CHOOSE(CONTROL!$C$42, 695, 695)*CHOOSE(CONTROL!$C$42, 0.5599, 0.5599)*CHOOSE(CONTROL!$C$42, 30, 30))/1000000</f>
        <v>11.673914999999997</v>
      </c>
      <c r="V393" s="56">
        <f>(1000*CHOOSE(CONTROL!$C$42, 500, 500)*CHOOSE(CONTROL!$C$42, 0.275, 0.275)*CHOOSE(CONTROL!$C$42, 30, 30))/1000000</f>
        <v>4.125</v>
      </c>
      <c r="W393" s="56">
        <f>(1000*CHOOSE(CONTROL!$C$42, 0.0916, 0.0916)*CHOOSE(CONTROL!$C$42, 121.5, 121.5)*CHOOSE(CONTROL!$C$42, 30, 30))/1000000</f>
        <v>0.33388200000000001</v>
      </c>
      <c r="X393" s="56">
        <f>(30*0.1790888*145000/1000000)+(30*0.2374*100000/1000000)</f>
        <v>1.4912362799999999</v>
      </c>
      <c r="Y393" s="56"/>
      <c r="Z393" s="17"/>
      <c r="AA393" s="55"/>
      <c r="AB393" s="48">
        <f>(B393*194.205+C393*267.466+D393*133.845+E393*153.484+F393*40+G393*85+H393*0+I393*100+J393*300)/(194.205+267.466+133.845+153.484+0+40+85+100+300)</f>
        <v>16.744420854317113</v>
      </c>
      <c r="AC393" s="45">
        <f>(M393*'RAP TEMPLATE-GAS AVAILABILITY'!O392+N393*'RAP TEMPLATE-GAS AVAILABILITY'!P392+O393*'RAP TEMPLATE-GAS AVAILABILITY'!Q392+P393*'RAP TEMPLATE-GAS AVAILABILITY'!R392)/('RAP TEMPLATE-GAS AVAILABILITY'!O392+'RAP TEMPLATE-GAS AVAILABILITY'!P392+'RAP TEMPLATE-GAS AVAILABILITY'!Q392+'RAP TEMPLATE-GAS AVAILABILITY'!R392)</f>
        <v>16.622267625899283</v>
      </c>
    </row>
    <row r="394" spans="1:29" ht="15.75" x14ac:dyDescent="0.25">
      <c r="A394" s="14">
        <v>52901</v>
      </c>
      <c r="B394" s="17">
        <f>CHOOSE(CONTROL!$C$42, 16.3331, 16.3331) * CHOOSE(CONTROL!$C$21, $C$9, 100%, $E$9)</f>
        <v>16.333100000000002</v>
      </c>
      <c r="C394" s="17">
        <f>CHOOSE(CONTROL!$C$42, 16.3384, 16.3384) * CHOOSE(CONTROL!$C$21, $C$9, 100%, $E$9)</f>
        <v>16.3384</v>
      </c>
      <c r="D394" s="17">
        <f>CHOOSE(CONTROL!$C$42, 16.5877, 16.5877) * CHOOSE(CONTROL!$C$21, $C$9, 100%, $E$9)</f>
        <v>16.587700000000002</v>
      </c>
      <c r="E394" s="17">
        <f>CHOOSE(CONTROL!$C$42, 16.6166, 16.6166) * CHOOSE(CONTROL!$C$21, $C$9, 100%, $E$9)</f>
        <v>16.616599999999998</v>
      </c>
      <c r="F394" s="17">
        <f>CHOOSE(CONTROL!$C$42, 16.3469, 16.3469)*CHOOSE(CONTROL!$C$21, $C$9, 100%, $E$9)</f>
        <v>16.346900000000002</v>
      </c>
      <c r="G394" s="17">
        <f>CHOOSE(CONTROL!$C$42, 16.3633, 16.3633)*CHOOSE(CONTROL!$C$21, $C$9, 100%, $E$9)</f>
        <v>16.363299999999999</v>
      </c>
      <c r="H394" s="17">
        <f>CHOOSE(CONTROL!$C$42, 16.6067, 16.6067) * CHOOSE(CONTROL!$C$21, $C$9, 100%, $E$9)</f>
        <v>16.6067</v>
      </c>
      <c r="I394" s="17">
        <f>CHOOSE(CONTROL!$C$42, 16.4067, 16.4067)* CHOOSE(CONTROL!$C$21, $C$9, 100%, $E$9)</f>
        <v>16.406700000000001</v>
      </c>
      <c r="J394" s="17">
        <f>CHOOSE(CONTROL!$C$42, 16.3395, 16.3395)* CHOOSE(CONTROL!$C$21, $C$9, 100%, $E$9)</f>
        <v>16.339500000000001</v>
      </c>
      <c r="K394" s="52">
        <f>CHOOSE(CONTROL!$C$42, 16.4007, 16.4007) * CHOOSE(CONTROL!$C$21, $C$9, 100%, $E$9)</f>
        <v>16.400700000000001</v>
      </c>
      <c r="L394" s="17">
        <f>CHOOSE(CONTROL!$C$42, 17.1937, 17.1937) * CHOOSE(CONTROL!$C$21, $C$9, 100%, $E$9)</f>
        <v>17.1937</v>
      </c>
      <c r="M394" s="17">
        <f>CHOOSE(CONTROL!$C$42, 16.1995, 16.1995) * CHOOSE(CONTROL!$C$21, $C$9, 100%, $E$9)</f>
        <v>16.1995</v>
      </c>
      <c r="N394" s="17">
        <f>CHOOSE(CONTROL!$C$42, 16.2158, 16.2158) * CHOOSE(CONTROL!$C$21, $C$9, 100%, $E$9)</f>
        <v>16.215800000000002</v>
      </c>
      <c r="O394" s="17">
        <f>CHOOSE(CONTROL!$C$42, 16.4644, 16.4644) * CHOOSE(CONTROL!$C$21, $C$9, 100%, $E$9)</f>
        <v>16.464400000000001</v>
      </c>
      <c r="P394" s="17">
        <f>CHOOSE(CONTROL!$C$42, 16.2658, 16.2658) * CHOOSE(CONTROL!$C$21, $C$9, 100%, $E$9)</f>
        <v>16.265799999999999</v>
      </c>
      <c r="Q394" s="17">
        <f>CHOOSE(CONTROL!$C$42, 17.0591, 17.0591) * CHOOSE(CONTROL!$C$21, $C$9, 100%, $E$9)</f>
        <v>17.059100000000001</v>
      </c>
      <c r="R394" s="17">
        <f>CHOOSE(CONTROL!$C$42, 17.6887, 17.6887) * CHOOSE(CONTROL!$C$21, $C$9, 100%, $E$9)</f>
        <v>17.688700000000001</v>
      </c>
      <c r="S394" s="17">
        <f>CHOOSE(CONTROL!$C$42, 15.8283, 15.8283) * CHOOSE(CONTROL!$C$21, $C$9, 100%, $E$9)</f>
        <v>15.8283</v>
      </c>
      <c r="T39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94" s="56">
        <f>(1000*CHOOSE(CONTROL!$C$42, 695, 695)*CHOOSE(CONTROL!$C$42, 0.5599, 0.5599)*CHOOSE(CONTROL!$C$42, 31, 31))/1000000</f>
        <v>12.063045499999998</v>
      </c>
      <c r="V394" s="56">
        <f>(1000*CHOOSE(CONTROL!$C$42, 500, 500)*CHOOSE(CONTROL!$C$42, 0.275, 0.275)*CHOOSE(CONTROL!$C$42, 31, 31))/1000000</f>
        <v>4.2625000000000002</v>
      </c>
      <c r="W394" s="56">
        <f>(1000*CHOOSE(CONTROL!$C$42, 0.0916, 0.0916)*CHOOSE(CONTROL!$C$42, 121.5, 121.5)*CHOOSE(CONTROL!$C$42, 31, 31))/1000000</f>
        <v>0.34501139999999997</v>
      </c>
      <c r="X394" s="56">
        <f>(31*0.1790888*145000/1000000)+(31*0.2374*100000/1000000)</f>
        <v>1.5409441560000001</v>
      </c>
      <c r="Y394" s="56"/>
      <c r="Z394" s="17"/>
      <c r="AA394" s="55"/>
      <c r="AB394" s="48">
        <f>(B394*131.881+C394*277.167+D394*79.08+E394*225.872+F394*40+G394*85+H394*0+I394*100+J394*300)/(131.881+277.167+79.08+225.872+0+40+85+100+300)</f>
        <v>16.412225476271185</v>
      </c>
      <c r="AC394" s="45">
        <f>(M394*'RAP TEMPLATE-GAS AVAILABILITY'!O393+N394*'RAP TEMPLATE-GAS AVAILABILITY'!P393+O394*'RAP TEMPLATE-GAS AVAILABILITY'!Q393+P394*'RAP TEMPLATE-GAS AVAILABILITY'!R393)/('RAP TEMPLATE-GAS AVAILABILITY'!O393+'RAP TEMPLATE-GAS AVAILABILITY'!P393+'RAP TEMPLATE-GAS AVAILABILITY'!Q393+'RAP TEMPLATE-GAS AVAILABILITY'!R393)</f>
        <v>16.28711654676259</v>
      </c>
    </row>
    <row r="395" spans="1:29" ht="15.75" x14ac:dyDescent="0.25">
      <c r="A395" s="14">
        <v>52931</v>
      </c>
      <c r="B395" s="17">
        <f>CHOOSE(CONTROL!$C$42, 16.7627, 16.7627) * CHOOSE(CONTROL!$C$21, $C$9, 100%, $E$9)</f>
        <v>16.762699999999999</v>
      </c>
      <c r="C395" s="17">
        <f>CHOOSE(CONTROL!$C$42, 16.7678, 16.7678) * CHOOSE(CONTROL!$C$21, $C$9, 100%, $E$9)</f>
        <v>16.767800000000001</v>
      </c>
      <c r="D395" s="17">
        <f>CHOOSE(CONTROL!$C$42, 16.8491, 16.8491) * CHOOSE(CONTROL!$C$21, $C$9, 100%, $E$9)</f>
        <v>16.8491</v>
      </c>
      <c r="E395" s="17">
        <f>CHOOSE(CONTROL!$C$42, 16.8829, 16.8829) * CHOOSE(CONTROL!$C$21, $C$9, 100%, $E$9)</f>
        <v>16.882899999999999</v>
      </c>
      <c r="F395" s="17">
        <f>CHOOSE(CONTROL!$C$42, 16.7806, 16.7806)*CHOOSE(CONTROL!$C$21, $C$9, 100%, $E$9)</f>
        <v>16.7806</v>
      </c>
      <c r="G395" s="17">
        <f>CHOOSE(CONTROL!$C$42, 16.7973, 16.7973)*CHOOSE(CONTROL!$C$21, $C$9, 100%, $E$9)</f>
        <v>16.7973</v>
      </c>
      <c r="H395" s="17">
        <f>CHOOSE(CONTROL!$C$42, 16.8718, 16.8718) * CHOOSE(CONTROL!$C$21, $C$9, 100%, $E$9)</f>
        <v>16.8718</v>
      </c>
      <c r="I395" s="17">
        <f>CHOOSE(CONTROL!$C$42, 16.8396, 16.8396)* CHOOSE(CONTROL!$C$21, $C$9, 100%, $E$9)</f>
        <v>16.839600000000001</v>
      </c>
      <c r="J395" s="17">
        <f>CHOOSE(CONTROL!$C$42, 16.7732, 16.7732)* CHOOSE(CONTROL!$C$21, $C$9, 100%, $E$9)</f>
        <v>16.773199999999999</v>
      </c>
      <c r="K395" s="52">
        <f>CHOOSE(CONTROL!$C$42, 16.8336, 16.8336) * CHOOSE(CONTROL!$C$21, $C$9, 100%, $E$9)</f>
        <v>16.833600000000001</v>
      </c>
      <c r="L395" s="17">
        <f>CHOOSE(CONTROL!$C$42, 17.4588, 17.4588) * CHOOSE(CONTROL!$C$21, $C$9, 100%, $E$9)</f>
        <v>17.4588</v>
      </c>
      <c r="M395" s="17">
        <f>CHOOSE(CONTROL!$C$42, 16.6294, 16.6294) * CHOOSE(CONTROL!$C$21, $C$9, 100%, $E$9)</f>
        <v>16.6294</v>
      </c>
      <c r="N395" s="17">
        <f>CHOOSE(CONTROL!$C$42, 16.6459, 16.6459) * CHOOSE(CONTROL!$C$21, $C$9, 100%, $E$9)</f>
        <v>16.645900000000001</v>
      </c>
      <c r="O395" s="17">
        <f>CHOOSE(CONTROL!$C$42, 16.727, 16.727) * CHOOSE(CONTROL!$C$21, $C$9, 100%, $E$9)</f>
        <v>16.727</v>
      </c>
      <c r="P395" s="17">
        <f>CHOOSE(CONTROL!$C$42, 16.6948, 16.6948) * CHOOSE(CONTROL!$C$21, $C$9, 100%, $E$9)</f>
        <v>16.694800000000001</v>
      </c>
      <c r="Q395" s="17">
        <f>CHOOSE(CONTROL!$C$42, 17.3217, 17.3217) * CHOOSE(CONTROL!$C$21, $C$9, 100%, $E$9)</f>
        <v>17.3217</v>
      </c>
      <c r="R395" s="17">
        <f>CHOOSE(CONTROL!$C$42, 17.952, 17.952) * CHOOSE(CONTROL!$C$21, $C$9, 100%, $E$9)</f>
        <v>17.952000000000002</v>
      </c>
      <c r="S395" s="17">
        <f>CHOOSE(CONTROL!$C$42, 16.2452, 16.2452) * CHOOSE(CONTROL!$C$21, $C$9, 100%, $E$9)</f>
        <v>16.245200000000001</v>
      </c>
      <c r="T39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95" s="56">
        <f>(1000*CHOOSE(CONTROL!$C$42, 695, 695)*CHOOSE(CONTROL!$C$42, 0.5599, 0.5599)*CHOOSE(CONTROL!$C$42, 30, 30))/1000000</f>
        <v>11.673914999999997</v>
      </c>
      <c r="V395" s="56">
        <f>(1000*CHOOSE(CONTROL!$C$42, 500, 500)*CHOOSE(CONTROL!$C$42, 0.275, 0.275)*CHOOSE(CONTROL!$C$42, 30, 30))/1000000</f>
        <v>4.125</v>
      </c>
      <c r="W395" s="56">
        <f>(1000*CHOOSE(CONTROL!$C$42, 0.0916, 0.0916)*CHOOSE(CONTROL!$C$42, 121.5, 121.5)*CHOOSE(CONTROL!$C$42, 30, 30))/1000000</f>
        <v>0.33388200000000001</v>
      </c>
      <c r="X395" s="56">
        <f>(30*0.2374*100000/1000000)</f>
        <v>0.71220000000000006</v>
      </c>
      <c r="Y395" s="56"/>
      <c r="Z395" s="17"/>
      <c r="AA395" s="55"/>
      <c r="AB395" s="48">
        <f>(B395*122.58+C395*297.941+D395*89.177+E395*140.302+F395*40+G395*60+H395*0+I395*100+J395*300)/(122.58+297.941+89.177+140.302+0+40+60+100+300)</f>
        <v>16.797239732434782</v>
      </c>
      <c r="AC395" s="45">
        <f>(M395*'RAP TEMPLATE-GAS AVAILABILITY'!O394+N395*'RAP TEMPLATE-GAS AVAILABILITY'!P394+O395*'RAP TEMPLATE-GAS AVAILABILITY'!Q394+P395*'RAP TEMPLATE-GAS AVAILABILITY'!R394)/('RAP TEMPLATE-GAS AVAILABILITY'!O394+'RAP TEMPLATE-GAS AVAILABILITY'!P394+'RAP TEMPLATE-GAS AVAILABILITY'!Q394+'RAP TEMPLATE-GAS AVAILABILITY'!R394)</f>
        <v>16.683995683453237</v>
      </c>
    </row>
    <row r="396" spans="1:29" ht="15.75" x14ac:dyDescent="0.25">
      <c r="A396" s="14">
        <v>52962</v>
      </c>
      <c r="B396" s="17">
        <f>CHOOSE(CONTROL!$C$42, 17.9048, 17.9048) * CHOOSE(CONTROL!$C$21, $C$9, 100%, $E$9)</f>
        <v>17.904800000000002</v>
      </c>
      <c r="C396" s="17">
        <f>CHOOSE(CONTROL!$C$42, 17.9099, 17.9099) * CHOOSE(CONTROL!$C$21, $C$9, 100%, $E$9)</f>
        <v>17.9099</v>
      </c>
      <c r="D396" s="17">
        <f>CHOOSE(CONTROL!$C$42, 17.9913, 17.9913) * CHOOSE(CONTROL!$C$21, $C$9, 100%, $E$9)</f>
        <v>17.991299999999999</v>
      </c>
      <c r="E396" s="17">
        <f>CHOOSE(CONTROL!$C$42, 18.025, 18.025) * CHOOSE(CONTROL!$C$21, $C$9, 100%, $E$9)</f>
        <v>18.024999999999999</v>
      </c>
      <c r="F396" s="17">
        <f>CHOOSE(CONTROL!$C$42, 17.9251, 17.9251)*CHOOSE(CONTROL!$C$21, $C$9, 100%, $E$9)</f>
        <v>17.9251</v>
      </c>
      <c r="G396" s="17">
        <f>CHOOSE(CONTROL!$C$42, 17.9425, 17.9425)*CHOOSE(CONTROL!$C$21, $C$9, 100%, $E$9)</f>
        <v>17.942499999999999</v>
      </c>
      <c r="H396" s="17">
        <f>CHOOSE(CONTROL!$C$42, 18.0139, 18.0139) * CHOOSE(CONTROL!$C$21, $C$9, 100%, $E$9)</f>
        <v>18.0139</v>
      </c>
      <c r="I396" s="17">
        <f>CHOOSE(CONTROL!$C$42, 17.9853, 17.9853)* CHOOSE(CONTROL!$C$21, $C$9, 100%, $E$9)</f>
        <v>17.985299999999999</v>
      </c>
      <c r="J396" s="17">
        <f>CHOOSE(CONTROL!$C$42, 17.9177, 17.9177)* CHOOSE(CONTROL!$C$21, $C$9, 100%, $E$9)</f>
        <v>17.9177</v>
      </c>
      <c r="K396" s="52">
        <f>CHOOSE(CONTROL!$C$42, 17.9793, 17.9793) * CHOOSE(CONTROL!$C$21, $C$9, 100%, $E$9)</f>
        <v>17.979299999999999</v>
      </c>
      <c r="L396" s="17">
        <f>CHOOSE(CONTROL!$C$42, 18.6009, 18.6009) * CHOOSE(CONTROL!$C$21, $C$9, 100%, $E$9)</f>
        <v>18.600899999999999</v>
      </c>
      <c r="M396" s="17">
        <f>CHOOSE(CONTROL!$C$42, 17.7636, 17.7636) * CHOOSE(CONTROL!$C$21, $C$9, 100%, $E$9)</f>
        <v>17.7636</v>
      </c>
      <c r="N396" s="17">
        <f>CHOOSE(CONTROL!$C$42, 17.7808, 17.7808) * CHOOSE(CONTROL!$C$21, $C$9, 100%, $E$9)</f>
        <v>17.780799999999999</v>
      </c>
      <c r="O396" s="17">
        <f>CHOOSE(CONTROL!$C$42, 17.8589, 17.8589) * CHOOSE(CONTROL!$C$21, $C$9, 100%, $E$9)</f>
        <v>17.858899999999998</v>
      </c>
      <c r="P396" s="17">
        <f>CHOOSE(CONTROL!$C$42, 17.8301, 17.8301) * CHOOSE(CONTROL!$C$21, $C$9, 100%, $E$9)</f>
        <v>17.830100000000002</v>
      </c>
      <c r="Q396" s="17">
        <f>CHOOSE(CONTROL!$C$42, 18.4536, 18.4536) * CHOOSE(CONTROL!$C$21, $C$9, 100%, $E$9)</f>
        <v>18.453600000000002</v>
      </c>
      <c r="R396" s="17">
        <f>CHOOSE(CONTROL!$C$42, 19.0867, 19.0867) * CHOOSE(CONTROL!$C$21, $C$9, 100%, $E$9)</f>
        <v>19.0867</v>
      </c>
      <c r="S396" s="17">
        <f>CHOOSE(CONTROL!$C$42, 17.3528, 17.3528) * CHOOSE(CONTROL!$C$21, $C$9, 100%, $E$9)</f>
        <v>17.352799999999998</v>
      </c>
      <c r="T39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96" s="56">
        <f>(1000*CHOOSE(CONTROL!$C$42, 695, 695)*CHOOSE(CONTROL!$C$42, 0.5599, 0.5599)*CHOOSE(CONTROL!$C$42, 31, 31))/1000000</f>
        <v>12.063045499999998</v>
      </c>
      <c r="V396" s="56">
        <f>(1000*CHOOSE(CONTROL!$C$42, 500, 500)*CHOOSE(CONTROL!$C$42, 0.275, 0.275)*CHOOSE(CONTROL!$C$42, 31, 31))/1000000</f>
        <v>4.2625000000000002</v>
      </c>
      <c r="W396" s="56">
        <f>(1000*CHOOSE(CONTROL!$C$42, 0.0916, 0.0916)*CHOOSE(CONTROL!$C$42, 121.5, 121.5)*CHOOSE(CONTROL!$C$42, 31, 31))/1000000</f>
        <v>0.34501139999999997</v>
      </c>
      <c r="X396" s="56">
        <f>(31*0.2374*100000/1000000)</f>
        <v>0.73594000000000004</v>
      </c>
      <c r="Y396" s="56"/>
      <c r="Z396" s="17"/>
      <c r="AA396" s="55"/>
      <c r="AB396" s="48">
        <f>(B396*122.58+C396*297.941+D396*89.177+E396*140.302+F396*40+G396*60+H396*0+I396*100+J396*300)/(122.58+297.941+89.177+140.302+0+40+60+100+300)</f>
        <v>17.940531834782607</v>
      </c>
      <c r="AC396" s="45">
        <f>(M396*'RAP TEMPLATE-GAS AVAILABILITY'!O395+N396*'RAP TEMPLATE-GAS AVAILABILITY'!P395+O396*'RAP TEMPLATE-GAS AVAILABILITY'!Q395+P396*'RAP TEMPLATE-GAS AVAILABILITY'!R395)/('RAP TEMPLATE-GAS AVAILABILITY'!O395+'RAP TEMPLATE-GAS AVAILABILITY'!P395+'RAP TEMPLATE-GAS AVAILABILITY'!Q395+'RAP TEMPLATE-GAS AVAILABILITY'!R395)</f>
        <v>17.817351798561152</v>
      </c>
    </row>
    <row r="397" spans="1:29" ht="15.75" x14ac:dyDescent="0.25">
      <c r="A397" s="14">
        <v>52993</v>
      </c>
      <c r="B397" s="17">
        <f>CHOOSE(CONTROL!$C$42, 19.3883, 19.3883) * CHOOSE(CONTROL!$C$21, $C$9, 100%, $E$9)</f>
        <v>19.388300000000001</v>
      </c>
      <c r="C397" s="17">
        <f>CHOOSE(CONTROL!$C$42, 19.3934, 19.3934) * CHOOSE(CONTROL!$C$21, $C$9, 100%, $E$9)</f>
        <v>19.3934</v>
      </c>
      <c r="D397" s="17">
        <f>CHOOSE(CONTROL!$C$42, 19.4902, 19.4902) * CHOOSE(CONTROL!$C$21, $C$9, 100%, $E$9)</f>
        <v>19.490200000000002</v>
      </c>
      <c r="E397" s="17">
        <f>CHOOSE(CONTROL!$C$42, 19.5239, 19.5239) * CHOOSE(CONTROL!$C$21, $C$9, 100%, $E$9)</f>
        <v>19.523900000000001</v>
      </c>
      <c r="F397" s="17">
        <f>CHOOSE(CONTROL!$C$42, 19.4025, 19.4025)*CHOOSE(CONTROL!$C$21, $C$9, 100%, $E$9)</f>
        <v>19.4025</v>
      </c>
      <c r="G397" s="17">
        <f>CHOOSE(CONTROL!$C$42, 19.419, 19.419)*CHOOSE(CONTROL!$C$21, $C$9, 100%, $E$9)</f>
        <v>19.419</v>
      </c>
      <c r="H397" s="17">
        <f>CHOOSE(CONTROL!$C$42, 19.5128, 19.5128) * CHOOSE(CONTROL!$C$21, $C$9, 100%, $E$9)</f>
        <v>19.512799999999999</v>
      </c>
      <c r="I397" s="17">
        <f>CHOOSE(CONTROL!$C$42, 19.4734, 19.4734)* CHOOSE(CONTROL!$C$21, $C$9, 100%, $E$9)</f>
        <v>19.473400000000002</v>
      </c>
      <c r="J397" s="17">
        <f>CHOOSE(CONTROL!$C$42, 19.3951, 19.3951)* CHOOSE(CONTROL!$C$21, $C$9, 100%, $E$9)</f>
        <v>19.395099999999999</v>
      </c>
      <c r="K397" s="52">
        <f>CHOOSE(CONTROL!$C$42, 19.4673, 19.4673) * CHOOSE(CONTROL!$C$21, $C$9, 100%, $E$9)</f>
        <v>19.467300000000002</v>
      </c>
      <c r="L397" s="17">
        <f>CHOOSE(CONTROL!$C$42, 20.0998, 20.0998) * CHOOSE(CONTROL!$C$21, $C$9, 100%, $E$9)</f>
        <v>20.099799999999998</v>
      </c>
      <c r="M397" s="17">
        <f>CHOOSE(CONTROL!$C$42, 19.2277, 19.2277) * CHOOSE(CONTROL!$C$21, $C$9, 100%, $E$9)</f>
        <v>19.227699999999999</v>
      </c>
      <c r="N397" s="17">
        <f>CHOOSE(CONTROL!$C$42, 19.244, 19.244) * CHOOSE(CONTROL!$C$21, $C$9, 100%, $E$9)</f>
        <v>19.244</v>
      </c>
      <c r="O397" s="17">
        <f>CHOOSE(CONTROL!$C$42, 19.3443, 19.3443) * CHOOSE(CONTROL!$C$21, $C$9, 100%, $E$9)</f>
        <v>19.3443</v>
      </c>
      <c r="P397" s="17">
        <f>CHOOSE(CONTROL!$C$42, 19.3048, 19.3048) * CHOOSE(CONTROL!$C$21, $C$9, 100%, $E$9)</f>
        <v>19.3048</v>
      </c>
      <c r="Q397" s="17">
        <f>CHOOSE(CONTROL!$C$42, 19.939, 19.939) * CHOOSE(CONTROL!$C$21, $C$9, 100%, $E$9)</f>
        <v>19.939</v>
      </c>
      <c r="R397" s="17">
        <f>CHOOSE(CONTROL!$C$42, 20.5759, 20.5759) * CHOOSE(CONTROL!$C$21, $C$9, 100%, $E$9)</f>
        <v>20.575900000000001</v>
      </c>
      <c r="S397" s="17">
        <f>CHOOSE(CONTROL!$C$42, 18.7913, 18.7913) * CHOOSE(CONTROL!$C$21, $C$9, 100%, $E$9)</f>
        <v>18.7913</v>
      </c>
      <c r="T39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97" s="56">
        <f>(1000*CHOOSE(CONTROL!$C$42, 695, 695)*CHOOSE(CONTROL!$C$42, 0.5599, 0.5599)*CHOOSE(CONTROL!$C$42, 31, 31))/1000000</f>
        <v>12.063045499999998</v>
      </c>
      <c r="V397" s="56">
        <f>(1000*CHOOSE(CONTROL!$C$42, 500, 500)*CHOOSE(CONTROL!$C$42, 0.275, 0.275)*CHOOSE(CONTROL!$C$42, 31, 31))/1000000</f>
        <v>4.2625000000000002</v>
      </c>
      <c r="W397" s="56">
        <f>(1000*CHOOSE(CONTROL!$C$42, 0.0916, 0.0916)*CHOOSE(CONTROL!$C$42, 121.5, 121.5)*CHOOSE(CONTROL!$C$42, 31, 31))/1000000</f>
        <v>0.34501139999999997</v>
      </c>
      <c r="X397" s="56">
        <f>(31*0.2374*100000/1000000)</f>
        <v>0.73594000000000004</v>
      </c>
      <c r="Y397" s="56"/>
      <c r="Z397" s="17"/>
      <c r="AA397" s="55"/>
      <c r="AB397" s="48">
        <f>(B397*122.58+C397*297.941+D397*89.177+E397*140.302+F397*40+G397*60+H397*0+I397*100+J397*300)/(122.58+297.941+89.177+140.302+0+40+60+100+300)</f>
        <v>19.425336162260869</v>
      </c>
      <c r="AC397" s="45">
        <f>(M397*'RAP TEMPLATE-GAS AVAILABILITY'!O396+N397*'RAP TEMPLATE-GAS AVAILABILITY'!P396+O397*'RAP TEMPLATE-GAS AVAILABILITY'!Q396+P397*'RAP TEMPLATE-GAS AVAILABILITY'!R396)/('RAP TEMPLATE-GAS AVAILABILITY'!O396+'RAP TEMPLATE-GAS AVAILABILITY'!P396+'RAP TEMPLATE-GAS AVAILABILITY'!Q396+'RAP TEMPLATE-GAS AVAILABILITY'!R396)</f>
        <v>19.292579136690645</v>
      </c>
    </row>
    <row r="398" spans="1:29" ht="15.75" x14ac:dyDescent="0.25">
      <c r="A398" s="14">
        <v>53021</v>
      </c>
      <c r="B398" s="17">
        <f>CHOOSE(CONTROL!$C$42, 19.7332, 19.7332) * CHOOSE(CONTROL!$C$21, $C$9, 100%, $E$9)</f>
        <v>19.7332</v>
      </c>
      <c r="C398" s="17">
        <f>CHOOSE(CONTROL!$C$42, 19.7383, 19.7383) * CHOOSE(CONTROL!$C$21, $C$9, 100%, $E$9)</f>
        <v>19.738299999999999</v>
      </c>
      <c r="D398" s="17">
        <f>CHOOSE(CONTROL!$C$42, 19.8351, 19.8351) * CHOOSE(CONTROL!$C$21, $C$9, 100%, $E$9)</f>
        <v>19.835100000000001</v>
      </c>
      <c r="E398" s="17">
        <f>CHOOSE(CONTROL!$C$42, 19.8689, 19.8689) * CHOOSE(CONTROL!$C$21, $C$9, 100%, $E$9)</f>
        <v>19.8689</v>
      </c>
      <c r="F398" s="17">
        <f>CHOOSE(CONTROL!$C$42, 19.7475, 19.7475)*CHOOSE(CONTROL!$C$21, $C$9, 100%, $E$9)</f>
        <v>19.747499999999999</v>
      </c>
      <c r="G398" s="17">
        <f>CHOOSE(CONTROL!$C$42, 19.7639, 19.7639)*CHOOSE(CONTROL!$C$21, $C$9, 100%, $E$9)</f>
        <v>19.7639</v>
      </c>
      <c r="H398" s="17">
        <f>CHOOSE(CONTROL!$C$42, 19.8578, 19.8578) * CHOOSE(CONTROL!$C$21, $C$9, 100%, $E$9)</f>
        <v>19.857800000000001</v>
      </c>
      <c r="I398" s="17">
        <f>CHOOSE(CONTROL!$C$42, 19.8194, 19.8194)* CHOOSE(CONTROL!$C$21, $C$9, 100%, $E$9)</f>
        <v>19.819400000000002</v>
      </c>
      <c r="J398" s="17">
        <f>CHOOSE(CONTROL!$C$42, 19.7401, 19.7401)* CHOOSE(CONTROL!$C$21, $C$9, 100%, $E$9)</f>
        <v>19.740100000000002</v>
      </c>
      <c r="K398" s="52">
        <f>CHOOSE(CONTROL!$C$42, 19.8134, 19.8134) * CHOOSE(CONTROL!$C$21, $C$9, 100%, $E$9)</f>
        <v>19.813400000000001</v>
      </c>
      <c r="L398" s="17">
        <f>CHOOSE(CONTROL!$C$42, 20.4448, 20.4448) * CHOOSE(CONTROL!$C$21, $C$9, 100%, $E$9)</f>
        <v>20.444800000000001</v>
      </c>
      <c r="M398" s="17">
        <f>CHOOSE(CONTROL!$C$42, 19.5695, 19.5695) * CHOOSE(CONTROL!$C$21, $C$9, 100%, $E$9)</f>
        <v>19.569500000000001</v>
      </c>
      <c r="N398" s="17">
        <f>CHOOSE(CONTROL!$C$42, 19.5858, 19.5858) * CHOOSE(CONTROL!$C$21, $C$9, 100%, $E$9)</f>
        <v>19.585799999999999</v>
      </c>
      <c r="O398" s="17">
        <f>CHOOSE(CONTROL!$C$42, 19.6862, 19.6862) * CHOOSE(CONTROL!$C$21, $C$9, 100%, $E$9)</f>
        <v>19.686199999999999</v>
      </c>
      <c r="P398" s="17">
        <f>CHOOSE(CONTROL!$C$42, 19.6477, 19.6477) * CHOOSE(CONTROL!$C$21, $C$9, 100%, $E$9)</f>
        <v>19.6477</v>
      </c>
      <c r="Q398" s="17">
        <f>CHOOSE(CONTROL!$C$42, 20.2809, 20.2809) * CHOOSE(CONTROL!$C$21, $C$9, 100%, $E$9)</f>
        <v>20.280899999999999</v>
      </c>
      <c r="R398" s="17">
        <f>CHOOSE(CONTROL!$C$42, 20.9186, 20.9186) * CHOOSE(CONTROL!$C$21, $C$9, 100%, $E$9)</f>
        <v>20.918600000000001</v>
      </c>
      <c r="S398" s="17">
        <f>CHOOSE(CONTROL!$C$42, 19.1258, 19.1258) * CHOOSE(CONTROL!$C$21, $C$9, 100%, $E$9)</f>
        <v>19.125800000000002</v>
      </c>
      <c r="T39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98" s="56">
        <f>(1000*CHOOSE(CONTROL!$C$42, 695, 695)*CHOOSE(CONTROL!$C$42, 0.5599, 0.5599)*CHOOSE(CONTROL!$C$42, 28, 28))/1000000</f>
        <v>10.895653999999999</v>
      </c>
      <c r="V398" s="56">
        <f>(1000*CHOOSE(CONTROL!$C$42, 500, 500)*CHOOSE(CONTROL!$C$42, 0.275, 0.275)*CHOOSE(CONTROL!$C$42, 28, 28))/1000000</f>
        <v>3.85</v>
      </c>
      <c r="W398" s="56">
        <f>(1000*CHOOSE(CONTROL!$C$42, 0.0916, 0.0916)*CHOOSE(CONTROL!$C$42, 121.5, 121.5)*CHOOSE(CONTROL!$C$42, 28, 28))/1000000</f>
        <v>0.31162319999999999</v>
      </c>
      <c r="X398" s="56">
        <f>(28*0.2374*100000/1000000)</f>
        <v>0.66471999999999998</v>
      </c>
      <c r="Y398" s="56"/>
      <c r="Z398" s="17"/>
      <c r="AA398" s="55"/>
      <c r="AB398" s="48">
        <f>(B398*122.58+C398*297.941+D398*89.177+E398*140.302+F398*40+G398*60+H398*0+I398*100+J398*300)/(122.58+297.941+89.177+140.302+0+40+60+100+300)</f>
        <v>19.770373579826089</v>
      </c>
      <c r="AC398" s="45">
        <f>(M398*'RAP TEMPLATE-GAS AVAILABILITY'!O397+N398*'RAP TEMPLATE-GAS AVAILABILITY'!P397+O398*'RAP TEMPLATE-GAS AVAILABILITY'!Q397+P398*'RAP TEMPLATE-GAS AVAILABILITY'!R397)/('RAP TEMPLATE-GAS AVAILABILITY'!O397+'RAP TEMPLATE-GAS AVAILABILITY'!P397+'RAP TEMPLATE-GAS AVAILABILITY'!Q397+'RAP TEMPLATE-GAS AVAILABILITY'!R397)</f>
        <v>19.634582733812948</v>
      </c>
    </row>
    <row r="399" spans="1:29" ht="15.75" x14ac:dyDescent="0.25">
      <c r="A399" s="14">
        <v>53052</v>
      </c>
      <c r="B399" s="17">
        <f>CHOOSE(CONTROL!$C$42, 19.1733, 19.1733) * CHOOSE(CONTROL!$C$21, $C$9, 100%, $E$9)</f>
        <v>19.173300000000001</v>
      </c>
      <c r="C399" s="17">
        <f>CHOOSE(CONTROL!$C$42, 19.1784, 19.1784) * CHOOSE(CONTROL!$C$21, $C$9, 100%, $E$9)</f>
        <v>19.1784</v>
      </c>
      <c r="D399" s="17">
        <f>CHOOSE(CONTROL!$C$42, 19.2752, 19.2752) * CHOOSE(CONTROL!$C$21, $C$9, 100%, $E$9)</f>
        <v>19.275200000000002</v>
      </c>
      <c r="E399" s="17">
        <f>CHOOSE(CONTROL!$C$42, 19.309, 19.309) * CHOOSE(CONTROL!$C$21, $C$9, 100%, $E$9)</f>
        <v>19.309000000000001</v>
      </c>
      <c r="F399" s="17">
        <f>CHOOSE(CONTROL!$C$42, 19.1869, 19.1869)*CHOOSE(CONTROL!$C$21, $C$9, 100%, $E$9)</f>
        <v>19.186900000000001</v>
      </c>
      <c r="G399" s="17">
        <f>CHOOSE(CONTROL!$C$42, 19.2031, 19.2031)*CHOOSE(CONTROL!$C$21, $C$9, 100%, $E$9)</f>
        <v>19.203099999999999</v>
      </c>
      <c r="H399" s="17">
        <f>CHOOSE(CONTROL!$C$42, 19.2978, 19.2978) * CHOOSE(CONTROL!$C$21, $C$9, 100%, $E$9)</f>
        <v>19.297799999999999</v>
      </c>
      <c r="I399" s="17">
        <f>CHOOSE(CONTROL!$C$42, 19.2577, 19.2577)* CHOOSE(CONTROL!$C$21, $C$9, 100%, $E$9)</f>
        <v>19.2577</v>
      </c>
      <c r="J399" s="17">
        <f>CHOOSE(CONTROL!$C$42, 19.1795, 19.1795)* CHOOSE(CONTROL!$C$21, $C$9, 100%, $E$9)</f>
        <v>19.179500000000001</v>
      </c>
      <c r="K399" s="52">
        <f>CHOOSE(CONTROL!$C$42, 19.2517, 19.2517) * CHOOSE(CONTROL!$C$21, $C$9, 100%, $E$9)</f>
        <v>19.2517</v>
      </c>
      <c r="L399" s="17">
        <f>CHOOSE(CONTROL!$C$42, 19.8848, 19.8848) * CHOOSE(CONTROL!$C$21, $C$9, 100%, $E$9)</f>
        <v>19.884799999999998</v>
      </c>
      <c r="M399" s="17">
        <f>CHOOSE(CONTROL!$C$42, 19.014, 19.014) * CHOOSE(CONTROL!$C$21, $C$9, 100%, $E$9)</f>
        <v>19.013999999999999</v>
      </c>
      <c r="N399" s="17">
        <f>CHOOSE(CONTROL!$C$42, 19.0301, 19.0301) * CHOOSE(CONTROL!$C$21, $C$9, 100%, $E$9)</f>
        <v>19.030100000000001</v>
      </c>
      <c r="O399" s="17">
        <f>CHOOSE(CONTROL!$C$42, 19.1313, 19.1313) * CHOOSE(CONTROL!$C$21, $C$9, 100%, $E$9)</f>
        <v>19.1313</v>
      </c>
      <c r="P399" s="17">
        <f>CHOOSE(CONTROL!$C$42, 19.0911, 19.0911) * CHOOSE(CONTROL!$C$21, $C$9, 100%, $E$9)</f>
        <v>19.091100000000001</v>
      </c>
      <c r="Q399" s="17">
        <f>CHOOSE(CONTROL!$C$42, 19.726, 19.726) * CHOOSE(CONTROL!$C$21, $C$9, 100%, $E$9)</f>
        <v>19.725999999999999</v>
      </c>
      <c r="R399" s="17">
        <f>CHOOSE(CONTROL!$C$42, 20.3623, 20.3623) * CHOOSE(CONTROL!$C$21, $C$9, 100%, $E$9)</f>
        <v>20.362300000000001</v>
      </c>
      <c r="S399" s="17">
        <f>CHOOSE(CONTROL!$C$42, 18.5828, 18.5828) * CHOOSE(CONTROL!$C$21, $C$9, 100%, $E$9)</f>
        <v>18.582799999999999</v>
      </c>
      <c r="T39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99" s="56">
        <f>(1000*CHOOSE(CONTROL!$C$42, 695, 695)*CHOOSE(CONTROL!$C$42, 0.5599, 0.5599)*CHOOSE(CONTROL!$C$42, 31, 31))/1000000</f>
        <v>12.063045499999998</v>
      </c>
      <c r="V399" s="56">
        <f>(1000*CHOOSE(CONTROL!$C$42, 500, 500)*CHOOSE(CONTROL!$C$42, 0.275, 0.275)*CHOOSE(CONTROL!$C$42, 31, 31))/1000000</f>
        <v>4.2625000000000002</v>
      </c>
      <c r="W399" s="56">
        <f>(1000*CHOOSE(CONTROL!$C$42, 0.0916, 0.0916)*CHOOSE(CONTROL!$C$42, 121.5, 121.5)*CHOOSE(CONTROL!$C$42, 31, 31))/1000000</f>
        <v>0.34501139999999997</v>
      </c>
      <c r="X399" s="56">
        <f>(31*0.2374*100000/1000000)</f>
        <v>0.73594000000000004</v>
      </c>
      <c r="Y399" s="56"/>
      <c r="Z399" s="17"/>
      <c r="AA399" s="55"/>
      <c r="AB399" s="48">
        <f>(B399*122.58+C399*297.941+D399*89.177+E399*140.302+F399*40+G399*60+H399*0+I399*100+J399*300)/(122.58+297.941+89.177+140.302+0+40+60+100+300)</f>
        <v>19.210063145043481</v>
      </c>
      <c r="AC399" s="45">
        <f>(M399*'RAP TEMPLATE-GAS AVAILABILITY'!O398+N399*'RAP TEMPLATE-GAS AVAILABILITY'!P398+O399*'RAP TEMPLATE-GAS AVAILABILITY'!Q398+P399*'RAP TEMPLATE-GAS AVAILABILITY'!R398)/('RAP TEMPLATE-GAS AVAILABILITY'!O398+'RAP TEMPLATE-GAS AVAILABILITY'!P398+'RAP TEMPLATE-GAS AVAILABILITY'!Q398+'RAP TEMPLATE-GAS AVAILABILITY'!R398)</f>
        <v>19.079184892086332</v>
      </c>
    </row>
    <row r="400" spans="1:29" ht="15.75" x14ac:dyDescent="0.25">
      <c r="A400" s="14">
        <v>53082</v>
      </c>
      <c r="B400" s="17">
        <f>CHOOSE(CONTROL!$C$42, 19.1169, 19.1169) * CHOOSE(CONTROL!$C$21, $C$9, 100%, $E$9)</f>
        <v>19.116900000000001</v>
      </c>
      <c r="C400" s="17">
        <f>CHOOSE(CONTROL!$C$42, 19.1214, 19.1214) * CHOOSE(CONTROL!$C$21, $C$9, 100%, $E$9)</f>
        <v>19.121400000000001</v>
      </c>
      <c r="D400" s="17">
        <f>CHOOSE(CONTROL!$C$42, 19.369, 19.369) * CHOOSE(CONTROL!$C$21, $C$9, 100%, $E$9)</f>
        <v>19.369</v>
      </c>
      <c r="E400" s="17">
        <f>CHOOSE(CONTROL!$C$42, 19.4008, 19.4008) * CHOOSE(CONTROL!$C$21, $C$9, 100%, $E$9)</f>
        <v>19.4008</v>
      </c>
      <c r="F400" s="17">
        <f>CHOOSE(CONTROL!$C$42, 19.1285, 19.1285)*CHOOSE(CONTROL!$C$21, $C$9, 100%, $E$9)</f>
        <v>19.128499999999999</v>
      </c>
      <c r="G400" s="17">
        <f>CHOOSE(CONTROL!$C$42, 19.1445, 19.1445)*CHOOSE(CONTROL!$C$21, $C$9, 100%, $E$9)</f>
        <v>19.144500000000001</v>
      </c>
      <c r="H400" s="17">
        <f>CHOOSE(CONTROL!$C$42, 19.3902, 19.3902) * CHOOSE(CONTROL!$C$21, $C$9, 100%, $E$9)</f>
        <v>19.3902</v>
      </c>
      <c r="I400" s="17">
        <f>CHOOSE(CONTROL!$C$42, 19.1989, 19.1989)* CHOOSE(CONTROL!$C$21, $C$9, 100%, $E$9)</f>
        <v>19.198899999999998</v>
      </c>
      <c r="J400" s="17">
        <f>CHOOSE(CONTROL!$C$42, 19.1211, 19.1211)* CHOOSE(CONTROL!$C$21, $C$9, 100%, $E$9)</f>
        <v>19.121099999999998</v>
      </c>
      <c r="K400" s="52">
        <f>CHOOSE(CONTROL!$C$42, 19.1928, 19.1928) * CHOOSE(CONTROL!$C$21, $C$9, 100%, $E$9)</f>
        <v>19.192799999999998</v>
      </c>
      <c r="L400" s="17">
        <f>CHOOSE(CONTROL!$C$42, 19.9772, 19.9772) * CHOOSE(CONTROL!$C$21, $C$9, 100%, $E$9)</f>
        <v>19.9772</v>
      </c>
      <c r="M400" s="17">
        <f>CHOOSE(CONTROL!$C$42, 18.9562, 18.9562) * CHOOSE(CONTROL!$C$21, $C$9, 100%, $E$9)</f>
        <v>18.956199999999999</v>
      </c>
      <c r="N400" s="17">
        <f>CHOOSE(CONTROL!$C$42, 18.972, 18.972) * CHOOSE(CONTROL!$C$21, $C$9, 100%, $E$9)</f>
        <v>18.972000000000001</v>
      </c>
      <c r="O400" s="17">
        <f>CHOOSE(CONTROL!$C$42, 19.2228, 19.2228) * CHOOSE(CONTROL!$C$21, $C$9, 100%, $E$9)</f>
        <v>19.222799999999999</v>
      </c>
      <c r="P400" s="17">
        <f>CHOOSE(CONTROL!$C$42, 19.0327, 19.0327) * CHOOSE(CONTROL!$C$21, $C$9, 100%, $E$9)</f>
        <v>19.032699999999998</v>
      </c>
      <c r="Q400" s="17">
        <f>CHOOSE(CONTROL!$C$42, 19.8175, 19.8175) * CHOOSE(CONTROL!$C$21, $C$9, 100%, $E$9)</f>
        <v>19.817499999999999</v>
      </c>
      <c r="R400" s="17">
        <f>CHOOSE(CONTROL!$C$42, 20.4541, 20.4541) * CHOOSE(CONTROL!$C$21, $C$9, 100%, $E$9)</f>
        <v>20.4541</v>
      </c>
      <c r="S400" s="17">
        <f>CHOOSE(CONTROL!$C$42, 18.5274, 18.5274) * CHOOSE(CONTROL!$C$21, $C$9, 100%, $E$9)</f>
        <v>18.5274</v>
      </c>
      <c r="T40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00" s="56">
        <f>(1000*CHOOSE(CONTROL!$C$42, 695, 695)*CHOOSE(CONTROL!$C$42, 0.5599, 0.5599)*CHOOSE(CONTROL!$C$42, 30, 30))/1000000</f>
        <v>11.673914999999997</v>
      </c>
      <c r="V400" s="56">
        <f>(1000*CHOOSE(CONTROL!$C$42, 500, 500)*CHOOSE(CONTROL!$C$42, 0.275, 0.275)*CHOOSE(CONTROL!$C$42, 30, 30))/1000000</f>
        <v>4.125</v>
      </c>
      <c r="W400" s="56">
        <f>(1000*CHOOSE(CONTROL!$C$42, 0.0916, 0.0916)*CHOOSE(CONTROL!$C$42, 121.5, 121.5)*CHOOSE(CONTROL!$C$42, 30, 30))/1000000</f>
        <v>0.33388200000000001</v>
      </c>
      <c r="X400" s="56">
        <f>(30*0.1790888*145000/1000000)+(30*0.2374*100000/1000000)</f>
        <v>1.4912362799999999</v>
      </c>
      <c r="Y400" s="56"/>
      <c r="Z400" s="17"/>
      <c r="AA400" s="55"/>
      <c r="AB400" s="48">
        <f>(B400*141.293+C400*267.993+D400*115.016+E400*189.698+F400*40+G400*85+H400*0+I400*100+J400*300)/(141.293+267.993+115.016+189.698+0+40+85+100+300)</f>
        <v>19.194645572477807</v>
      </c>
      <c r="AC400" s="45">
        <f>(M400*'RAP TEMPLATE-GAS AVAILABILITY'!O399+N400*'RAP TEMPLATE-GAS AVAILABILITY'!P399+O400*'RAP TEMPLATE-GAS AVAILABILITY'!Q399+P400*'RAP TEMPLATE-GAS AVAILABILITY'!R399)/('RAP TEMPLATE-GAS AVAILABILITY'!O399+'RAP TEMPLATE-GAS AVAILABILITY'!P399+'RAP TEMPLATE-GAS AVAILABILITY'!Q399+'RAP TEMPLATE-GAS AVAILABILITY'!R399)</f>
        <v>19.045646043165469</v>
      </c>
    </row>
    <row r="401" spans="1:29" ht="15.75" x14ac:dyDescent="0.25">
      <c r="A401" s="14">
        <v>53113</v>
      </c>
      <c r="B401" s="17">
        <f>CHOOSE(CONTROL!$C$42, 19.2869, 19.2869) * CHOOSE(CONTROL!$C$21, $C$9, 100%, $E$9)</f>
        <v>19.286899999999999</v>
      </c>
      <c r="C401" s="17">
        <f>CHOOSE(CONTROL!$C$42, 19.2949, 19.2949) * CHOOSE(CONTROL!$C$21, $C$9, 100%, $E$9)</f>
        <v>19.294899999999998</v>
      </c>
      <c r="D401" s="17">
        <f>CHOOSE(CONTROL!$C$42, 19.5393, 19.5393) * CHOOSE(CONTROL!$C$21, $C$9, 100%, $E$9)</f>
        <v>19.539300000000001</v>
      </c>
      <c r="E401" s="17">
        <f>CHOOSE(CONTROL!$C$42, 19.5705, 19.5705) * CHOOSE(CONTROL!$C$21, $C$9, 100%, $E$9)</f>
        <v>19.570499999999999</v>
      </c>
      <c r="F401" s="17">
        <f>CHOOSE(CONTROL!$C$42, 19.2974, 19.2974)*CHOOSE(CONTROL!$C$21, $C$9, 100%, $E$9)</f>
        <v>19.2974</v>
      </c>
      <c r="G401" s="17">
        <f>CHOOSE(CONTROL!$C$42, 19.3137, 19.3137)*CHOOSE(CONTROL!$C$21, $C$9, 100%, $E$9)</f>
        <v>19.313700000000001</v>
      </c>
      <c r="H401" s="17">
        <f>CHOOSE(CONTROL!$C$42, 19.5588, 19.5588) * CHOOSE(CONTROL!$C$21, $C$9, 100%, $E$9)</f>
        <v>19.558800000000002</v>
      </c>
      <c r="I401" s="17">
        <f>CHOOSE(CONTROL!$C$42, 19.368, 19.368)* CHOOSE(CONTROL!$C$21, $C$9, 100%, $E$9)</f>
        <v>19.367999999999999</v>
      </c>
      <c r="J401" s="17">
        <f>CHOOSE(CONTROL!$C$42, 19.29, 19.29)* CHOOSE(CONTROL!$C$21, $C$9, 100%, $E$9)</f>
        <v>19.29</v>
      </c>
      <c r="K401" s="52">
        <f>CHOOSE(CONTROL!$C$42, 19.362, 19.362) * CHOOSE(CONTROL!$C$21, $C$9, 100%, $E$9)</f>
        <v>19.361999999999998</v>
      </c>
      <c r="L401" s="17">
        <f>CHOOSE(CONTROL!$C$42, 20.1458, 20.1458) * CHOOSE(CONTROL!$C$21, $C$9, 100%, $E$9)</f>
        <v>20.145800000000001</v>
      </c>
      <c r="M401" s="17">
        <f>CHOOSE(CONTROL!$C$42, 19.1236, 19.1236) * CHOOSE(CONTROL!$C$21, $C$9, 100%, $E$9)</f>
        <v>19.1236</v>
      </c>
      <c r="N401" s="17">
        <f>CHOOSE(CONTROL!$C$42, 19.1396, 19.1396) * CHOOSE(CONTROL!$C$21, $C$9, 100%, $E$9)</f>
        <v>19.139600000000002</v>
      </c>
      <c r="O401" s="17">
        <f>CHOOSE(CONTROL!$C$42, 19.3899, 19.3899) * CHOOSE(CONTROL!$C$21, $C$9, 100%, $E$9)</f>
        <v>19.389900000000001</v>
      </c>
      <c r="P401" s="17">
        <f>CHOOSE(CONTROL!$C$42, 19.2003, 19.2003) * CHOOSE(CONTROL!$C$21, $C$9, 100%, $E$9)</f>
        <v>19.200299999999999</v>
      </c>
      <c r="Q401" s="17">
        <f>CHOOSE(CONTROL!$C$42, 19.9846, 19.9846) * CHOOSE(CONTROL!$C$21, $C$9, 100%, $E$9)</f>
        <v>19.9846</v>
      </c>
      <c r="R401" s="17">
        <f>CHOOSE(CONTROL!$C$42, 20.6216, 20.6216) * CHOOSE(CONTROL!$C$21, $C$9, 100%, $E$9)</f>
        <v>20.621600000000001</v>
      </c>
      <c r="S401" s="17">
        <f>CHOOSE(CONTROL!$C$42, 18.6909, 18.6909) * CHOOSE(CONTROL!$C$21, $C$9, 100%, $E$9)</f>
        <v>18.690899999999999</v>
      </c>
      <c r="T40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01" s="56">
        <f>(1000*CHOOSE(CONTROL!$C$42, 695, 695)*CHOOSE(CONTROL!$C$42, 0.5599, 0.5599)*CHOOSE(CONTROL!$C$42, 31, 31))/1000000</f>
        <v>12.063045499999998</v>
      </c>
      <c r="V401" s="56">
        <f>(1000*CHOOSE(CONTROL!$C$42, 500, 500)*CHOOSE(CONTROL!$C$42, 0.275, 0.275)*CHOOSE(CONTROL!$C$42, 31, 31))/1000000</f>
        <v>4.2625000000000002</v>
      </c>
      <c r="W401" s="56">
        <f>(1000*CHOOSE(CONTROL!$C$42, 0.0916, 0.0916)*CHOOSE(CONTROL!$C$42, 121.5, 121.5)*CHOOSE(CONTROL!$C$42, 31, 31))/1000000</f>
        <v>0.34501139999999997</v>
      </c>
      <c r="X401" s="56">
        <f>(31*0.1790888*145000/1000000)+(31*0.2374*100000/1000000)</f>
        <v>1.5409441560000001</v>
      </c>
      <c r="Y401" s="56"/>
      <c r="Z401" s="17"/>
      <c r="AA401" s="55"/>
      <c r="AB401" s="48">
        <f>(B401*194.205+C401*267.466+D401*133.845+E401*153.484+F401*40+G401*85+H401*0+I401*100+J401*300)/(194.205+267.466+133.845+153.484+0+40+85+100+300)</f>
        <v>19.358476348822606</v>
      </c>
      <c r="AC401" s="45">
        <f>(M401*'RAP TEMPLATE-GAS AVAILABILITY'!O400+N401*'RAP TEMPLATE-GAS AVAILABILITY'!P400+O401*'RAP TEMPLATE-GAS AVAILABILITY'!Q400+P401*'RAP TEMPLATE-GAS AVAILABILITY'!R400)/('RAP TEMPLATE-GAS AVAILABILITY'!O400+'RAP TEMPLATE-GAS AVAILABILITY'!P400+'RAP TEMPLATE-GAS AVAILABILITY'!Q400+'RAP TEMPLATE-GAS AVAILABILITY'!R400)</f>
        <v>19.213036690647481</v>
      </c>
    </row>
    <row r="402" spans="1:29" ht="15.75" x14ac:dyDescent="0.25">
      <c r="A402" s="14">
        <v>53143</v>
      </c>
      <c r="B402" s="17">
        <f>CHOOSE(CONTROL!$C$42, 19.8336, 19.8336) * CHOOSE(CONTROL!$C$21, $C$9, 100%, $E$9)</f>
        <v>19.833600000000001</v>
      </c>
      <c r="C402" s="17">
        <f>CHOOSE(CONTROL!$C$42, 19.8416, 19.8416) * CHOOSE(CONTROL!$C$21, $C$9, 100%, $E$9)</f>
        <v>19.8416</v>
      </c>
      <c r="D402" s="17">
        <f>CHOOSE(CONTROL!$C$42, 20.0861, 20.0861) * CHOOSE(CONTROL!$C$21, $C$9, 100%, $E$9)</f>
        <v>20.086099999999998</v>
      </c>
      <c r="E402" s="17">
        <f>CHOOSE(CONTROL!$C$42, 20.1173, 20.1173) * CHOOSE(CONTROL!$C$21, $C$9, 100%, $E$9)</f>
        <v>20.1173</v>
      </c>
      <c r="F402" s="17">
        <f>CHOOSE(CONTROL!$C$42, 19.8445, 19.8445)*CHOOSE(CONTROL!$C$21, $C$9, 100%, $E$9)</f>
        <v>19.8445</v>
      </c>
      <c r="G402" s="17">
        <f>CHOOSE(CONTROL!$C$42, 19.8608, 19.8608)*CHOOSE(CONTROL!$C$21, $C$9, 100%, $E$9)</f>
        <v>19.860800000000001</v>
      </c>
      <c r="H402" s="17">
        <f>CHOOSE(CONTROL!$C$42, 20.1056, 20.1056) * CHOOSE(CONTROL!$C$21, $C$9, 100%, $E$9)</f>
        <v>20.105599999999999</v>
      </c>
      <c r="I402" s="17">
        <f>CHOOSE(CONTROL!$C$42, 19.9164, 19.9164)* CHOOSE(CONTROL!$C$21, $C$9, 100%, $E$9)</f>
        <v>19.916399999999999</v>
      </c>
      <c r="J402" s="17">
        <f>CHOOSE(CONTROL!$C$42, 19.8371, 19.8371)* CHOOSE(CONTROL!$C$21, $C$9, 100%, $E$9)</f>
        <v>19.8371</v>
      </c>
      <c r="K402" s="52">
        <f>CHOOSE(CONTROL!$C$42, 19.9104, 19.9104) * CHOOSE(CONTROL!$C$21, $C$9, 100%, $E$9)</f>
        <v>19.910399999999999</v>
      </c>
      <c r="L402" s="17">
        <f>CHOOSE(CONTROL!$C$42, 20.6926, 20.6926) * CHOOSE(CONTROL!$C$21, $C$9, 100%, $E$9)</f>
        <v>20.692599999999999</v>
      </c>
      <c r="M402" s="17">
        <f>CHOOSE(CONTROL!$C$42, 19.6657, 19.6657) * CHOOSE(CONTROL!$C$21, $C$9, 100%, $E$9)</f>
        <v>19.665700000000001</v>
      </c>
      <c r="N402" s="17">
        <f>CHOOSE(CONTROL!$C$42, 19.6819, 19.6819) * CHOOSE(CONTROL!$C$21, $C$9, 100%, $E$9)</f>
        <v>19.681899999999999</v>
      </c>
      <c r="O402" s="17">
        <f>CHOOSE(CONTROL!$C$42, 19.9318, 19.9318) * CHOOSE(CONTROL!$C$21, $C$9, 100%, $E$9)</f>
        <v>19.931799999999999</v>
      </c>
      <c r="P402" s="17">
        <f>CHOOSE(CONTROL!$C$42, 19.7438, 19.7438) * CHOOSE(CONTROL!$C$21, $C$9, 100%, $E$9)</f>
        <v>19.7438</v>
      </c>
      <c r="Q402" s="17">
        <f>CHOOSE(CONTROL!$C$42, 20.5265, 20.5265) * CHOOSE(CONTROL!$C$21, $C$9, 100%, $E$9)</f>
        <v>20.526499999999999</v>
      </c>
      <c r="R402" s="17">
        <f>CHOOSE(CONTROL!$C$42, 21.1648, 21.1648) * CHOOSE(CONTROL!$C$21, $C$9, 100%, $E$9)</f>
        <v>21.1648</v>
      </c>
      <c r="S402" s="17">
        <f>CHOOSE(CONTROL!$C$42, 19.2211, 19.2211) * CHOOSE(CONTROL!$C$21, $C$9, 100%, $E$9)</f>
        <v>19.2211</v>
      </c>
      <c r="T40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02" s="56">
        <f>(1000*CHOOSE(CONTROL!$C$42, 695, 695)*CHOOSE(CONTROL!$C$42, 0.5599, 0.5599)*CHOOSE(CONTROL!$C$42, 30, 30))/1000000</f>
        <v>11.673914999999997</v>
      </c>
      <c r="V402" s="56">
        <f>(1000*CHOOSE(CONTROL!$C$42, 500, 500)*CHOOSE(CONTROL!$C$42, 0.275, 0.275)*CHOOSE(CONTROL!$C$42, 30, 30))/1000000</f>
        <v>4.125</v>
      </c>
      <c r="W402" s="56">
        <f>(1000*CHOOSE(CONTROL!$C$42, 0.0916, 0.0916)*CHOOSE(CONTROL!$C$42, 121.5, 121.5)*CHOOSE(CONTROL!$C$42, 30, 30))/1000000</f>
        <v>0.33388200000000001</v>
      </c>
      <c r="X402" s="56">
        <f>(30*0.1790888*145000/1000000)+(30*0.2374*100000/1000000)</f>
        <v>1.4912362799999999</v>
      </c>
      <c r="Y402" s="56"/>
      <c r="Z402" s="17"/>
      <c r="AA402" s="55"/>
      <c r="AB402" s="48">
        <f>(B402*194.205+C402*267.466+D402*133.845+E402*153.484+F402*40+G402*85+H402*0+I402*100+J402*300)/(194.205+267.466+133.845+153.484+0+40+85+100+300)</f>
        <v>19.905465778100471</v>
      </c>
      <c r="AC402" s="45">
        <f>(M402*'RAP TEMPLATE-GAS AVAILABILITY'!O401+N402*'RAP TEMPLATE-GAS AVAILABILITY'!P401+O402*'RAP TEMPLATE-GAS AVAILABILITY'!Q401+P402*'RAP TEMPLATE-GAS AVAILABILITY'!R401)/('RAP TEMPLATE-GAS AVAILABILITY'!O401+'RAP TEMPLATE-GAS AVAILABILITY'!P401+'RAP TEMPLATE-GAS AVAILABILITY'!Q401+'RAP TEMPLATE-GAS AVAILABILITY'!R401)</f>
        <v>19.75532805755396</v>
      </c>
    </row>
    <row r="403" spans="1:29" ht="15.75" x14ac:dyDescent="0.25">
      <c r="A403" s="14">
        <v>53174</v>
      </c>
      <c r="B403" s="17">
        <f>CHOOSE(CONTROL!$C$42, 19.4534, 19.4534) * CHOOSE(CONTROL!$C$21, $C$9, 100%, $E$9)</f>
        <v>19.453399999999998</v>
      </c>
      <c r="C403" s="17">
        <f>CHOOSE(CONTROL!$C$42, 19.4614, 19.4614) * CHOOSE(CONTROL!$C$21, $C$9, 100%, $E$9)</f>
        <v>19.461400000000001</v>
      </c>
      <c r="D403" s="17">
        <f>CHOOSE(CONTROL!$C$42, 19.7058, 19.7058) * CHOOSE(CONTROL!$C$21, $C$9, 100%, $E$9)</f>
        <v>19.7058</v>
      </c>
      <c r="E403" s="17">
        <f>CHOOSE(CONTROL!$C$42, 19.737, 19.737) * CHOOSE(CONTROL!$C$21, $C$9, 100%, $E$9)</f>
        <v>19.736999999999998</v>
      </c>
      <c r="F403" s="17">
        <f>CHOOSE(CONTROL!$C$42, 19.4647, 19.4647)*CHOOSE(CONTROL!$C$21, $C$9, 100%, $E$9)</f>
        <v>19.464700000000001</v>
      </c>
      <c r="G403" s="17">
        <f>CHOOSE(CONTROL!$C$42, 19.4811, 19.4811)*CHOOSE(CONTROL!$C$21, $C$9, 100%, $E$9)</f>
        <v>19.481100000000001</v>
      </c>
      <c r="H403" s="17">
        <f>CHOOSE(CONTROL!$C$42, 19.7253, 19.7253) * CHOOSE(CONTROL!$C$21, $C$9, 100%, $E$9)</f>
        <v>19.725300000000001</v>
      </c>
      <c r="I403" s="17">
        <f>CHOOSE(CONTROL!$C$42, 19.535, 19.535)* CHOOSE(CONTROL!$C$21, $C$9, 100%, $E$9)</f>
        <v>19.535</v>
      </c>
      <c r="J403" s="17">
        <f>CHOOSE(CONTROL!$C$42, 19.4573, 19.4573)* CHOOSE(CONTROL!$C$21, $C$9, 100%, $E$9)</f>
        <v>19.4573</v>
      </c>
      <c r="K403" s="52">
        <f>CHOOSE(CONTROL!$C$42, 19.529, 19.529) * CHOOSE(CONTROL!$C$21, $C$9, 100%, $E$9)</f>
        <v>19.529</v>
      </c>
      <c r="L403" s="17">
        <f>CHOOSE(CONTROL!$C$42, 20.3123, 20.3123) * CHOOSE(CONTROL!$C$21, $C$9, 100%, $E$9)</f>
        <v>20.3123</v>
      </c>
      <c r="M403" s="17">
        <f>CHOOSE(CONTROL!$C$42, 19.2893, 19.2893) * CHOOSE(CONTROL!$C$21, $C$9, 100%, $E$9)</f>
        <v>19.289300000000001</v>
      </c>
      <c r="N403" s="17">
        <f>CHOOSE(CONTROL!$C$42, 19.3056, 19.3056) * CHOOSE(CONTROL!$C$21, $C$9, 100%, $E$9)</f>
        <v>19.305599999999998</v>
      </c>
      <c r="O403" s="17">
        <f>CHOOSE(CONTROL!$C$42, 19.5549, 19.5549) * CHOOSE(CONTROL!$C$21, $C$9, 100%, $E$9)</f>
        <v>19.5549</v>
      </c>
      <c r="P403" s="17">
        <f>CHOOSE(CONTROL!$C$42, 19.3658, 19.3658) * CHOOSE(CONTROL!$C$21, $C$9, 100%, $E$9)</f>
        <v>19.3658</v>
      </c>
      <c r="Q403" s="17">
        <f>CHOOSE(CONTROL!$C$42, 20.1496, 20.1496) * CHOOSE(CONTROL!$C$21, $C$9, 100%, $E$9)</f>
        <v>20.1496</v>
      </c>
      <c r="R403" s="17">
        <f>CHOOSE(CONTROL!$C$42, 20.787, 20.787) * CHOOSE(CONTROL!$C$21, $C$9, 100%, $E$9)</f>
        <v>20.786999999999999</v>
      </c>
      <c r="S403" s="17">
        <f>CHOOSE(CONTROL!$C$42, 18.8524, 18.8524) * CHOOSE(CONTROL!$C$21, $C$9, 100%, $E$9)</f>
        <v>18.852399999999999</v>
      </c>
      <c r="T40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03" s="56">
        <f>(1000*CHOOSE(CONTROL!$C$42, 695, 695)*CHOOSE(CONTROL!$C$42, 0.5599, 0.5599)*CHOOSE(CONTROL!$C$42, 31, 31))/1000000</f>
        <v>12.063045499999998</v>
      </c>
      <c r="V403" s="56">
        <f>(1000*CHOOSE(CONTROL!$C$42, 500, 500)*CHOOSE(CONTROL!$C$42, 0.275, 0.275)*CHOOSE(CONTROL!$C$42, 31, 31))/1000000</f>
        <v>4.2625000000000002</v>
      </c>
      <c r="W403" s="56">
        <f>(1000*CHOOSE(CONTROL!$C$42, 0.0916, 0.0916)*CHOOSE(CONTROL!$C$42, 121.5, 121.5)*CHOOSE(CONTROL!$C$42, 31, 31))/1000000</f>
        <v>0.34501139999999997</v>
      </c>
      <c r="X403" s="56">
        <f>(31*0.1790888*145000/1000000)+(31*0.2374*100000/1000000)</f>
        <v>1.5409441560000001</v>
      </c>
      <c r="Y403" s="56"/>
      <c r="Z403" s="17"/>
      <c r="AA403" s="55"/>
      <c r="AB403" s="48">
        <f>(B403*194.205+C403*267.466+D403*133.845+E403*153.484+F403*40+G403*85+H403*0+I403*100+J403*300)/(194.205+267.466+133.845+153.484+0+40+85+100+300)</f>
        <v>19.525289143171111</v>
      </c>
      <c r="AC403" s="45">
        <f>(M403*'RAP TEMPLATE-GAS AVAILABILITY'!O402+N403*'RAP TEMPLATE-GAS AVAILABILITY'!P402+O403*'RAP TEMPLATE-GAS AVAILABILITY'!Q402+P403*'RAP TEMPLATE-GAS AVAILABILITY'!R402)/('RAP TEMPLATE-GAS AVAILABILITY'!O402+'RAP TEMPLATE-GAS AVAILABILITY'!P402+'RAP TEMPLATE-GAS AVAILABILITY'!Q402+'RAP TEMPLATE-GAS AVAILABILITY'!R402)</f>
        <v>19.378580575539569</v>
      </c>
    </row>
    <row r="404" spans="1:29" ht="15.75" x14ac:dyDescent="0.25">
      <c r="A404" s="14">
        <v>53205</v>
      </c>
      <c r="B404" s="17">
        <f>CHOOSE(CONTROL!$C$42, 18.4931, 18.4931) * CHOOSE(CONTROL!$C$21, $C$9, 100%, $E$9)</f>
        <v>18.493099999999998</v>
      </c>
      <c r="C404" s="17">
        <f>CHOOSE(CONTROL!$C$42, 18.5011, 18.5011) * CHOOSE(CONTROL!$C$21, $C$9, 100%, $E$9)</f>
        <v>18.501100000000001</v>
      </c>
      <c r="D404" s="17">
        <f>CHOOSE(CONTROL!$C$42, 18.7456, 18.7456) * CHOOSE(CONTROL!$C$21, $C$9, 100%, $E$9)</f>
        <v>18.7456</v>
      </c>
      <c r="E404" s="17">
        <f>CHOOSE(CONTROL!$C$42, 18.7767, 18.7767) * CHOOSE(CONTROL!$C$21, $C$9, 100%, $E$9)</f>
        <v>18.776700000000002</v>
      </c>
      <c r="F404" s="17">
        <f>CHOOSE(CONTROL!$C$42, 18.5047, 18.5047)*CHOOSE(CONTROL!$C$21, $C$9, 100%, $E$9)</f>
        <v>18.5047</v>
      </c>
      <c r="G404" s="17">
        <f>CHOOSE(CONTROL!$C$42, 18.5212, 18.5212)*CHOOSE(CONTROL!$C$21, $C$9, 100%, $E$9)</f>
        <v>18.5212</v>
      </c>
      <c r="H404" s="17">
        <f>CHOOSE(CONTROL!$C$42, 18.7651, 18.7651) * CHOOSE(CONTROL!$C$21, $C$9, 100%, $E$9)</f>
        <v>18.7651</v>
      </c>
      <c r="I404" s="17">
        <f>CHOOSE(CONTROL!$C$42, 18.5717, 18.5717)* CHOOSE(CONTROL!$C$21, $C$9, 100%, $E$9)</f>
        <v>18.5717</v>
      </c>
      <c r="J404" s="17">
        <f>CHOOSE(CONTROL!$C$42, 18.4973, 18.4973)* CHOOSE(CONTROL!$C$21, $C$9, 100%, $E$9)</f>
        <v>18.497299999999999</v>
      </c>
      <c r="K404" s="52">
        <f>CHOOSE(CONTROL!$C$42, 18.5657, 18.5657) * CHOOSE(CONTROL!$C$21, $C$9, 100%, $E$9)</f>
        <v>18.5657</v>
      </c>
      <c r="L404" s="17">
        <f>CHOOSE(CONTROL!$C$42, 19.3521, 19.3521) * CHOOSE(CONTROL!$C$21, $C$9, 100%, $E$9)</f>
        <v>19.3521</v>
      </c>
      <c r="M404" s="17">
        <f>CHOOSE(CONTROL!$C$42, 18.3379, 18.3379) * CHOOSE(CONTROL!$C$21, $C$9, 100%, $E$9)</f>
        <v>18.337900000000001</v>
      </c>
      <c r="N404" s="17">
        <f>CHOOSE(CONTROL!$C$42, 18.3543, 18.3543) * CHOOSE(CONTROL!$C$21, $C$9, 100%, $E$9)</f>
        <v>18.354299999999999</v>
      </c>
      <c r="O404" s="17">
        <f>CHOOSE(CONTROL!$C$42, 18.6033, 18.6033) * CHOOSE(CONTROL!$C$21, $C$9, 100%, $E$9)</f>
        <v>18.603300000000001</v>
      </c>
      <c r="P404" s="17">
        <f>CHOOSE(CONTROL!$C$42, 18.4113, 18.4113) * CHOOSE(CONTROL!$C$21, $C$9, 100%, $E$9)</f>
        <v>18.411300000000001</v>
      </c>
      <c r="Q404" s="17">
        <f>CHOOSE(CONTROL!$C$42, 19.198, 19.198) * CHOOSE(CONTROL!$C$21, $C$9, 100%, $E$9)</f>
        <v>19.198</v>
      </c>
      <c r="R404" s="17">
        <f>CHOOSE(CONTROL!$C$42, 19.833, 19.833) * CHOOSE(CONTROL!$C$21, $C$9, 100%, $E$9)</f>
        <v>19.832999999999998</v>
      </c>
      <c r="S404" s="17">
        <f>CHOOSE(CONTROL!$C$42, 17.9212, 17.9212) * CHOOSE(CONTROL!$C$21, $C$9, 100%, $E$9)</f>
        <v>17.921199999999999</v>
      </c>
      <c r="T40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04" s="56">
        <f>(1000*CHOOSE(CONTROL!$C$42, 695, 695)*CHOOSE(CONTROL!$C$42, 0.5599, 0.5599)*CHOOSE(CONTROL!$C$42, 31, 31))/1000000</f>
        <v>12.063045499999998</v>
      </c>
      <c r="V404" s="56">
        <f>(1000*CHOOSE(CONTROL!$C$42, 500, 500)*CHOOSE(CONTROL!$C$42, 0.275, 0.275)*CHOOSE(CONTROL!$C$42, 31, 31))/1000000</f>
        <v>4.2625000000000002</v>
      </c>
      <c r="W404" s="56">
        <f>(1000*CHOOSE(CONTROL!$C$42, 0.0916, 0.0916)*CHOOSE(CONTROL!$C$42, 121.5, 121.5)*CHOOSE(CONTROL!$C$42, 31, 31))/1000000</f>
        <v>0.34501139999999997</v>
      </c>
      <c r="X404" s="56">
        <f>(31*0.1790888*145000/1000000)+(31*0.2374*100000/1000000)</f>
        <v>1.5409441560000001</v>
      </c>
      <c r="Y404" s="56"/>
      <c r="Z404" s="17"/>
      <c r="AA404" s="55"/>
      <c r="AB404" s="48">
        <f>(B404*194.205+C404*267.466+D404*133.845+E404*153.484+F404*40+G404*85+H404*0+I404*100+J404*300)/(194.205+267.466+133.845+153.484+0+40+85+100+300)</f>
        <v>18.564870920643642</v>
      </c>
      <c r="AC404" s="45">
        <f>(M404*'RAP TEMPLATE-GAS AVAILABILITY'!O403+N404*'RAP TEMPLATE-GAS AVAILABILITY'!P403+O404*'RAP TEMPLATE-GAS AVAILABILITY'!Q403+P404*'RAP TEMPLATE-GAS AVAILABILITY'!R403)/('RAP TEMPLATE-GAS AVAILABILITY'!O403+'RAP TEMPLATE-GAS AVAILABILITY'!P403+'RAP TEMPLATE-GAS AVAILABILITY'!Q403+'RAP TEMPLATE-GAS AVAILABILITY'!R403)</f>
        <v>18.426701438848919</v>
      </c>
    </row>
    <row r="405" spans="1:29" ht="15.75" x14ac:dyDescent="0.25">
      <c r="A405" s="14">
        <v>53235</v>
      </c>
      <c r="B405" s="17">
        <f>CHOOSE(CONTROL!$C$42, 17.3196, 17.3196) * CHOOSE(CONTROL!$C$21, $C$9, 100%, $E$9)</f>
        <v>17.319600000000001</v>
      </c>
      <c r="C405" s="17">
        <f>CHOOSE(CONTROL!$C$42, 17.3276, 17.3276) * CHOOSE(CONTROL!$C$21, $C$9, 100%, $E$9)</f>
        <v>17.3276</v>
      </c>
      <c r="D405" s="17">
        <f>CHOOSE(CONTROL!$C$42, 17.5721, 17.5721) * CHOOSE(CONTROL!$C$21, $C$9, 100%, $E$9)</f>
        <v>17.572099999999999</v>
      </c>
      <c r="E405" s="17">
        <f>CHOOSE(CONTROL!$C$42, 17.6032, 17.6032) * CHOOSE(CONTROL!$C$21, $C$9, 100%, $E$9)</f>
        <v>17.603200000000001</v>
      </c>
      <c r="F405" s="17">
        <f>CHOOSE(CONTROL!$C$42, 17.3312, 17.3312)*CHOOSE(CONTROL!$C$21, $C$9, 100%, $E$9)</f>
        <v>17.331199999999999</v>
      </c>
      <c r="G405" s="17">
        <f>CHOOSE(CONTROL!$C$42, 17.3477, 17.3477)*CHOOSE(CONTROL!$C$21, $C$9, 100%, $E$9)</f>
        <v>17.3477</v>
      </c>
      <c r="H405" s="17">
        <f>CHOOSE(CONTROL!$C$42, 17.5916, 17.5916) * CHOOSE(CONTROL!$C$21, $C$9, 100%, $E$9)</f>
        <v>17.5916</v>
      </c>
      <c r="I405" s="17">
        <f>CHOOSE(CONTROL!$C$42, 17.3946, 17.3946)* CHOOSE(CONTROL!$C$21, $C$9, 100%, $E$9)</f>
        <v>17.394600000000001</v>
      </c>
      <c r="J405" s="17">
        <f>CHOOSE(CONTROL!$C$42, 17.3238, 17.3238)* CHOOSE(CONTROL!$C$21, $C$9, 100%, $E$9)</f>
        <v>17.323799999999999</v>
      </c>
      <c r="K405" s="52">
        <f>CHOOSE(CONTROL!$C$42, 17.3886, 17.3886) * CHOOSE(CONTROL!$C$21, $C$9, 100%, $E$9)</f>
        <v>17.3886</v>
      </c>
      <c r="L405" s="17">
        <f>CHOOSE(CONTROL!$C$42, 18.1786, 18.1786) * CHOOSE(CONTROL!$C$21, $C$9, 100%, $E$9)</f>
        <v>18.178599999999999</v>
      </c>
      <c r="M405" s="17">
        <f>CHOOSE(CONTROL!$C$42, 17.175, 17.175) * CHOOSE(CONTROL!$C$21, $C$9, 100%, $E$9)</f>
        <v>17.175000000000001</v>
      </c>
      <c r="N405" s="17">
        <f>CHOOSE(CONTROL!$C$42, 17.1914, 17.1914) * CHOOSE(CONTROL!$C$21, $C$9, 100%, $E$9)</f>
        <v>17.191400000000002</v>
      </c>
      <c r="O405" s="17">
        <f>CHOOSE(CONTROL!$C$42, 17.4404, 17.4404) * CHOOSE(CONTROL!$C$21, $C$9, 100%, $E$9)</f>
        <v>17.4404</v>
      </c>
      <c r="P405" s="17">
        <f>CHOOSE(CONTROL!$C$42, 17.2447, 17.2447) * CHOOSE(CONTROL!$C$21, $C$9, 100%, $E$9)</f>
        <v>17.244700000000002</v>
      </c>
      <c r="Q405" s="17">
        <f>CHOOSE(CONTROL!$C$42, 18.0351, 18.0351) * CHOOSE(CONTROL!$C$21, $C$9, 100%, $E$9)</f>
        <v>18.0351</v>
      </c>
      <c r="R405" s="17">
        <f>CHOOSE(CONTROL!$C$42, 18.6671, 18.6671) * CHOOSE(CONTROL!$C$21, $C$9, 100%, $E$9)</f>
        <v>18.667100000000001</v>
      </c>
      <c r="S405" s="17">
        <f>CHOOSE(CONTROL!$C$42, 16.7832, 16.7832) * CHOOSE(CONTROL!$C$21, $C$9, 100%, $E$9)</f>
        <v>16.783200000000001</v>
      </c>
      <c r="T40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05" s="56">
        <f>(1000*CHOOSE(CONTROL!$C$42, 695, 695)*CHOOSE(CONTROL!$C$42, 0.5599, 0.5599)*CHOOSE(CONTROL!$C$42, 30, 30))/1000000</f>
        <v>11.673914999999997</v>
      </c>
      <c r="V405" s="56">
        <f>(1000*CHOOSE(CONTROL!$C$42, 500, 500)*CHOOSE(CONTROL!$C$42, 0.275, 0.275)*CHOOSE(CONTROL!$C$42, 30, 30))/1000000</f>
        <v>4.125</v>
      </c>
      <c r="W405" s="56">
        <f>(1000*CHOOSE(CONTROL!$C$42, 0.0916, 0.0916)*CHOOSE(CONTROL!$C$42, 121.5, 121.5)*CHOOSE(CONTROL!$C$42, 30, 30))/1000000</f>
        <v>0.33388200000000001</v>
      </c>
      <c r="X405" s="56">
        <f>(30*0.1790888*145000/1000000)+(30*0.2374*100000/1000000)</f>
        <v>1.4912362799999999</v>
      </c>
      <c r="Y405" s="56"/>
      <c r="Z405" s="17"/>
      <c r="AA405" s="55"/>
      <c r="AB405" s="48">
        <f>(B405*194.205+C405*267.466+D405*133.845+E405*153.484+F405*40+G405*85+H405*0+I405*100+J405*300)/(194.205+267.466+133.845+153.484+0+40+85+100+300)</f>
        <v>17.391088346075353</v>
      </c>
      <c r="AC405" s="45">
        <f>(M405*'RAP TEMPLATE-GAS AVAILABILITY'!O404+N405*'RAP TEMPLATE-GAS AVAILABILITY'!P404+O405*'RAP TEMPLATE-GAS AVAILABILITY'!Q404+P405*'RAP TEMPLATE-GAS AVAILABILITY'!R404)/('RAP TEMPLATE-GAS AVAILABILITY'!O404+'RAP TEMPLATE-GAS AVAILABILITY'!P404+'RAP TEMPLATE-GAS AVAILABILITY'!Q404+'RAP TEMPLATE-GAS AVAILABILITY'!R404)</f>
        <v>17.263269064748204</v>
      </c>
    </row>
    <row r="406" spans="1:29" ht="15.75" x14ac:dyDescent="0.25">
      <c r="A406" s="14">
        <v>53266</v>
      </c>
      <c r="B406" s="17">
        <f>CHOOSE(CONTROL!$C$42, 16.9665, 16.9665) * CHOOSE(CONTROL!$C$21, $C$9, 100%, $E$9)</f>
        <v>16.9665</v>
      </c>
      <c r="C406" s="17">
        <f>CHOOSE(CONTROL!$C$42, 16.9718, 16.9718) * CHOOSE(CONTROL!$C$21, $C$9, 100%, $E$9)</f>
        <v>16.971800000000002</v>
      </c>
      <c r="D406" s="17">
        <f>CHOOSE(CONTROL!$C$42, 17.2211, 17.2211) * CHOOSE(CONTROL!$C$21, $C$9, 100%, $E$9)</f>
        <v>17.2211</v>
      </c>
      <c r="E406" s="17">
        <f>CHOOSE(CONTROL!$C$42, 17.25, 17.25) * CHOOSE(CONTROL!$C$21, $C$9, 100%, $E$9)</f>
        <v>17.25</v>
      </c>
      <c r="F406" s="17">
        <f>CHOOSE(CONTROL!$C$42, 16.9803, 16.9803)*CHOOSE(CONTROL!$C$21, $C$9, 100%, $E$9)</f>
        <v>16.9803</v>
      </c>
      <c r="G406" s="17">
        <f>CHOOSE(CONTROL!$C$42, 16.9967, 16.9967)*CHOOSE(CONTROL!$C$21, $C$9, 100%, $E$9)</f>
        <v>16.996700000000001</v>
      </c>
      <c r="H406" s="17">
        <f>CHOOSE(CONTROL!$C$42, 17.2402, 17.2402) * CHOOSE(CONTROL!$C$21, $C$9, 100%, $E$9)</f>
        <v>17.240200000000002</v>
      </c>
      <c r="I406" s="17">
        <f>CHOOSE(CONTROL!$C$42, 17.0421, 17.0421)* CHOOSE(CONTROL!$C$21, $C$9, 100%, $E$9)</f>
        <v>17.042100000000001</v>
      </c>
      <c r="J406" s="17">
        <f>CHOOSE(CONTROL!$C$42, 16.9729, 16.9729)* CHOOSE(CONTROL!$C$21, $C$9, 100%, $E$9)</f>
        <v>16.972899999999999</v>
      </c>
      <c r="K406" s="52">
        <f>CHOOSE(CONTROL!$C$42, 17.0361, 17.0361) * CHOOSE(CONTROL!$C$21, $C$9, 100%, $E$9)</f>
        <v>17.036100000000001</v>
      </c>
      <c r="L406" s="17">
        <f>CHOOSE(CONTROL!$C$42, 17.8272, 17.8272) * CHOOSE(CONTROL!$C$21, $C$9, 100%, $E$9)</f>
        <v>17.827200000000001</v>
      </c>
      <c r="M406" s="17">
        <f>CHOOSE(CONTROL!$C$42, 16.8272, 16.8272) * CHOOSE(CONTROL!$C$21, $C$9, 100%, $E$9)</f>
        <v>16.827200000000001</v>
      </c>
      <c r="N406" s="17">
        <f>CHOOSE(CONTROL!$C$42, 16.8435, 16.8435) * CHOOSE(CONTROL!$C$21, $C$9, 100%, $E$9)</f>
        <v>16.843499999999999</v>
      </c>
      <c r="O406" s="17">
        <f>CHOOSE(CONTROL!$C$42, 17.0921, 17.0921) * CHOOSE(CONTROL!$C$21, $C$9, 100%, $E$9)</f>
        <v>17.092099999999999</v>
      </c>
      <c r="P406" s="17">
        <f>CHOOSE(CONTROL!$C$42, 16.8954, 16.8954) * CHOOSE(CONTROL!$C$21, $C$9, 100%, $E$9)</f>
        <v>16.895399999999999</v>
      </c>
      <c r="Q406" s="17">
        <f>CHOOSE(CONTROL!$C$42, 17.6868, 17.6868) * CHOOSE(CONTROL!$C$21, $C$9, 100%, $E$9)</f>
        <v>17.686800000000002</v>
      </c>
      <c r="R406" s="17">
        <f>CHOOSE(CONTROL!$C$42, 18.318, 18.318) * CHOOSE(CONTROL!$C$21, $C$9, 100%, $E$9)</f>
        <v>18.318000000000001</v>
      </c>
      <c r="S406" s="17">
        <f>CHOOSE(CONTROL!$C$42, 16.4425, 16.4425) * CHOOSE(CONTROL!$C$21, $C$9, 100%, $E$9)</f>
        <v>16.442499999999999</v>
      </c>
      <c r="T40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06" s="56">
        <f>(1000*CHOOSE(CONTROL!$C$42, 695, 695)*CHOOSE(CONTROL!$C$42, 0.5599, 0.5599)*CHOOSE(CONTROL!$C$42, 31, 31))/1000000</f>
        <v>12.063045499999998</v>
      </c>
      <c r="V406" s="56">
        <f>(1000*CHOOSE(CONTROL!$C$42, 500, 500)*CHOOSE(CONTROL!$C$42, 0.275, 0.275)*CHOOSE(CONTROL!$C$42, 31, 31))/1000000</f>
        <v>4.2625000000000002</v>
      </c>
      <c r="W406" s="56">
        <f>(1000*CHOOSE(CONTROL!$C$42, 0.0916, 0.0916)*CHOOSE(CONTROL!$C$42, 121.5, 121.5)*CHOOSE(CONTROL!$C$42, 31, 31))/1000000</f>
        <v>0.34501139999999997</v>
      </c>
      <c r="X406" s="56">
        <f>(31*0.1790888*145000/1000000)+(31*0.2374*100000/1000000)</f>
        <v>1.5409441560000001</v>
      </c>
      <c r="Y406" s="56"/>
      <c r="Z406" s="17"/>
      <c r="AA406" s="55"/>
      <c r="AB406" s="48">
        <f>(B406*131.881+C406*277.167+D406*79.08+E406*225.872+F406*40+G406*85+H406*0+I406*100+J406*300)/(131.881+277.167+79.08+225.872+0+40+85+100+300)</f>
        <v>17.045786896771588</v>
      </c>
      <c r="AC406" s="45">
        <f>(M406*'RAP TEMPLATE-GAS AVAILABILITY'!O405+N406*'RAP TEMPLATE-GAS AVAILABILITY'!P405+O406*'RAP TEMPLATE-GAS AVAILABILITY'!Q405+P406*'RAP TEMPLATE-GAS AVAILABILITY'!R405)/('RAP TEMPLATE-GAS AVAILABILITY'!O405+'RAP TEMPLATE-GAS AVAILABILITY'!P405+'RAP TEMPLATE-GAS AVAILABILITY'!Q405+'RAP TEMPLATE-GAS AVAILABILITY'!R405)</f>
        <v>16.915089928057554</v>
      </c>
    </row>
    <row r="407" spans="1:29" ht="15.75" x14ac:dyDescent="0.25">
      <c r="A407" s="14">
        <v>53296</v>
      </c>
      <c r="B407" s="17">
        <f>CHOOSE(CONTROL!$C$42, 17.4128, 17.4128) * CHOOSE(CONTROL!$C$21, $C$9, 100%, $E$9)</f>
        <v>17.412800000000001</v>
      </c>
      <c r="C407" s="17">
        <f>CHOOSE(CONTROL!$C$42, 17.4178, 17.4178) * CHOOSE(CONTROL!$C$21, $C$9, 100%, $E$9)</f>
        <v>17.4178</v>
      </c>
      <c r="D407" s="17">
        <f>CHOOSE(CONTROL!$C$42, 17.4992, 17.4992) * CHOOSE(CONTROL!$C$21, $C$9, 100%, $E$9)</f>
        <v>17.499199999999998</v>
      </c>
      <c r="E407" s="17">
        <f>CHOOSE(CONTROL!$C$42, 17.533, 17.533) * CHOOSE(CONTROL!$C$21, $C$9, 100%, $E$9)</f>
        <v>17.533000000000001</v>
      </c>
      <c r="F407" s="17">
        <f>CHOOSE(CONTROL!$C$42, 17.4307, 17.4307)*CHOOSE(CONTROL!$C$21, $C$9, 100%, $E$9)</f>
        <v>17.430700000000002</v>
      </c>
      <c r="G407" s="17">
        <f>CHOOSE(CONTROL!$C$42, 17.4474, 17.4474)*CHOOSE(CONTROL!$C$21, $C$9, 100%, $E$9)</f>
        <v>17.447399999999998</v>
      </c>
      <c r="H407" s="17">
        <f>CHOOSE(CONTROL!$C$42, 17.5218, 17.5218) * CHOOSE(CONTROL!$C$21, $C$9, 100%, $E$9)</f>
        <v>17.521799999999999</v>
      </c>
      <c r="I407" s="17">
        <f>CHOOSE(CONTROL!$C$42, 17.4917, 17.4917)* CHOOSE(CONTROL!$C$21, $C$9, 100%, $E$9)</f>
        <v>17.491700000000002</v>
      </c>
      <c r="J407" s="17">
        <f>CHOOSE(CONTROL!$C$42, 17.4233, 17.4233)* CHOOSE(CONTROL!$C$21, $C$9, 100%, $E$9)</f>
        <v>17.423300000000001</v>
      </c>
      <c r="K407" s="52">
        <f>CHOOSE(CONTROL!$C$42, 17.4857, 17.4857) * CHOOSE(CONTROL!$C$21, $C$9, 100%, $E$9)</f>
        <v>17.485700000000001</v>
      </c>
      <c r="L407" s="17">
        <f>CHOOSE(CONTROL!$C$42, 18.1088, 18.1088) * CHOOSE(CONTROL!$C$21, $C$9, 100%, $E$9)</f>
        <v>18.108799999999999</v>
      </c>
      <c r="M407" s="17">
        <f>CHOOSE(CONTROL!$C$42, 17.2736, 17.2736) * CHOOSE(CONTROL!$C$21, $C$9, 100%, $E$9)</f>
        <v>17.273599999999998</v>
      </c>
      <c r="N407" s="17">
        <f>CHOOSE(CONTROL!$C$42, 17.2902, 17.2902) * CHOOSE(CONTROL!$C$21, $C$9, 100%, $E$9)</f>
        <v>17.290199999999999</v>
      </c>
      <c r="O407" s="17">
        <f>CHOOSE(CONTROL!$C$42, 17.3713, 17.3713) * CHOOSE(CONTROL!$C$21, $C$9, 100%, $E$9)</f>
        <v>17.371300000000002</v>
      </c>
      <c r="P407" s="17">
        <f>CHOOSE(CONTROL!$C$42, 17.341, 17.341) * CHOOSE(CONTROL!$C$21, $C$9, 100%, $E$9)</f>
        <v>17.341000000000001</v>
      </c>
      <c r="Q407" s="17">
        <f>CHOOSE(CONTROL!$C$42, 17.966, 17.966) * CHOOSE(CONTROL!$C$21, $C$9, 100%, $E$9)</f>
        <v>17.966000000000001</v>
      </c>
      <c r="R407" s="17">
        <f>CHOOSE(CONTROL!$C$42, 18.5979, 18.5979) * CHOOSE(CONTROL!$C$21, $C$9, 100%, $E$9)</f>
        <v>18.597899999999999</v>
      </c>
      <c r="S407" s="17">
        <f>CHOOSE(CONTROL!$C$42, 16.8756, 16.8756) * CHOOSE(CONTROL!$C$21, $C$9, 100%, $E$9)</f>
        <v>16.875599999999999</v>
      </c>
      <c r="T40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07" s="56">
        <f>(1000*CHOOSE(CONTROL!$C$42, 695, 695)*CHOOSE(CONTROL!$C$42, 0.5599, 0.5599)*CHOOSE(CONTROL!$C$42, 30, 30))/1000000</f>
        <v>11.673914999999997</v>
      </c>
      <c r="V407" s="56">
        <f>(1000*CHOOSE(CONTROL!$C$42, 500, 500)*CHOOSE(CONTROL!$C$42, 0.275, 0.275)*CHOOSE(CONTROL!$C$42, 30, 30))/1000000</f>
        <v>4.125</v>
      </c>
      <c r="W407" s="56">
        <f>(1000*CHOOSE(CONTROL!$C$42, 0.0916, 0.0916)*CHOOSE(CONTROL!$C$42, 121.5, 121.5)*CHOOSE(CONTROL!$C$42, 30, 30))/1000000</f>
        <v>0.33388200000000001</v>
      </c>
      <c r="X407" s="56">
        <f>(30*0.2374*100000/1000000)</f>
        <v>0.71220000000000006</v>
      </c>
      <c r="Y407" s="56"/>
      <c r="Z407" s="17"/>
      <c r="AA407" s="55"/>
      <c r="AB407" s="48">
        <f>(B407*122.58+C407*297.941+D407*89.177+E407*140.302+F407*40+G407*60+H407*0+I407*100+J407*300)/(122.58+297.941+89.177+140.302+0+40+60+100+300)</f>
        <v>17.447487737565218</v>
      </c>
      <c r="AC407" s="45">
        <f>(M407*'RAP TEMPLATE-GAS AVAILABILITY'!O406+N407*'RAP TEMPLATE-GAS AVAILABILITY'!P406+O407*'RAP TEMPLATE-GAS AVAILABILITY'!Q406+P407*'RAP TEMPLATE-GAS AVAILABILITY'!R406)/('RAP TEMPLATE-GAS AVAILABILITY'!O406+'RAP TEMPLATE-GAS AVAILABILITY'!P406+'RAP TEMPLATE-GAS AVAILABILITY'!Q406+'RAP TEMPLATE-GAS AVAILABILITY'!R406)</f>
        <v>17.328534532374103</v>
      </c>
    </row>
    <row r="408" spans="1:29" ht="15.75" x14ac:dyDescent="0.25">
      <c r="A408" s="14">
        <v>53327</v>
      </c>
      <c r="B408" s="17">
        <f>CHOOSE(CONTROL!$C$42, 18.5992, 18.5992) * CHOOSE(CONTROL!$C$21, $C$9, 100%, $E$9)</f>
        <v>18.5992</v>
      </c>
      <c r="C408" s="17">
        <f>CHOOSE(CONTROL!$C$42, 18.6043, 18.6043) * CHOOSE(CONTROL!$C$21, $C$9, 100%, $E$9)</f>
        <v>18.604299999999999</v>
      </c>
      <c r="D408" s="17">
        <f>CHOOSE(CONTROL!$C$42, 18.6857, 18.6857) * CHOOSE(CONTROL!$C$21, $C$9, 100%, $E$9)</f>
        <v>18.685700000000001</v>
      </c>
      <c r="E408" s="17">
        <f>CHOOSE(CONTROL!$C$42, 18.7194, 18.7194) * CHOOSE(CONTROL!$C$21, $C$9, 100%, $E$9)</f>
        <v>18.7194</v>
      </c>
      <c r="F408" s="17">
        <f>CHOOSE(CONTROL!$C$42, 18.6196, 18.6196)*CHOOSE(CONTROL!$C$21, $C$9, 100%, $E$9)</f>
        <v>18.619599999999998</v>
      </c>
      <c r="G408" s="17">
        <f>CHOOSE(CONTROL!$C$42, 18.6369, 18.6369)*CHOOSE(CONTROL!$C$21, $C$9, 100%, $E$9)</f>
        <v>18.636900000000001</v>
      </c>
      <c r="H408" s="17">
        <f>CHOOSE(CONTROL!$C$42, 18.7083, 18.7083) * CHOOSE(CONTROL!$C$21, $C$9, 100%, $E$9)</f>
        <v>18.708300000000001</v>
      </c>
      <c r="I408" s="17">
        <f>CHOOSE(CONTROL!$C$42, 18.6819, 18.6819)* CHOOSE(CONTROL!$C$21, $C$9, 100%, $E$9)</f>
        <v>18.681899999999999</v>
      </c>
      <c r="J408" s="17">
        <f>CHOOSE(CONTROL!$C$42, 18.6122, 18.6122)* CHOOSE(CONTROL!$C$21, $C$9, 100%, $E$9)</f>
        <v>18.612200000000001</v>
      </c>
      <c r="K408" s="52">
        <f>CHOOSE(CONTROL!$C$42, 18.6759, 18.6759) * CHOOSE(CONTROL!$C$21, $C$9, 100%, $E$9)</f>
        <v>18.675899999999999</v>
      </c>
      <c r="L408" s="17">
        <f>CHOOSE(CONTROL!$C$42, 19.2953, 19.2953) * CHOOSE(CONTROL!$C$21, $C$9, 100%, $E$9)</f>
        <v>19.295300000000001</v>
      </c>
      <c r="M408" s="17">
        <f>CHOOSE(CONTROL!$C$42, 18.4518, 18.4518) * CHOOSE(CONTROL!$C$21, $C$9, 100%, $E$9)</f>
        <v>18.451799999999999</v>
      </c>
      <c r="N408" s="17">
        <f>CHOOSE(CONTROL!$C$42, 18.469, 18.469) * CHOOSE(CONTROL!$C$21, $C$9, 100%, $E$9)</f>
        <v>18.469000000000001</v>
      </c>
      <c r="O408" s="17">
        <f>CHOOSE(CONTROL!$C$42, 18.5471, 18.5471) * CHOOSE(CONTROL!$C$21, $C$9, 100%, $E$9)</f>
        <v>18.5471</v>
      </c>
      <c r="P408" s="17">
        <f>CHOOSE(CONTROL!$C$42, 18.5204, 18.5204) * CHOOSE(CONTROL!$C$21, $C$9, 100%, $E$9)</f>
        <v>18.520399999999999</v>
      </c>
      <c r="Q408" s="17">
        <f>CHOOSE(CONTROL!$C$42, 19.1418, 19.1418) * CHOOSE(CONTROL!$C$21, $C$9, 100%, $E$9)</f>
        <v>19.1418</v>
      </c>
      <c r="R408" s="17">
        <f>CHOOSE(CONTROL!$C$42, 19.7766, 19.7766) * CHOOSE(CONTROL!$C$21, $C$9, 100%, $E$9)</f>
        <v>19.776599999999998</v>
      </c>
      <c r="S408" s="17">
        <f>CHOOSE(CONTROL!$C$42, 18.0262, 18.0262) * CHOOSE(CONTROL!$C$21, $C$9, 100%, $E$9)</f>
        <v>18.026199999999999</v>
      </c>
      <c r="T40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08" s="56">
        <f>(1000*CHOOSE(CONTROL!$C$42, 695, 695)*CHOOSE(CONTROL!$C$42, 0.5599, 0.5599)*CHOOSE(CONTROL!$C$42, 31, 31))/1000000</f>
        <v>12.063045499999998</v>
      </c>
      <c r="V408" s="56">
        <f>(1000*CHOOSE(CONTROL!$C$42, 500, 500)*CHOOSE(CONTROL!$C$42, 0.275, 0.275)*CHOOSE(CONTROL!$C$42, 31, 31))/1000000</f>
        <v>4.2625000000000002</v>
      </c>
      <c r="W408" s="56">
        <f>(1000*CHOOSE(CONTROL!$C$42, 0.0916, 0.0916)*CHOOSE(CONTROL!$C$42, 121.5, 121.5)*CHOOSE(CONTROL!$C$42, 31, 31))/1000000</f>
        <v>0.34501139999999997</v>
      </c>
      <c r="X408" s="56">
        <f>(31*0.2374*100000/1000000)</f>
        <v>0.73594000000000004</v>
      </c>
      <c r="Y408" s="56"/>
      <c r="Z408" s="17"/>
      <c r="AA408" s="55"/>
      <c r="AB408" s="48">
        <f>(B408*122.58+C408*297.941+D408*89.177+E408*140.302+F408*40+G408*60+H408*0+I408*100+J408*300)/(122.58+297.941+89.177+140.302+0+40+60+100+300)</f>
        <v>18.635152704347828</v>
      </c>
      <c r="AC408" s="45">
        <f>(M408*'RAP TEMPLATE-GAS AVAILABILITY'!O407+N408*'RAP TEMPLATE-GAS AVAILABILITY'!P407+O408*'RAP TEMPLATE-GAS AVAILABILITY'!Q407+P408*'RAP TEMPLATE-GAS AVAILABILITY'!R407)/('RAP TEMPLATE-GAS AVAILABILITY'!O407+'RAP TEMPLATE-GAS AVAILABILITY'!P407+'RAP TEMPLATE-GAS AVAILABILITY'!Q407+'RAP TEMPLATE-GAS AVAILABILITY'!R407)</f>
        <v>18.505853956834535</v>
      </c>
    </row>
    <row r="409" spans="1:29" ht="15.75" x14ac:dyDescent="0.25">
      <c r="A409" s="14">
        <v>53358</v>
      </c>
      <c r="B409" s="17">
        <f>CHOOSE(CONTROL!$C$42, 20.1403, 20.1403) * CHOOSE(CONTROL!$C$21, $C$9, 100%, $E$9)</f>
        <v>20.1403</v>
      </c>
      <c r="C409" s="17">
        <f>CHOOSE(CONTROL!$C$42, 20.1453, 20.1453) * CHOOSE(CONTROL!$C$21, $C$9, 100%, $E$9)</f>
        <v>20.145299999999999</v>
      </c>
      <c r="D409" s="17">
        <f>CHOOSE(CONTROL!$C$42, 20.2422, 20.2422) * CHOOSE(CONTROL!$C$21, $C$9, 100%, $E$9)</f>
        <v>20.2422</v>
      </c>
      <c r="E409" s="17">
        <f>CHOOSE(CONTROL!$C$42, 20.2759, 20.2759) * CHOOSE(CONTROL!$C$21, $C$9, 100%, $E$9)</f>
        <v>20.2759</v>
      </c>
      <c r="F409" s="17">
        <f>CHOOSE(CONTROL!$C$42, 20.1545, 20.1545)*CHOOSE(CONTROL!$C$21, $C$9, 100%, $E$9)</f>
        <v>20.154499999999999</v>
      </c>
      <c r="G409" s="17">
        <f>CHOOSE(CONTROL!$C$42, 20.1709, 20.1709)*CHOOSE(CONTROL!$C$21, $C$9, 100%, $E$9)</f>
        <v>20.1709</v>
      </c>
      <c r="H409" s="17">
        <f>CHOOSE(CONTROL!$C$42, 20.2648, 20.2648) * CHOOSE(CONTROL!$C$21, $C$9, 100%, $E$9)</f>
        <v>20.264800000000001</v>
      </c>
      <c r="I409" s="17">
        <f>CHOOSE(CONTROL!$C$42, 20.2277, 20.2277)* CHOOSE(CONTROL!$C$21, $C$9, 100%, $E$9)</f>
        <v>20.227699999999999</v>
      </c>
      <c r="J409" s="17">
        <f>CHOOSE(CONTROL!$C$42, 20.1471, 20.1471)* CHOOSE(CONTROL!$C$21, $C$9, 100%, $E$9)</f>
        <v>20.147099999999998</v>
      </c>
      <c r="K409" s="52">
        <f>CHOOSE(CONTROL!$C$42, 20.2217, 20.2217) * CHOOSE(CONTROL!$C$21, $C$9, 100%, $E$9)</f>
        <v>20.221699999999998</v>
      </c>
      <c r="L409" s="17">
        <f>CHOOSE(CONTROL!$C$42, 20.8518, 20.8518) * CHOOSE(CONTROL!$C$21, $C$9, 100%, $E$9)</f>
        <v>20.851800000000001</v>
      </c>
      <c r="M409" s="17">
        <f>CHOOSE(CONTROL!$C$42, 19.9729, 19.9729) * CHOOSE(CONTROL!$C$21, $C$9, 100%, $E$9)</f>
        <v>19.972899999999999</v>
      </c>
      <c r="N409" s="17">
        <f>CHOOSE(CONTROL!$C$42, 19.9892, 19.9892) * CHOOSE(CONTROL!$C$21, $C$9, 100%, $E$9)</f>
        <v>19.9892</v>
      </c>
      <c r="O409" s="17">
        <f>CHOOSE(CONTROL!$C$42, 20.0896, 20.0896) * CHOOSE(CONTROL!$C$21, $C$9, 100%, $E$9)</f>
        <v>20.089600000000001</v>
      </c>
      <c r="P409" s="17">
        <f>CHOOSE(CONTROL!$C$42, 20.0523, 20.0523) * CHOOSE(CONTROL!$C$21, $C$9, 100%, $E$9)</f>
        <v>20.052299999999999</v>
      </c>
      <c r="Q409" s="17">
        <f>CHOOSE(CONTROL!$C$42, 20.6843, 20.6843) * CHOOSE(CONTROL!$C$21, $C$9, 100%, $E$9)</f>
        <v>20.6843</v>
      </c>
      <c r="R409" s="17">
        <f>CHOOSE(CONTROL!$C$42, 21.323, 21.323) * CHOOSE(CONTROL!$C$21, $C$9, 100%, $E$9)</f>
        <v>21.323</v>
      </c>
      <c r="S409" s="17">
        <f>CHOOSE(CONTROL!$C$42, 19.5205, 19.5205) * CHOOSE(CONTROL!$C$21, $C$9, 100%, $E$9)</f>
        <v>19.520499999999998</v>
      </c>
      <c r="T40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09" s="56">
        <f>(1000*CHOOSE(CONTROL!$C$42, 695, 695)*CHOOSE(CONTROL!$C$42, 0.5599, 0.5599)*CHOOSE(CONTROL!$C$42, 31, 31))/1000000</f>
        <v>12.063045499999998</v>
      </c>
      <c r="V409" s="56">
        <f>(1000*CHOOSE(CONTROL!$C$42, 500, 500)*CHOOSE(CONTROL!$C$42, 0.275, 0.275)*CHOOSE(CONTROL!$C$42, 31, 31))/1000000</f>
        <v>4.2625000000000002</v>
      </c>
      <c r="W409" s="56">
        <f>(1000*CHOOSE(CONTROL!$C$42, 0.0916, 0.0916)*CHOOSE(CONTROL!$C$42, 121.5, 121.5)*CHOOSE(CONTROL!$C$42, 31, 31))/1000000</f>
        <v>0.34501139999999997</v>
      </c>
      <c r="X409" s="56">
        <f>(31*0.2374*100000/1000000)</f>
        <v>0.73594000000000004</v>
      </c>
      <c r="Y409" s="56"/>
      <c r="Z409" s="17"/>
      <c r="AA409" s="55"/>
      <c r="AB409" s="48">
        <f>(B409*122.58+C409*297.941+D409*89.177+E409*140.302+F409*40+G409*60+H409*0+I409*100+J409*300)/(122.58+297.941+89.177+140.302+0+40+60+100+300)</f>
        <v>20.177505036956521</v>
      </c>
      <c r="AC409" s="45">
        <f>(M409*'RAP TEMPLATE-GAS AVAILABILITY'!O408+N409*'RAP TEMPLATE-GAS AVAILABILITY'!P408+O409*'RAP TEMPLATE-GAS AVAILABILITY'!Q408+P409*'RAP TEMPLATE-GAS AVAILABILITY'!R408)/('RAP TEMPLATE-GAS AVAILABILITY'!O408+'RAP TEMPLATE-GAS AVAILABILITY'!P408+'RAP TEMPLATE-GAS AVAILABILITY'!Q408+'RAP TEMPLATE-GAS AVAILABILITY'!R408)</f>
        <v>20.038155395683454</v>
      </c>
    </row>
    <row r="410" spans="1:29" ht="15.75" x14ac:dyDescent="0.25">
      <c r="A410" s="14">
        <v>53386</v>
      </c>
      <c r="B410" s="17">
        <f>CHOOSE(CONTROL!$C$42, 20.4986, 20.4986) * CHOOSE(CONTROL!$C$21, $C$9, 100%, $E$9)</f>
        <v>20.4986</v>
      </c>
      <c r="C410" s="17">
        <f>CHOOSE(CONTROL!$C$42, 20.5037, 20.5037) * CHOOSE(CONTROL!$C$21, $C$9, 100%, $E$9)</f>
        <v>20.503699999999998</v>
      </c>
      <c r="D410" s="17">
        <f>CHOOSE(CONTROL!$C$42, 20.6005, 20.6005) * CHOOSE(CONTROL!$C$21, $C$9, 100%, $E$9)</f>
        <v>20.6005</v>
      </c>
      <c r="E410" s="17">
        <f>CHOOSE(CONTROL!$C$42, 20.6343, 20.6343) * CHOOSE(CONTROL!$C$21, $C$9, 100%, $E$9)</f>
        <v>20.6343</v>
      </c>
      <c r="F410" s="17">
        <f>CHOOSE(CONTROL!$C$42, 20.5128, 20.5128)*CHOOSE(CONTROL!$C$21, $C$9, 100%, $E$9)</f>
        <v>20.512799999999999</v>
      </c>
      <c r="G410" s="17">
        <f>CHOOSE(CONTROL!$C$42, 20.5293, 20.5293)*CHOOSE(CONTROL!$C$21, $C$9, 100%, $E$9)</f>
        <v>20.529299999999999</v>
      </c>
      <c r="H410" s="17">
        <f>CHOOSE(CONTROL!$C$42, 20.6231, 20.6231) * CHOOSE(CONTROL!$C$21, $C$9, 100%, $E$9)</f>
        <v>20.623100000000001</v>
      </c>
      <c r="I410" s="17">
        <f>CHOOSE(CONTROL!$C$42, 20.5872, 20.5872)* CHOOSE(CONTROL!$C$21, $C$9, 100%, $E$9)</f>
        <v>20.587199999999999</v>
      </c>
      <c r="J410" s="17">
        <f>CHOOSE(CONTROL!$C$42, 20.5054, 20.5054)* CHOOSE(CONTROL!$C$21, $C$9, 100%, $E$9)</f>
        <v>20.505400000000002</v>
      </c>
      <c r="K410" s="52">
        <f>CHOOSE(CONTROL!$C$42, 20.5811, 20.5811) * CHOOSE(CONTROL!$C$21, $C$9, 100%, $E$9)</f>
        <v>20.581099999999999</v>
      </c>
      <c r="L410" s="17">
        <f>CHOOSE(CONTROL!$C$42, 21.2101, 21.2101) * CHOOSE(CONTROL!$C$21, $C$9, 100%, $E$9)</f>
        <v>21.210100000000001</v>
      </c>
      <c r="M410" s="17">
        <f>CHOOSE(CONTROL!$C$42, 20.328, 20.328) * CHOOSE(CONTROL!$C$21, $C$9, 100%, $E$9)</f>
        <v>20.327999999999999</v>
      </c>
      <c r="N410" s="17">
        <f>CHOOSE(CONTROL!$C$42, 20.3443, 20.3443) * CHOOSE(CONTROL!$C$21, $C$9, 100%, $E$9)</f>
        <v>20.3443</v>
      </c>
      <c r="O410" s="17">
        <f>CHOOSE(CONTROL!$C$42, 20.4447, 20.4447) * CHOOSE(CONTROL!$C$21, $C$9, 100%, $E$9)</f>
        <v>20.444700000000001</v>
      </c>
      <c r="P410" s="17">
        <f>CHOOSE(CONTROL!$C$42, 20.4085, 20.4085) * CHOOSE(CONTROL!$C$21, $C$9, 100%, $E$9)</f>
        <v>20.4085</v>
      </c>
      <c r="Q410" s="17">
        <f>CHOOSE(CONTROL!$C$42, 21.0394, 21.0394) * CHOOSE(CONTROL!$C$21, $C$9, 100%, $E$9)</f>
        <v>21.039400000000001</v>
      </c>
      <c r="R410" s="17">
        <f>CHOOSE(CONTROL!$C$42, 21.679, 21.679) * CHOOSE(CONTROL!$C$21, $C$9, 100%, $E$9)</f>
        <v>21.678999999999998</v>
      </c>
      <c r="S410" s="17">
        <f>CHOOSE(CONTROL!$C$42, 19.868, 19.868) * CHOOSE(CONTROL!$C$21, $C$9, 100%, $E$9)</f>
        <v>19.867999999999999</v>
      </c>
      <c r="T41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10" s="56">
        <f>(1000*CHOOSE(CONTROL!$C$42, 695, 695)*CHOOSE(CONTROL!$C$42, 0.5599, 0.5599)*CHOOSE(CONTROL!$C$42, 28, 28))/1000000</f>
        <v>10.895653999999999</v>
      </c>
      <c r="V410" s="56">
        <f>(1000*CHOOSE(CONTROL!$C$42, 500, 500)*CHOOSE(CONTROL!$C$42, 0.275, 0.275)*CHOOSE(CONTROL!$C$42, 28, 28))/1000000</f>
        <v>3.85</v>
      </c>
      <c r="W410" s="56">
        <f>(1000*CHOOSE(CONTROL!$C$42, 0.0916, 0.0916)*CHOOSE(CONTROL!$C$42, 121.5, 121.5)*CHOOSE(CONTROL!$C$42, 28, 28))/1000000</f>
        <v>0.31162319999999999</v>
      </c>
      <c r="X410" s="56">
        <f>(28*0.2374*100000/1000000)</f>
        <v>0.66471999999999998</v>
      </c>
      <c r="Y410" s="56"/>
      <c r="Z410" s="17"/>
      <c r="AA410" s="55"/>
      <c r="AB410" s="48">
        <f>(B410*122.58+C410*297.941+D410*89.177+E410*140.302+F410*40+G410*60+H410*0+I410*100+J410*300)/(122.58+297.941+89.177+140.302+0+40+60+100+300)</f>
        <v>20.535952710260869</v>
      </c>
      <c r="AC410" s="45">
        <f>(M410*'RAP TEMPLATE-GAS AVAILABILITY'!O409+N410*'RAP TEMPLATE-GAS AVAILABILITY'!P409+O410*'RAP TEMPLATE-GAS AVAILABILITY'!Q409+P410*'RAP TEMPLATE-GAS AVAILABILITY'!R409)/('RAP TEMPLATE-GAS AVAILABILITY'!O409+'RAP TEMPLATE-GAS AVAILABILITY'!P409+'RAP TEMPLATE-GAS AVAILABILITY'!Q409+'RAP TEMPLATE-GAS AVAILABILITY'!R409)</f>
        <v>20.393413669064749</v>
      </c>
    </row>
    <row r="411" spans="1:29" ht="15.75" x14ac:dyDescent="0.25">
      <c r="A411" s="14">
        <v>53417</v>
      </c>
      <c r="B411" s="17">
        <f>CHOOSE(CONTROL!$C$42, 19.9169, 19.9169) * CHOOSE(CONTROL!$C$21, $C$9, 100%, $E$9)</f>
        <v>19.916899999999998</v>
      </c>
      <c r="C411" s="17">
        <f>CHOOSE(CONTROL!$C$42, 19.922, 19.922) * CHOOSE(CONTROL!$C$21, $C$9, 100%, $E$9)</f>
        <v>19.922000000000001</v>
      </c>
      <c r="D411" s="17">
        <f>CHOOSE(CONTROL!$C$42, 20.0188, 20.0188) * CHOOSE(CONTROL!$C$21, $C$9, 100%, $E$9)</f>
        <v>20.018799999999999</v>
      </c>
      <c r="E411" s="17">
        <f>CHOOSE(CONTROL!$C$42, 20.0526, 20.0526) * CHOOSE(CONTROL!$C$21, $C$9, 100%, $E$9)</f>
        <v>20.052600000000002</v>
      </c>
      <c r="F411" s="17">
        <f>CHOOSE(CONTROL!$C$42, 19.9305, 19.9305)*CHOOSE(CONTROL!$C$21, $C$9, 100%, $E$9)</f>
        <v>19.930499999999999</v>
      </c>
      <c r="G411" s="17">
        <f>CHOOSE(CONTROL!$C$42, 19.9468, 19.9468)*CHOOSE(CONTROL!$C$21, $C$9, 100%, $E$9)</f>
        <v>19.9468</v>
      </c>
      <c r="H411" s="17">
        <f>CHOOSE(CONTROL!$C$42, 20.0415, 20.0415) * CHOOSE(CONTROL!$C$21, $C$9, 100%, $E$9)</f>
        <v>20.041499999999999</v>
      </c>
      <c r="I411" s="17">
        <f>CHOOSE(CONTROL!$C$42, 20.0037, 20.0037)* CHOOSE(CONTROL!$C$21, $C$9, 100%, $E$9)</f>
        <v>20.003699999999998</v>
      </c>
      <c r="J411" s="17">
        <f>CHOOSE(CONTROL!$C$42, 19.9231, 19.9231)* CHOOSE(CONTROL!$C$21, $C$9, 100%, $E$9)</f>
        <v>19.923100000000002</v>
      </c>
      <c r="K411" s="52">
        <f>CHOOSE(CONTROL!$C$42, 19.9976, 19.9976) * CHOOSE(CONTROL!$C$21, $C$9, 100%, $E$9)</f>
        <v>19.997599999999998</v>
      </c>
      <c r="L411" s="17">
        <f>CHOOSE(CONTROL!$C$42, 20.6285, 20.6285) * CHOOSE(CONTROL!$C$21, $C$9, 100%, $E$9)</f>
        <v>20.628499999999999</v>
      </c>
      <c r="M411" s="17">
        <f>CHOOSE(CONTROL!$C$42, 19.751, 19.751) * CHOOSE(CONTROL!$C$21, $C$9, 100%, $E$9)</f>
        <v>19.751000000000001</v>
      </c>
      <c r="N411" s="17">
        <f>CHOOSE(CONTROL!$C$42, 19.7671, 19.7671) * CHOOSE(CONTROL!$C$21, $C$9, 100%, $E$9)</f>
        <v>19.767099999999999</v>
      </c>
      <c r="O411" s="17">
        <f>CHOOSE(CONTROL!$C$42, 19.8682, 19.8682) * CHOOSE(CONTROL!$C$21, $C$9, 100%, $E$9)</f>
        <v>19.868200000000002</v>
      </c>
      <c r="P411" s="17">
        <f>CHOOSE(CONTROL!$C$42, 19.8303, 19.8303) * CHOOSE(CONTROL!$C$21, $C$9, 100%, $E$9)</f>
        <v>19.830300000000001</v>
      </c>
      <c r="Q411" s="17">
        <f>CHOOSE(CONTROL!$C$42, 20.4629, 20.4629) * CHOOSE(CONTROL!$C$21, $C$9, 100%, $E$9)</f>
        <v>20.462900000000001</v>
      </c>
      <c r="R411" s="17">
        <f>CHOOSE(CONTROL!$C$42, 21.1011, 21.1011) * CHOOSE(CONTROL!$C$21, $C$9, 100%, $E$9)</f>
        <v>21.101099999999999</v>
      </c>
      <c r="S411" s="17">
        <f>CHOOSE(CONTROL!$C$42, 19.3039, 19.3039) * CHOOSE(CONTROL!$C$21, $C$9, 100%, $E$9)</f>
        <v>19.303899999999999</v>
      </c>
      <c r="T41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11" s="56">
        <f>(1000*CHOOSE(CONTROL!$C$42, 695, 695)*CHOOSE(CONTROL!$C$42, 0.5599, 0.5599)*CHOOSE(CONTROL!$C$42, 31, 31))/1000000</f>
        <v>12.063045499999998</v>
      </c>
      <c r="V411" s="56">
        <f>(1000*CHOOSE(CONTROL!$C$42, 500, 500)*CHOOSE(CONTROL!$C$42, 0.275, 0.275)*CHOOSE(CONTROL!$C$42, 31, 31))/1000000</f>
        <v>4.2625000000000002</v>
      </c>
      <c r="W411" s="56">
        <f>(1000*CHOOSE(CONTROL!$C$42, 0.0916, 0.0916)*CHOOSE(CONTROL!$C$42, 121.5, 121.5)*CHOOSE(CONTROL!$C$42, 31, 31))/1000000</f>
        <v>0.34501139999999997</v>
      </c>
      <c r="X411" s="56">
        <f>(31*0.2374*100000/1000000)</f>
        <v>0.73594000000000004</v>
      </c>
      <c r="Y411" s="56"/>
      <c r="Z411" s="17"/>
      <c r="AA411" s="55"/>
      <c r="AB411" s="48">
        <f>(B411*122.58+C411*297.941+D411*89.177+E411*140.302+F411*40+G411*60+H411*0+I411*100+J411*300)/(122.58+297.941+89.177+140.302+0+40+60+100+300)</f>
        <v>19.953877058086952</v>
      </c>
      <c r="AC411" s="45">
        <f>(M411*'RAP TEMPLATE-GAS AVAILABILITY'!O410+N411*'RAP TEMPLATE-GAS AVAILABILITY'!P410+O411*'RAP TEMPLATE-GAS AVAILABILITY'!Q410+P411*'RAP TEMPLATE-GAS AVAILABILITY'!R410)/('RAP TEMPLATE-GAS AVAILABILITY'!O410+'RAP TEMPLATE-GAS AVAILABILITY'!P410+'RAP TEMPLATE-GAS AVAILABILITY'!Q410+'RAP TEMPLATE-GAS AVAILABILITY'!R410)</f>
        <v>19.816456115107915</v>
      </c>
    </row>
    <row r="412" spans="1:29" ht="15.75" x14ac:dyDescent="0.25">
      <c r="A412" s="14">
        <v>53447</v>
      </c>
      <c r="B412" s="17">
        <f>CHOOSE(CONTROL!$C$42, 19.8583, 19.8583) * CHOOSE(CONTROL!$C$21, $C$9, 100%, $E$9)</f>
        <v>19.8583</v>
      </c>
      <c r="C412" s="17">
        <f>CHOOSE(CONTROL!$C$42, 19.8628, 19.8628) * CHOOSE(CONTROL!$C$21, $C$9, 100%, $E$9)</f>
        <v>19.8628</v>
      </c>
      <c r="D412" s="17">
        <f>CHOOSE(CONTROL!$C$42, 20.1104, 20.1104) * CHOOSE(CONTROL!$C$21, $C$9, 100%, $E$9)</f>
        <v>20.110399999999998</v>
      </c>
      <c r="E412" s="17">
        <f>CHOOSE(CONTROL!$C$42, 20.1422, 20.1422) * CHOOSE(CONTROL!$C$21, $C$9, 100%, $E$9)</f>
        <v>20.142199999999999</v>
      </c>
      <c r="F412" s="17">
        <f>CHOOSE(CONTROL!$C$42, 19.87, 19.87)*CHOOSE(CONTROL!$C$21, $C$9, 100%, $E$9)</f>
        <v>19.87</v>
      </c>
      <c r="G412" s="17">
        <f>CHOOSE(CONTROL!$C$42, 19.8859, 19.8859)*CHOOSE(CONTROL!$C$21, $C$9, 100%, $E$9)</f>
        <v>19.885899999999999</v>
      </c>
      <c r="H412" s="17">
        <f>CHOOSE(CONTROL!$C$42, 20.1316, 20.1316) * CHOOSE(CONTROL!$C$21, $C$9, 100%, $E$9)</f>
        <v>20.131599999999999</v>
      </c>
      <c r="I412" s="17">
        <f>CHOOSE(CONTROL!$C$42, 19.9426, 19.9426)* CHOOSE(CONTROL!$C$21, $C$9, 100%, $E$9)</f>
        <v>19.942599999999999</v>
      </c>
      <c r="J412" s="17">
        <f>CHOOSE(CONTROL!$C$42, 19.8626, 19.8626)* CHOOSE(CONTROL!$C$21, $C$9, 100%, $E$9)</f>
        <v>19.8626</v>
      </c>
      <c r="K412" s="52">
        <f>CHOOSE(CONTROL!$C$42, 19.9365, 19.9365) * CHOOSE(CONTROL!$C$21, $C$9, 100%, $E$9)</f>
        <v>19.936499999999999</v>
      </c>
      <c r="L412" s="17">
        <f>CHOOSE(CONTROL!$C$42, 20.7186, 20.7186) * CHOOSE(CONTROL!$C$21, $C$9, 100%, $E$9)</f>
        <v>20.718599999999999</v>
      </c>
      <c r="M412" s="17">
        <f>CHOOSE(CONTROL!$C$42, 19.6909, 19.6909) * CHOOSE(CONTROL!$C$21, $C$9, 100%, $E$9)</f>
        <v>19.690899999999999</v>
      </c>
      <c r="N412" s="17">
        <f>CHOOSE(CONTROL!$C$42, 19.7067, 19.7067) * CHOOSE(CONTROL!$C$21, $C$9, 100%, $E$9)</f>
        <v>19.706700000000001</v>
      </c>
      <c r="O412" s="17">
        <f>CHOOSE(CONTROL!$C$42, 19.9576, 19.9576) * CHOOSE(CONTROL!$C$21, $C$9, 100%, $E$9)</f>
        <v>19.957599999999999</v>
      </c>
      <c r="P412" s="17">
        <f>CHOOSE(CONTROL!$C$42, 19.7697, 19.7697) * CHOOSE(CONTROL!$C$21, $C$9, 100%, $E$9)</f>
        <v>19.7697</v>
      </c>
      <c r="Q412" s="17">
        <f>CHOOSE(CONTROL!$C$42, 20.5523, 20.5523) * CHOOSE(CONTROL!$C$21, $C$9, 100%, $E$9)</f>
        <v>20.552299999999999</v>
      </c>
      <c r="R412" s="17">
        <f>CHOOSE(CONTROL!$C$42, 21.1907, 21.1907) * CHOOSE(CONTROL!$C$21, $C$9, 100%, $E$9)</f>
        <v>21.1907</v>
      </c>
      <c r="S412" s="17">
        <f>CHOOSE(CONTROL!$C$42, 19.2464, 19.2464) * CHOOSE(CONTROL!$C$21, $C$9, 100%, $E$9)</f>
        <v>19.246400000000001</v>
      </c>
      <c r="T41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12" s="56">
        <f>(1000*CHOOSE(CONTROL!$C$42, 695, 695)*CHOOSE(CONTROL!$C$42, 0.5599, 0.5599)*CHOOSE(CONTROL!$C$42, 30, 30))/1000000</f>
        <v>11.673914999999997</v>
      </c>
      <c r="V412" s="56">
        <f>(1000*CHOOSE(CONTROL!$C$42, 500, 500)*CHOOSE(CONTROL!$C$42, 0.275, 0.275)*CHOOSE(CONTROL!$C$42, 30, 30))/1000000</f>
        <v>4.125</v>
      </c>
      <c r="W412" s="56">
        <f>(1000*CHOOSE(CONTROL!$C$42, 0.0916, 0.0916)*CHOOSE(CONTROL!$C$42, 121.5, 121.5)*CHOOSE(CONTROL!$C$42, 30, 30))/1000000</f>
        <v>0.33388200000000001</v>
      </c>
      <c r="X412" s="56">
        <f>(30*0.1790888*145000/1000000)+(30*0.2374*100000/1000000)</f>
        <v>1.4912362799999999</v>
      </c>
      <c r="Y412" s="56"/>
      <c r="Z412" s="17"/>
      <c r="AA412" s="55"/>
      <c r="AB412" s="48">
        <f>(B412*141.293+C412*267.993+D412*115.016+E412*189.698+F412*40+G412*85+H412*0+I412*100+J412*300)/(141.293+267.993+115.016+189.698+0+40+85+100+300)</f>
        <v>19.936258647538335</v>
      </c>
      <c r="AC412" s="45">
        <f>(M412*'RAP TEMPLATE-GAS AVAILABILITY'!O411+N412*'RAP TEMPLATE-GAS AVAILABILITY'!P411+O412*'RAP TEMPLATE-GAS AVAILABILITY'!Q411+P412*'RAP TEMPLATE-GAS AVAILABILITY'!R411)/('RAP TEMPLATE-GAS AVAILABILITY'!O411+'RAP TEMPLATE-GAS AVAILABILITY'!P411+'RAP TEMPLATE-GAS AVAILABILITY'!Q411+'RAP TEMPLATE-GAS AVAILABILITY'!R411)</f>
        <v>19.78070503597122</v>
      </c>
    </row>
    <row r="413" spans="1:29" ht="15.75" x14ac:dyDescent="0.25">
      <c r="A413" s="14">
        <v>53478</v>
      </c>
      <c r="B413" s="17">
        <f>CHOOSE(CONTROL!$C$42, 20.0348, 20.0348) * CHOOSE(CONTROL!$C$21, $C$9, 100%, $E$9)</f>
        <v>20.034800000000001</v>
      </c>
      <c r="C413" s="17">
        <f>CHOOSE(CONTROL!$C$42, 20.0428, 20.0428) * CHOOSE(CONTROL!$C$21, $C$9, 100%, $E$9)</f>
        <v>20.0428</v>
      </c>
      <c r="D413" s="17">
        <f>CHOOSE(CONTROL!$C$42, 20.2873, 20.2873) * CHOOSE(CONTROL!$C$21, $C$9, 100%, $E$9)</f>
        <v>20.287299999999998</v>
      </c>
      <c r="E413" s="17">
        <f>CHOOSE(CONTROL!$C$42, 20.3185, 20.3185) * CHOOSE(CONTROL!$C$21, $C$9, 100%, $E$9)</f>
        <v>20.3185</v>
      </c>
      <c r="F413" s="17">
        <f>CHOOSE(CONTROL!$C$42, 20.0454, 20.0454)*CHOOSE(CONTROL!$C$21, $C$9, 100%, $E$9)</f>
        <v>20.045400000000001</v>
      </c>
      <c r="G413" s="17">
        <f>CHOOSE(CONTROL!$C$42, 20.0616, 20.0616)*CHOOSE(CONTROL!$C$21, $C$9, 100%, $E$9)</f>
        <v>20.061599999999999</v>
      </c>
      <c r="H413" s="17">
        <f>CHOOSE(CONTROL!$C$42, 20.3068, 20.3068) * CHOOSE(CONTROL!$C$21, $C$9, 100%, $E$9)</f>
        <v>20.306799999999999</v>
      </c>
      <c r="I413" s="17">
        <f>CHOOSE(CONTROL!$C$42, 20.1183, 20.1183)* CHOOSE(CONTROL!$C$21, $C$9, 100%, $E$9)</f>
        <v>20.118300000000001</v>
      </c>
      <c r="J413" s="17">
        <f>CHOOSE(CONTROL!$C$42, 20.038, 20.038)* CHOOSE(CONTROL!$C$21, $C$9, 100%, $E$9)</f>
        <v>20.038</v>
      </c>
      <c r="K413" s="52">
        <f>CHOOSE(CONTROL!$C$42, 20.1122, 20.1122) * CHOOSE(CONTROL!$C$21, $C$9, 100%, $E$9)</f>
        <v>20.112200000000001</v>
      </c>
      <c r="L413" s="17">
        <f>CHOOSE(CONTROL!$C$42, 20.8938, 20.8938) * CHOOSE(CONTROL!$C$21, $C$9, 100%, $E$9)</f>
        <v>20.893799999999999</v>
      </c>
      <c r="M413" s="17">
        <f>CHOOSE(CONTROL!$C$42, 19.8648, 19.8648) * CHOOSE(CONTROL!$C$21, $C$9, 100%, $E$9)</f>
        <v>19.864799999999999</v>
      </c>
      <c r="N413" s="17">
        <f>CHOOSE(CONTROL!$C$42, 19.8809, 19.8809) * CHOOSE(CONTROL!$C$21, $C$9, 100%, $E$9)</f>
        <v>19.8809</v>
      </c>
      <c r="O413" s="17">
        <f>CHOOSE(CONTROL!$C$42, 20.1312, 20.1312) * CHOOSE(CONTROL!$C$21, $C$9, 100%, $E$9)</f>
        <v>20.1312</v>
      </c>
      <c r="P413" s="17">
        <f>CHOOSE(CONTROL!$C$42, 19.9439, 19.9439) * CHOOSE(CONTROL!$C$21, $C$9, 100%, $E$9)</f>
        <v>19.943899999999999</v>
      </c>
      <c r="Q413" s="17">
        <f>CHOOSE(CONTROL!$C$42, 20.7259, 20.7259) * CHOOSE(CONTROL!$C$21, $C$9, 100%, $E$9)</f>
        <v>20.725899999999999</v>
      </c>
      <c r="R413" s="17">
        <f>CHOOSE(CONTROL!$C$42, 21.3647, 21.3647) * CHOOSE(CONTROL!$C$21, $C$9, 100%, $E$9)</f>
        <v>21.364699999999999</v>
      </c>
      <c r="S413" s="17">
        <f>CHOOSE(CONTROL!$C$42, 19.4162, 19.4162) * CHOOSE(CONTROL!$C$21, $C$9, 100%, $E$9)</f>
        <v>19.4162</v>
      </c>
      <c r="T41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13" s="56">
        <f>(1000*CHOOSE(CONTROL!$C$42, 695, 695)*CHOOSE(CONTROL!$C$42, 0.5599, 0.5599)*CHOOSE(CONTROL!$C$42, 31, 31))/1000000</f>
        <v>12.063045499999998</v>
      </c>
      <c r="V413" s="56">
        <f>(1000*CHOOSE(CONTROL!$C$42, 500, 500)*CHOOSE(CONTROL!$C$42, 0.275, 0.275)*CHOOSE(CONTROL!$C$42, 31, 31))/1000000</f>
        <v>4.2625000000000002</v>
      </c>
      <c r="W413" s="56">
        <f>(1000*CHOOSE(CONTROL!$C$42, 0.0916, 0.0916)*CHOOSE(CONTROL!$C$42, 121.5, 121.5)*CHOOSE(CONTROL!$C$42, 31, 31))/1000000</f>
        <v>0.34501139999999997</v>
      </c>
      <c r="X413" s="56">
        <f>(31*0.1790888*145000/1000000)+(31*0.2374*100000/1000000)</f>
        <v>1.5409441560000001</v>
      </c>
      <c r="Y413" s="56"/>
      <c r="Z413" s="17"/>
      <c r="AA413" s="55"/>
      <c r="AB413" s="48">
        <f>(B413*194.205+C413*267.466+D413*133.845+E413*153.484+F413*40+G413*85+H413*0+I413*100+J413*300)/(194.205+267.466+133.845+153.484+0+40+85+100+300)</f>
        <v>20.106613972762958</v>
      </c>
      <c r="AC413" s="45">
        <f>(M413*'RAP TEMPLATE-GAS AVAILABILITY'!O412+N413*'RAP TEMPLATE-GAS AVAILABILITY'!P412+O413*'RAP TEMPLATE-GAS AVAILABILITY'!Q412+P413*'RAP TEMPLATE-GAS AVAILABILITY'!R412)/('RAP TEMPLATE-GAS AVAILABILITY'!O412+'RAP TEMPLATE-GAS AVAILABILITY'!P412+'RAP TEMPLATE-GAS AVAILABILITY'!Q412+'RAP TEMPLATE-GAS AVAILABILITY'!R412)</f>
        <v>19.954633093525175</v>
      </c>
    </row>
    <row r="414" spans="1:29" ht="15.75" x14ac:dyDescent="0.25">
      <c r="A414" s="14">
        <v>53508</v>
      </c>
      <c r="B414" s="17">
        <f>CHOOSE(CONTROL!$C$42, 20.6028, 20.6028) * CHOOSE(CONTROL!$C$21, $C$9, 100%, $E$9)</f>
        <v>20.602799999999998</v>
      </c>
      <c r="C414" s="17">
        <f>CHOOSE(CONTROL!$C$42, 20.6108, 20.6108) * CHOOSE(CONTROL!$C$21, $C$9, 100%, $E$9)</f>
        <v>20.610800000000001</v>
      </c>
      <c r="D414" s="17">
        <f>CHOOSE(CONTROL!$C$42, 20.8553, 20.8553) * CHOOSE(CONTROL!$C$21, $C$9, 100%, $E$9)</f>
        <v>20.8553</v>
      </c>
      <c r="E414" s="17">
        <f>CHOOSE(CONTROL!$C$42, 20.8864, 20.8864) * CHOOSE(CONTROL!$C$21, $C$9, 100%, $E$9)</f>
        <v>20.886399999999998</v>
      </c>
      <c r="F414" s="17">
        <f>CHOOSE(CONTROL!$C$42, 20.6137, 20.6137)*CHOOSE(CONTROL!$C$21, $C$9, 100%, $E$9)</f>
        <v>20.613700000000001</v>
      </c>
      <c r="G414" s="17">
        <f>CHOOSE(CONTROL!$C$42, 20.63, 20.63)*CHOOSE(CONTROL!$C$21, $C$9, 100%, $E$9)</f>
        <v>20.63</v>
      </c>
      <c r="H414" s="17">
        <f>CHOOSE(CONTROL!$C$42, 20.8748, 20.8748) * CHOOSE(CONTROL!$C$21, $C$9, 100%, $E$9)</f>
        <v>20.8748</v>
      </c>
      <c r="I414" s="17">
        <f>CHOOSE(CONTROL!$C$42, 20.688, 20.688)* CHOOSE(CONTROL!$C$21, $C$9, 100%, $E$9)</f>
        <v>20.687999999999999</v>
      </c>
      <c r="J414" s="17">
        <f>CHOOSE(CONTROL!$C$42, 20.6063, 20.6063)* CHOOSE(CONTROL!$C$21, $C$9, 100%, $E$9)</f>
        <v>20.606300000000001</v>
      </c>
      <c r="K414" s="52">
        <f>CHOOSE(CONTROL!$C$42, 20.682, 20.682) * CHOOSE(CONTROL!$C$21, $C$9, 100%, $E$9)</f>
        <v>20.681999999999999</v>
      </c>
      <c r="L414" s="17">
        <f>CHOOSE(CONTROL!$C$42, 21.4618, 21.4618) * CHOOSE(CONTROL!$C$21, $C$9, 100%, $E$9)</f>
        <v>21.4618</v>
      </c>
      <c r="M414" s="17">
        <f>CHOOSE(CONTROL!$C$42, 20.428, 20.428) * CHOOSE(CONTROL!$C$21, $C$9, 100%, $E$9)</f>
        <v>20.428000000000001</v>
      </c>
      <c r="N414" s="17">
        <f>CHOOSE(CONTROL!$C$42, 20.4441, 20.4441) * CHOOSE(CONTROL!$C$21, $C$9, 100%, $E$9)</f>
        <v>20.444099999999999</v>
      </c>
      <c r="O414" s="17">
        <f>CHOOSE(CONTROL!$C$42, 20.694, 20.694) * CHOOSE(CONTROL!$C$21, $C$9, 100%, $E$9)</f>
        <v>20.693999999999999</v>
      </c>
      <c r="P414" s="17">
        <f>CHOOSE(CONTROL!$C$42, 20.5084, 20.5084) * CHOOSE(CONTROL!$C$21, $C$9, 100%, $E$9)</f>
        <v>20.508400000000002</v>
      </c>
      <c r="Q414" s="17">
        <f>CHOOSE(CONTROL!$C$42, 21.2887, 21.2887) * CHOOSE(CONTROL!$C$21, $C$9, 100%, $E$9)</f>
        <v>21.288699999999999</v>
      </c>
      <c r="R414" s="17">
        <f>CHOOSE(CONTROL!$C$42, 21.9289, 21.9289) * CHOOSE(CONTROL!$C$21, $C$9, 100%, $E$9)</f>
        <v>21.928899999999999</v>
      </c>
      <c r="S414" s="17">
        <f>CHOOSE(CONTROL!$C$42, 19.967, 19.967) * CHOOSE(CONTROL!$C$21, $C$9, 100%, $E$9)</f>
        <v>19.966999999999999</v>
      </c>
      <c r="T41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14" s="56">
        <f>(1000*CHOOSE(CONTROL!$C$42, 695, 695)*CHOOSE(CONTROL!$C$42, 0.5599, 0.5599)*CHOOSE(CONTROL!$C$42, 30, 30))/1000000</f>
        <v>11.673914999999997</v>
      </c>
      <c r="V414" s="56">
        <f>(1000*CHOOSE(CONTROL!$C$42, 500, 500)*CHOOSE(CONTROL!$C$42, 0.275, 0.275)*CHOOSE(CONTROL!$C$42, 30, 30))/1000000</f>
        <v>4.125</v>
      </c>
      <c r="W414" s="56">
        <f>(1000*CHOOSE(CONTROL!$C$42, 0.0916, 0.0916)*CHOOSE(CONTROL!$C$42, 121.5, 121.5)*CHOOSE(CONTROL!$C$42, 30, 30))/1000000</f>
        <v>0.33388200000000001</v>
      </c>
      <c r="X414" s="56">
        <f>(30*0.1790888*145000/1000000)+(30*0.2374*100000/1000000)</f>
        <v>1.4912362799999999</v>
      </c>
      <c r="Y414" s="56"/>
      <c r="Z414" s="17"/>
      <c r="AA414" s="55"/>
      <c r="AB414" s="48">
        <f>(B414*194.205+C414*267.466+D414*133.845+E414*153.484+F414*40+G414*85+H414*0+I414*100+J414*300)/(194.205+267.466+133.845+153.484+0+40+85+100+300)</f>
        <v>20.674842113736265</v>
      </c>
      <c r="AC414" s="45">
        <f>(M414*'RAP TEMPLATE-GAS AVAILABILITY'!O413+N414*'RAP TEMPLATE-GAS AVAILABILITY'!P413+O414*'RAP TEMPLATE-GAS AVAILABILITY'!Q413+P414*'RAP TEMPLATE-GAS AVAILABILITY'!R413)/('RAP TEMPLATE-GAS AVAILABILITY'!O413+'RAP TEMPLATE-GAS AVAILABILITY'!P413+'RAP TEMPLATE-GAS AVAILABILITY'!Q413+'RAP TEMPLATE-GAS AVAILABILITY'!R413)</f>
        <v>20.517907913669063</v>
      </c>
    </row>
    <row r="415" spans="1:29" ht="15.75" x14ac:dyDescent="0.25">
      <c r="A415" s="14">
        <v>53539</v>
      </c>
      <c r="B415" s="17">
        <f>CHOOSE(CONTROL!$C$42, 20.2078, 20.2078) * CHOOSE(CONTROL!$C$21, $C$9, 100%, $E$9)</f>
        <v>20.207799999999999</v>
      </c>
      <c r="C415" s="17">
        <f>CHOOSE(CONTROL!$C$42, 20.2158, 20.2158) * CHOOSE(CONTROL!$C$21, $C$9, 100%, $E$9)</f>
        <v>20.215800000000002</v>
      </c>
      <c r="D415" s="17">
        <f>CHOOSE(CONTROL!$C$42, 20.4602, 20.4602) * CHOOSE(CONTROL!$C$21, $C$9, 100%, $E$9)</f>
        <v>20.4602</v>
      </c>
      <c r="E415" s="17">
        <f>CHOOSE(CONTROL!$C$42, 20.4914, 20.4914) * CHOOSE(CONTROL!$C$21, $C$9, 100%, $E$9)</f>
        <v>20.491399999999999</v>
      </c>
      <c r="F415" s="17">
        <f>CHOOSE(CONTROL!$C$42, 20.2191, 20.2191)*CHOOSE(CONTROL!$C$21, $C$9, 100%, $E$9)</f>
        <v>20.219100000000001</v>
      </c>
      <c r="G415" s="17">
        <f>CHOOSE(CONTROL!$C$42, 20.2355, 20.2355)*CHOOSE(CONTROL!$C$21, $C$9, 100%, $E$9)</f>
        <v>20.235499999999998</v>
      </c>
      <c r="H415" s="17">
        <f>CHOOSE(CONTROL!$C$42, 20.4797, 20.4797) * CHOOSE(CONTROL!$C$21, $C$9, 100%, $E$9)</f>
        <v>20.479700000000001</v>
      </c>
      <c r="I415" s="17">
        <f>CHOOSE(CONTROL!$C$42, 20.2918, 20.2918)* CHOOSE(CONTROL!$C$21, $C$9, 100%, $E$9)</f>
        <v>20.291799999999999</v>
      </c>
      <c r="J415" s="17">
        <f>CHOOSE(CONTROL!$C$42, 20.2117, 20.2117)* CHOOSE(CONTROL!$C$21, $C$9, 100%, $E$9)</f>
        <v>20.2117</v>
      </c>
      <c r="K415" s="52">
        <f>CHOOSE(CONTROL!$C$42, 20.2857, 20.2857) * CHOOSE(CONTROL!$C$21, $C$9, 100%, $E$9)</f>
        <v>20.285699999999999</v>
      </c>
      <c r="L415" s="17">
        <f>CHOOSE(CONTROL!$C$42, 21.0667, 21.0667) * CHOOSE(CONTROL!$C$21, $C$9, 100%, $E$9)</f>
        <v>21.066700000000001</v>
      </c>
      <c r="M415" s="17">
        <f>CHOOSE(CONTROL!$C$42, 20.0369, 20.0369) * CHOOSE(CONTROL!$C$21, $C$9, 100%, $E$9)</f>
        <v>20.036899999999999</v>
      </c>
      <c r="N415" s="17">
        <f>CHOOSE(CONTROL!$C$42, 20.0532, 20.0532) * CHOOSE(CONTROL!$C$21, $C$9, 100%, $E$9)</f>
        <v>20.0532</v>
      </c>
      <c r="O415" s="17">
        <f>CHOOSE(CONTROL!$C$42, 20.3026, 20.3026) * CHOOSE(CONTROL!$C$21, $C$9, 100%, $E$9)</f>
        <v>20.302600000000002</v>
      </c>
      <c r="P415" s="17">
        <f>CHOOSE(CONTROL!$C$42, 20.1158, 20.1158) * CHOOSE(CONTROL!$C$21, $C$9, 100%, $E$9)</f>
        <v>20.1158</v>
      </c>
      <c r="Q415" s="17">
        <f>CHOOSE(CONTROL!$C$42, 20.8973, 20.8973) * CHOOSE(CONTROL!$C$21, $C$9, 100%, $E$9)</f>
        <v>20.897300000000001</v>
      </c>
      <c r="R415" s="17">
        <f>CHOOSE(CONTROL!$C$42, 21.5365, 21.5365) * CHOOSE(CONTROL!$C$21, $C$9, 100%, $E$9)</f>
        <v>21.5365</v>
      </c>
      <c r="S415" s="17">
        <f>CHOOSE(CONTROL!$C$42, 19.5839, 19.5839) * CHOOSE(CONTROL!$C$21, $C$9, 100%, $E$9)</f>
        <v>19.5839</v>
      </c>
      <c r="T41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15" s="56">
        <f>(1000*CHOOSE(CONTROL!$C$42, 695, 695)*CHOOSE(CONTROL!$C$42, 0.5599, 0.5599)*CHOOSE(CONTROL!$C$42, 31, 31))/1000000</f>
        <v>12.063045499999998</v>
      </c>
      <c r="V415" s="56">
        <f>(1000*CHOOSE(CONTROL!$C$42, 500, 500)*CHOOSE(CONTROL!$C$42, 0.275, 0.275)*CHOOSE(CONTROL!$C$42, 31, 31))/1000000</f>
        <v>4.2625000000000002</v>
      </c>
      <c r="W415" s="56">
        <f>(1000*CHOOSE(CONTROL!$C$42, 0.0916, 0.0916)*CHOOSE(CONTROL!$C$42, 121.5, 121.5)*CHOOSE(CONTROL!$C$42, 31, 31))/1000000</f>
        <v>0.34501139999999997</v>
      </c>
      <c r="X415" s="56">
        <f>(31*0.1790888*145000/1000000)+(31*0.2374*100000/1000000)</f>
        <v>1.5409441560000001</v>
      </c>
      <c r="Y415" s="56"/>
      <c r="Z415" s="17"/>
      <c r="AA415" s="55"/>
      <c r="AB415" s="48">
        <f>(B415*194.205+C415*267.466+D415*133.845+E415*153.484+F415*40+G415*85+H415*0+I415*100+J415*300)/(194.205+267.466+133.845+153.484+0+40+85+100+300)</f>
        <v>20.279877526216637</v>
      </c>
      <c r="AC415" s="45">
        <f>(M415*'RAP TEMPLATE-GAS AVAILABILITY'!O414+N415*'RAP TEMPLATE-GAS AVAILABILITY'!P414+O415*'RAP TEMPLATE-GAS AVAILABILITY'!Q414+P415*'RAP TEMPLATE-GAS AVAILABILITY'!R414)/('RAP TEMPLATE-GAS AVAILABILITY'!O414+'RAP TEMPLATE-GAS AVAILABILITY'!P414+'RAP TEMPLATE-GAS AVAILABILITY'!Q414+'RAP TEMPLATE-GAS AVAILABILITY'!R414)</f>
        <v>20.126553956834531</v>
      </c>
    </row>
    <row r="416" spans="1:29" ht="15.75" x14ac:dyDescent="0.25">
      <c r="A416" s="14">
        <v>53570</v>
      </c>
      <c r="B416" s="17">
        <f>CHOOSE(CONTROL!$C$42, 19.2103, 19.2103) * CHOOSE(CONTROL!$C$21, $C$9, 100%, $E$9)</f>
        <v>19.2103</v>
      </c>
      <c r="C416" s="17">
        <f>CHOOSE(CONTROL!$C$42, 19.2182, 19.2182) * CHOOSE(CONTROL!$C$21, $C$9, 100%, $E$9)</f>
        <v>19.2182</v>
      </c>
      <c r="D416" s="17">
        <f>CHOOSE(CONTROL!$C$42, 19.4627, 19.4627) * CHOOSE(CONTROL!$C$21, $C$9, 100%, $E$9)</f>
        <v>19.462700000000002</v>
      </c>
      <c r="E416" s="17">
        <f>CHOOSE(CONTROL!$C$42, 19.4939, 19.4939) * CHOOSE(CONTROL!$C$21, $C$9, 100%, $E$9)</f>
        <v>19.4939</v>
      </c>
      <c r="F416" s="17">
        <f>CHOOSE(CONTROL!$C$42, 19.2218, 19.2218)*CHOOSE(CONTROL!$C$21, $C$9, 100%, $E$9)</f>
        <v>19.221800000000002</v>
      </c>
      <c r="G416" s="17">
        <f>CHOOSE(CONTROL!$C$42, 19.2383, 19.2383)*CHOOSE(CONTROL!$C$21, $C$9, 100%, $E$9)</f>
        <v>19.238299999999999</v>
      </c>
      <c r="H416" s="17">
        <f>CHOOSE(CONTROL!$C$42, 19.4822, 19.4822) * CHOOSE(CONTROL!$C$21, $C$9, 100%, $E$9)</f>
        <v>19.482199999999999</v>
      </c>
      <c r="I416" s="17">
        <f>CHOOSE(CONTROL!$C$42, 19.2911, 19.2911)* CHOOSE(CONTROL!$C$21, $C$9, 100%, $E$9)</f>
        <v>19.2911</v>
      </c>
      <c r="J416" s="17">
        <f>CHOOSE(CONTROL!$C$42, 19.2144, 19.2144)* CHOOSE(CONTROL!$C$21, $C$9, 100%, $E$9)</f>
        <v>19.214400000000001</v>
      </c>
      <c r="K416" s="52">
        <f>CHOOSE(CONTROL!$C$42, 19.2851, 19.2851) * CHOOSE(CONTROL!$C$21, $C$9, 100%, $E$9)</f>
        <v>19.2851</v>
      </c>
      <c r="L416" s="17">
        <f>CHOOSE(CONTROL!$C$42, 20.0692, 20.0692) * CHOOSE(CONTROL!$C$21, $C$9, 100%, $E$9)</f>
        <v>20.069199999999999</v>
      </c>
      <c r="M416" s="17">
        <f>CHOOSE(CONTROL!$C$42, 19.0486, 19.0486) * CHOOSE(CONTROL!$C$21, $C$9, 100%, $E$9)</f>
        <v>19.0486</v>
      </c>
      <c r="N416" s="17">
        <f>CHOOSE(CONTROL!$C$42, 19.065, 19.065) * CHOOSE(CONTROL!$C$21, $C$9, 100%, $E$9)</f>
        <v>19.065000000000001</v>
      </c>
      <c r="O416" s="17">
        <f>CHOOSE(CONTROL!$C$42, 19.314, 19.314) * CHOOSE(CONTROL!$C$21, $C$9, 100%, $E$9)</f>
        <v>19.314</v>
      </c>
      <c r="P416" s="17">
        <f>CHOOSE(CONTROL!$C$42, 19.1242, 19.1242) * CHOOSE(CONTROL!$C$21, $C$9, 100%, $E$9)</f>
        <v>19.124199999999998</v>
      </c>
      <c r="Q416" s="17">
        <f>CHOOSE(CONTROL!$C$42, 19.9087, 19.9087) * CHOOSE(CONTROL!$C$21, $C$9, 100%, $E$9)</f>
        <v>19.9087</v>
      </c>
      <c r="R416" s="17">
        <f>CHOOSE(CONTROL!$C$42, 20.5455, 20.5455) * CHOOSE(CONTROL!$C$21, $C$9, 100%, $E$9)</f>
        <v>20.545500000000001</v>
      </c>
      <c r="S416" s="17">
        <f>CHOOSE(CONTROL!$C$42, 18.6166, 18.6166) * CHOOSE(CONTROL!$C$21, $C$9, 100%, $E$9)</f>
        <v>18.616599999999998</v>
      </c>
      <c r="T41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16" s="56">
        <f>(1000*CHOOSE(CONTROL!$C$42, 695, 695)*CHOOSE(CONTROL!$C$42, 0.5599, 0.5599)*CHOOSE(CONTROL!$C$42, 31, 31))/1000000</f>
        <v>12.063045499999998</v>
      </c>
      <c r="V416" s="56">
        <f>(1000*CHOOSE(CONTROL!$C$42, 500, 500)*CHOOSE(CONTROL!$C$42, 0.275, 0.275)*CHOOSE(CONTROL!$C$42, 31, 31))/1000000</f>
        <v>4.2625000000000002</v>
      </c>
      <c r="W416" s="56">
        <f>(1000*CHOOSE(CONTROL!$C$42, 0.0916, 0.0916)*CHOOSE(CONTROL!$C$42, 121.5, 121.5)*CHOOSE(CONTROL!$C$42, 31, 31))/1000000</f>
        <v>0.34501139999999997</v>
      </c>
      <c r="X416" s="56">
        <f>(31*0.1790888*145000/1000000)+(31*0.2374*100000/1000000)</f>
        <v>1.5409441560000001</v>
      </c>
      <c r="Y416" s="56"/>
      <c r="Z416" s="17"/>
      <c r="AA416" s="55"/>
      <c r="AB416" s="48">
        <f>(B416*194.205+C416*267.466+D416*133.845+E416*153.484+F416*40+G416*85+H416*0+I416*100+J416*300)/(194.205+267.466+133.845+153.484+0+40+85+100+300)</f>
        <v>19.282178745525901</v>
      </c>
      <c r="AC416" s="45">
        <f>(M416*'RAP TEMPLATE-GAS AVAILABILITY'!O415+N416*'RAP TEMPLATE-GAS AVAILABILITY'!P415+O416*'RAP TEMPLATE-GAS AVAILABILITY'!Q415+P416*'RAP TEMPLATE-GAS AVAILABILITY'!R415)/('RAP TEMPLATE-GAS AVAILABILITY'!O415+'RAP TEMPLATE-GAS AVAILABILITY'!P415+'RAP TEMPLATE-GAS AVAILABILITY'!Q415+'RAP TEMPLATE-GAS AVAILABILITY'!R415)</f>
        <v>19.137717985611509</v>
      </c>
    </row>
    <row r="417" spans="1:29" ht="15.75" x14ac:dyDescent="0.25">
      <c r="A417" s="14">
        <v>53600</v>
      </c>
      <c r="B417" s="17">
        <f>CHOOSE(CONTROL!$C$42, 17.9912, 17.9912) * CHOOSE(CONTROL!$C$21, $C$9, 100%, $E$9)</f>
        <v>17.991199999999999</v>
      </c>
      <c r="C417" s="17">
        <f>CHOOSE(CONTROL!$C$42, 17.9992, 17.9992) * CHOOSE(CONTROL!$C$21, $C$9, 100%, $E$9)</f>
        <v>17.999199999999998</v>
      </c>
      <c r="D417" s="17">
        <f>CHOOSE(CONTROL!$C$42, 18.2437, 18.2437) * CHOOSE(CONTROL!$C$21, $C$9, 100%, $E$9)</f>
        <v>18.2437</v>
      </c>
      <c r="E417" s="17">
        <f>CHOOSE(CONTROL!$C$42, 18.2748, 18.2748) * CHOOSE(CONTROL!$C$21, $C$9, 100%, $E$9)</f>
        <v>18.274799999999999</v>
      </c>
      <c r="F417" s="17">
        <f>CHOOSE(CONTROL!$C$42, 18.0028, 18.0028)*CHOOSE(CONTROL!$C$21, $C$9, 100%, $E$9)</f>
        <v>18.002800000000001</v>
      </c>
      <c r="G417" s="17">
        <f>CHOOSE(CONTROL!$C$42, 18.0194, 18.0194)*CHOOSE(CONTROL!$C$21, $C$9, 100%, $E$9)</f>
        <v>18.019400000000001</v>
      </c>
      <c r="H417" s="17">
        <f>CHOOSE(CONTROL!$C$42, 18.2632, 18.2632) * CHOOSE(CONTROL!$C$21, $C$9, 100%, $E$9)</f>
        <v>18.263200000000001</v>
      </c>
      <c r="I417" s="17">
        <f>CHOOSE(CONTROL!$C$42, 18.0683, 18.0683)* CHOOSE(CONTROL!$C$21, $C$9, 100%, $E$9)</f>
        <v>18.068300000000001</v>
      </c>
      <c r="J417" s="17">
        <f>CHOOSE(CONTROL!$C$42, 17.9954, 17.9954)* CHOOSE(CONTROL!$C$21, $C$9, 100%, $E$9)</f>
        <v>17.9954</v>
      </c>
      <c r="K417" s="52">
        <f>CHOOSE(CONTROL!$C$42, 18.0623, 18.0623) * CHOOSE(CONTROL!$C$21, $C$9, 100%, $E$9)</f>
        <v>18.0623</v>
      </c>
      <c r="L417" s="17">
        <f>CHOOSE(CONTROL!$C$42, 18.8502, 18.8502) * CHOOSE(CONTROL!$C$21, $C$9, 100%, $E$9)</f>
        <v>18.850200000000001</v>
      </c>
      <c r="M417" s="17">
        <f>CHOOSE(CONTROL!$C$42, 17.8406, 17.8406) * CHOOSE(CONTROL!$C$21, $C$9, 100%, $E$9)</f>
        <v>17.840599999999998</v>
      </c>
      <c r="N417" s="17">
        <f>CHOOSE(CONTROL!$C$42, 17.857, 17.857) * CHOOSE(CONTROL!$C$21, $C$9, 100%, $E$9)</f>
        <v>17.856999999999999</v>
      </c>
      <c r="O417" s="17">
        <f>CHOOSE(CONTROL!$C$42, 18.1059, 18.1059) * CHOOSE(CONTROL!$C$21, $C$9, 100%, $E$9)</f>
        <v>18.105899999999998</v>
      </c>
      <c r="P417" s="17">
        <f>CHOOSE(CONTROL!$C$42, 17.9124, 17.9124) * CHOOSE(CONTROL!$C$21, $C$9, 100%, $E$9)</f>
        <v>17.912400000000002</v>
      </c>
      <c r="Q417" s="17">
        <f>CHOOSE(CONTROL!$C$42, 18.7006, 18.7006) * CHOOSE(CONTROL!$C$21, $C$9, 100%, $E$9)</f>
        <v>18.700600000000001</v>
      </c>
      <c r="R417" s="17">
        <f>CHOOSE(CONTROL!$C$42, 19.3344, 19.3344) * CHOOSE(CONTROL!$C$21, $C$9, 100%, $E$9)</f>
        <v>19.334399999999999</v>
      </c>
      <c r="S417" s="17">
        <f>CHOOSE(CONTROL!$C$42, 17.4345, 17.4345) * CHOOSE(CONTROL!$C$21, $C$9, 100%, $E$9)</f>
        <v>17.4345</v>
      </c>
      <c r="T41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17" s="56">
        <f>(1000*CHOOSE(CONTROL!$C$42, 695, 695)*CHOOSE(CONTROL!$C$42, 0.5599, 0.5599)*CHOOSE(CONTROL!$C$42, 30, 30))/1000000</f>
        <v>11.673914999999997</v>
      </c>
      <c r="V417" s="56">
        <f>(1000*CHOOSE(CONTROL!$C$42, 500, 500)*CHOOSE(CONTROL!$C$42, 0.275, 0.275)*CHOOSE(CONTROL!$C$42, 30, 30))/1000000</f>
        <v>4.125</v>
      </c>
      <c r="W417" s="56">
        <f>(1000*CHOOSE(CONTROL!$C$42, 0.0916, 0.0916)*CHOOSE(CONTROL!$C$42, 121.5, 121.5)*CHOOSE(CONTROL!$C$42, 30, 30))/1000000</f>
        <v>0.33388200000000001</v>
      </c>
      <c r="X417" s="56">
        <f>(30*0.1790888*145000/1000000)+(30*0.2374*100000/1000000)</f>
        <v>1.4912362799999999</v>
      </c>
      <c r="Y417" s="56"/>
      <c r="Z417" s="17"/>
      <c r="AA417" s="55"/>
      <c r="AB417" s="48">
        <f>(B417*194.205+C417*267.466+D417*133.845+E417*153.484+F417*40+G417*85+H417*0+I417*100+J417*300)/(194.205+267.466+133.845+153.484+0+40+85+100+300)</f>
        <v>18.062859853139717</v>
      </c>
      <c r="AC417" s="45">
        <f>(M417*'RAP TEMPLATE-GAS AVAILABILITY'!O416+N417*'RAP TEMPLATE-GAS AVAILABILITY'!P416+O417*'RAP TEMPLATE-GAS AVAILABILITY'!Q416+P417*'RAP TEMPLATE-GAS AVAILABILITY'!R416)/('RAP TEMPLATE-GAS AVAILABILITY'!O416+'RAP TEMPLATE-GAS AVAILABILITY'!P416+'RAP TEMPLATE-GAS AVAILABILITY'!Q416+'RAP TEMPLATE-GAS AVAILABILITY'!R416)</f>
        <v>17.929143165467625</v>
      </c>
    </row>
    <row r="418" spans="1:29" ht="15.75" x14ac:dyDescent="0.25">
      <c r="A418" s="14">
        <v>53631</v>
      </c>
      <c r="B418" s="17">
        <f>CHOOSE(CONTROL!$C$42, 17.6245, 17.6245) * CHOOSE(CONTROL!$C$21, $C$9, 100%, $E$9)</f>
        <v>17.624500000000001</v>
      </c>
      <c r="C418" s="17">
        <f>CHOOSE(CONTROL!$C$42, 17.6298, 17.6298) * CHOOSE(CONTROL!$C$21, $C$9, 100%, $E$9)</f>
        <v>17.629799999999999</v>
      </c>
      <c r="D418" s="17">
        <f>CHOOSE(CONTROL!$C$42, 17.8791, 17.8791) * CHOOSE(CONTROL!$C$21, $C$9, 100%, $E$9)</f>
        <v>17.879100000000001</v>
      </c>
      <c r="E418" s="17">
        <f>CHOOSE(CONTROL!$C$42, 17.908, 17.908) * CHOOSE(CONTROL!$C$21, $C$9, 100%, $E$9)</f>
        <v>17.908000000000001</v>
      </c>
      <c r="F418" s="17">
        <f>CHOOSE(CONTROL!$C$42, 17.6383, 17.6383)*CHOOSE(CONTROL!$C$21, $C$9, 100%, $E$9)</f>
        <v>17.638300000000001</v>
      </c>
      <c r="G418" s="17">
        <f>CHOOSE(CONTROL!$C$42, 17.6547, 17.6547)*CHOOSE(CONTROL!$C$21, $C$9, 100%, $E$9)</f>
        <v>17.654699999999998</v>
      </c>
      <c r="H418" s="17">
        <f>CHOOSE(CONTROL!$C$42, 17.8981, 17.8981) * CHOOSE(CONTROL!$C$21, $C$9, 100%, $E$9)</f>
        <v>17.898099999999999</v>
      </c>
      <c r="I418" s="17">
        <f>CHOOSE(CONTROL!$C$42, 17.7021, 17.7021)* CHOOSE(CONTROL!$C$21, $C$9, 100%, $E$9)</f>
        <v>17.702100000000002</v>
      </c>
      <c r="J418" s="17">
        <f>CHOOSE(CONTROL!$C$42, 17.6309, 17.6309)* CHOOSE(CONTROL!$C$21, $C$9, 100%, $E$9)</f>
        <v>17.6309</v>
      </c>
      <c r="K418" s="52">
        <f>CHOOSE(CONTROL!$C$42, 17.6961, 17.6961) * CHOOSE(CONTROL!$C$21, $C$9, 100%, $E$9)</f>
        <v>17.696100000000001</v>
      </c>
      <c r="L418" s="17">
        <f>CHOOSE(CONTROL!$C$42, 18.4851, 18.4851) * CHOOSE(CONTROL!$C$21, $C$9, 100%, $E$9)</f>
        <v>18.485099999999999</v>
      </c>
      <c r="M418" s="17">
        <f>CHOOSE(CONTROL!$C$42, 17.4793, 17.4793) * CHOOSE(CONTROL!$C$21, $C$9, 100%, $E$9)</f>
        <v>17.479299999999999</v>
      </c>
      <c r="N418" s="17">
        <f>CHOOSE(CONTROL!$C$42, 17.4956, 17.4956) * CHOOSE(CONTROL!$C$21, $C$9, 100%, $E$9)</f>
        <v>17.4956</v>
      </c>
      <c r="O418" s="17">
        <f>CHOOSE(CONTROL!$C$42, 17.7442, 17.7442) * CHOOSE(CONTROL!$C$21, $C$9, 100%, $E$9)</f>
        <v>17.744199999999999</v>
      </c>
      <c r="P418" s="17">
        <f>CHOOSE(CONTROL!$C$42, 17.5495, 17.5495) * CHOOSE(CONTROL!$C$21, $C$9, 100%, $E$9)</f>
        <v>17.549499999999998</v>
      </c>
      <c r="Q418" s="17">
        <f>CHOOSE(CONTROL!$C$42, 18.3389, 18.3389) * CHOOSE(CONTROL!$C$21, $C$9, 100%, $E$9)</f>
        <v>18.338899999999999</v>
      </c>
      <c r="R418" s="17">
        <f>CHOOSE(CONTROL!$C$42, 18.9717, 18.9717) * CHOOSE(CONTROL!$C$21, $C$9, 100%, $E$9)</f>
        <v>18.971699999999998</v>
      </c>
      <c r="S418" s="17">
        <f>CHOOSE(CONTROL!$C$42, 17.0805, 17.0805) * CHOOSE(CONTROL!$C$21, $C$9, 100%, $E$9)</f>
        <v>17.080500000000001</v>
      </c>
      <c r="T41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18" s="56">
        <f>(1000*CHOOSE(CONTROL!$C$42, 695, 695)*CHOOSE(CONTROL!$C$42, 0.5599, 0.5599)*CHOOSE(CONTROL!$C$42, 31, 31))/1000000</f>
        <v>12.063045499999998</v>
      </c>
      <c r="V418" s="56">
        <f>(1000*CHOOSE(CONTROL!$C$42, 500, 500)*CHOOSE(CONTROL!$C$42, 0.275, 0.275)*CHOOSE(CONTROL!$C$42, 31, 31))/1000000</f>
        <v>4.2625000000000002</v>
      </c>
      <c r="W418" s="56">
        <f>(1000*CHOOSE(CONTROL!$C$42, 0.0916, 0.0916)*CHOOSE(CONTROL!$C$42, 121.5, 121.5)*CHOOSE(CONTROL!$C$42, 31, 31))/1000000</f>
        <v>0.34501139999999997</v>
      </c>
      <c r="X418" s="56">
        <f>(31*0.1790888*145000/1000000)+(31*0.2374*100000/1000000)</f>
        <v>1.5409441560000001</v>
      </c>
      <c r="Y418" s="56"/>
      <c r="Z418" s="17"/>
      <c r="AA418" s="55"/>
      <c r="AB418" s="48">
        <f>(B418*131.881+C418*277.167+D418*79.08+E418*225.872+F418*40+G418*85+H418*0+I418*100+J418*300)/(131.881+277.167+79.08+225.872+0+40+85+100+300)</f>
        <v>17.703948317271994</v>
      </c>
      <c r="AC418" s="45">
        <f>(M418*'RAP TEMPLATE-GAS AVAILABILITY'!O417+N418*'RAP TEMPLATE-GAS AVAILABILITY'!P417+O418*'RAP TEMPLATE-GAS AVAILABILITY'!Q417+P418*'RAP TEMPLATE-GAS AVAILABILITY'!R417)/('RAP TEMPLATE-GAS AVAILABILITY'!O417+'RAP TEMPLATE-GAS AVAILABILITY'!P417+'RAP TEMPLATE-GAS AVAILABILITY'!Q417+'RAP TEMPLATE-GAS AVAILABILITY'!R417)</f>
        <v>17.567477697841728</v>
      </c>
    </row>
    <row r="419" spans="1:29" ht="15.75" x14ac:dyDescent="0.25">
      <c r="A419" s="14">
        <v>53661</v>
      </c>
      <c r="B419" s="17">
        <f>CHOOSE(CONTROL!$C$42, 18.0881, 18.0881) * CHOOSE(CONTROL!$C$21, $C$9, 100%, $E$9)</f>
        <v>18.088100000000001</v>
      </c>
      <c r="C419" s="17">
        <f>CHOOSE(CONTROL!$C$42, 18.0932, 18.0932) * CHOOSE(CONTROL!$C$21, $C$9, 100%, $E$9)</f>
        <v>18.0932</v>
      </c>
      <c r="D419" s="17">
        <f>CHOOSE(CONTROL!$C$42, 18.1745, 18.1745) * CHOOSE(CONTROL!$C$21, $C$9, 100%, $E$9)</f>
        <v>18.174499999999998</v>
      </c>
      <c r="E419" s="17">
        <f>CHOOSE(CONTROL!$C$42, 18.2083, 18.2083) * CHOOSE(CONTROL!$C$21, $C$9, 100%, $E$9)</f>
        <v>18.208300000000001</v>
      </c>
      <c r="F419" s="17">
        <f>CHOOSE(CONTROL!$C$42, 18.106, 18.106)*CHOOSE(CONTROL!$C$21, $C$9, 100%, $E$9)</f>
        <v>18.106000000000002</v>
      </c>
      <c r="G419" s="17">
        <f>CHOOSE(CONTROL!$C$42, 18.1227, 18.1227)*CHOOSE(CONTROL!$C$21, $C$9, 100%, $E$9)</f>
        <v>18.122699999999998</v>
      </c>
      <c r="H419" s="17">
        <f>CHOOSE(CONTROL!$C$42, 18.1972, 18.1972) * CHOOSE(CONTROL!$C$21, $C$9, 100%, $E$9)</f>
        <v>18.197199999999999</v>
      </c>
      <c r="I419" s="17">
        <f>CHOOSE(CONTROL!$C$42, 18.1692, 18.1692)* CHOOSE(CONTROL!$C$21, $C$9, 100%, $E$9)</f>
        <v>18.1692</v>
      </c>
      <c r="J419" s="17">
        <f>CHOOSE(CONTROL!$C$42, 18.0986, 18.0986)* CHOOSE(CONTROL!$C$21, $C$9, 100%, $E$9)</f>
        <v>18.098600000000001</v>
      </c>
      <c r="K419" s="52">
        <f>CHOOSE(CONTROL!$C$42, 18.1631, 18.1631) * CHOOSE(CONTROL!$C$21, $C$9, 100%, $E$9)</f>
        <v>18.1631</v>
      </c>
      <c r="L419" s="17">
        <f>CHOOSE(CONTROL!$C$42, 18.7842, 18.7842) * CHOOSE(CONTROL!$C$21, $C$9, 100%, $E$9)</f>
        <v>18.784199999999998</v>
      </c>
      <c r="M419" s="17">
        <f>CHOOSE(CONTROL!$C$42, 17.9429, 17.9429) * CHOOSE(CONTROL!$C$21, $C$9, 100%, $E$9)</f>
        <v>17.942900000000002</v>
      </c>
      <c r="N419" s="17">
        <f>CHOOSE(CONTROL!$C$42, 17.9594, 17.9594) * CHOOSE(CONTROL!$C$21, $C$9, 100%, $E$9)</f>
        <v>17.959399999999999</v>
      </c>
      <c r="O419" s="17">
        <f>CHOOSE(CONTROL!$C$42, 18.0405, 18.0405) * CHOOSE(CONTROL!$C$21, $C$9, 100%, $E$9)</f>
        <v>18.040500000000002</v>
      </c>
      <c r="P419" s="17">
        <f>CHOOSE(CONTROL!$C$42, 18.0123, 18.0123) * CHOOSE(CONTROL!$C$21, $C$9, 100%, $E$9)</f>
        <v>18.0123</v>
      </c>
      <c r="Q419" s="17">
        <f>CHOOSE(CONTROL!$C$42, 18.6352, 18.6352) * CHOOSE(CONTROL!$C$21, $C$9, 100%, $E$9)</f>
        <v>18.635200000000001</v>
      </c>
      <c r="R419" s="17">
        <f>CHOOSE(CONTROL!$C$42, 19.2688, 19.2688) * CHOOSE(CONTROL!$C$21, $C$9, 100%, $E$9)</f>
        <v>19.268799999999999</v>
      </c>
      <c r="S419" s="17">
        <f>CHOOSE(CONTROL!$C$42, 17.5305, 17.5305) * CHOOSE(CONTROL!$C$21, $C$9, 100%, $E$9)</f>
        <v>17.5305</v>
      </c>
      <c r="T41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19" s="56">
        <f>(1000*CHOOSE(CONTROL!$C$42, 695, 695)*CHOOSE(CONTROL!$C$42, 0.5599, 0.5599)*CHOOSE(CONTROL!$C$42, 30, 30))/1000000</f>
        <v>11.673914999999997</v>
      </c>
      <c r="V419" s="56">
        <f>(1000*CHOOSE(CONTROL!$C$42, 500, 500)*CHOOSE(CONTROL!$C$42, 0.275, 0.275)*CHOOSE(CONTROL!$C$42, 30, 30))/1000000</f>
        <v>4.125</v>
      </c>
      <c r="W419" s="56">
        <f>(1000*CHOOSE(CONTROL!$C$42, 0.0916, 0.0916)*CHOOSE(CONTROL!$C$42, 121.5, 121.5)*CHOOSE(CONTROL!$C$42, 30, 30))/1000000</f>
        <v>0.33388200000000001</v>
      </c>
      <c r="X419" s="56">
        <f>(30*0.2374*100000/1000000)</f>
        <v>0.71220000000000006</v>
      </c>
      <c r="Y419" s="56"/>
      <c r="Z419" s="17"/>
      <c r="AA419" s="55"/>
      <c r="AB419" s="48">
        <f>(B419*122.58+C419*297.941+D419*89.177+E419*140.302+F419*40+G419*60+H419*0+I419*100+J419*300)/(122.58+297.941+89.177+140.302+0+40+60+100+300)</f>
        <v>18.123004949826086</v>
      </c>
      <c r="AC419" s="45">
        <f>(M419*'RAP TEMPLATE-GAS AVAILABILITY'!O418+N419*'RAP TEMPLATE-GAS AVAILABILITY'!P418+O419*'RAP TEMPLATE-GAS AVAILABILITY'!Q418+P419*'RAP TEMPLATE-GAS AVAILABILITY'!R418)/('RAP TEMPLATE-GAS AVAILABILITY'!O418+'RAP TEMPLATE-GAS AVAILABILITY'!P418+'RAP TEMPLATE-GAS AVAILABILITY'!Q418+'RAP TEMPLATE-GAS AVAILABILITY'!R418)</f>
        <v>17.998071223021586</v>
      </c>
    </row>
    <row r="420" spans="1:29" ht="15.75" x14ac:dyDescent="0.25">
      <c r="A420" s="14">
        <v>53692</v>
      </c>
      <c r="B420" s="17">
        <f>CHOOSE(CONTROL!$C$42, 19.3206, 19.3206) * CHOOSE(CONTROL!$C$21, $C$9, 100%, $E$9)</f>
        <v>19.320599999999999</v>
      </c>
      <c r="C420" s="17">
        <f>CHOOSE(CONTROL!$C$42, 19.3257, 19.3257) * CHOOSE(CONTROL!$C$21, $C$9, 100%, $E$9)</f>
        <v>19.325700000000001</v>
      </c>
      <c r="D420" s="17">
        <f>CHOOSE(CONTROL!$C$42, 19.407, 19.407) * CHOOSE(CONTROL!$C$21, $C$9, 100%, $E$9)</f>
        <v>19.407</v>
      </c>
      <c r="E420" s="17">
        <f>CHOOSE(CONTROL!$C$42, 19.4408, 19.4408) * CHOOSE(CONTROL!$C$21, $C$9, 100%, $E$9)</f>
        <v>19.440799999999999</v>
      </c>
      <c r="F420" s="17">
        <f>CHOOSE(CONTROL!$C$42, 19.3409, 19.3409)*CHOOSE(CONTROL!$C$21, $C$9, 100%, $E$9)</f>
        <v>19.340900000000001</v>
      </c>
      <c r="G420" s="17">
        <f>CHOOSE(CONTROL!$C$42, 19.3583, 19.3583)*CHOOSE(CONTROL!$C$21, $C$9, 100%, $E$9)</f>
        <v>19.3583</v>
      </c>
      <c r="H420" s="17">
        <f>CHOOSE(CONTROL!$C$42, 19.4297, 19.4297) * CHOOSE(CONTROL!$C$21, $C$9, 100%, $E$9)</f>
        <v>19.4297</v>
      </c>
      <c r="I420" s="17">
        <f>CHOOSE(CONTROL!$C$42, 19.4055, 19.4055)* CHOOSE(CONTROL!$C$21, $C$9, 100%, $E$9)</f>
        <v>19.4055</v>
      </c>
      <c r="J420" s="17">
        <f>CHOOSE(CONTROL!$C$42, 19.3335, 19.3335)* CHOOSE(CONTROL!$C$21, $C$9, 100%, $E$9)</f>
        <v>19.333500000000001</v>
      </c>
      <c r="K420" s="52">
        <f>CHOOSE(CONTROL!$C$42, 19.3995, 19.3995) * CHOOSE(CONTROL!$C$21, $C$9, 100%, $E$9)</f>
        <v>19.3995</v>
      </c>
      <c r="L420" s="17">
        <f>CHOOSE(CONTROL!$C$42, 20.0167, 20.0167) * CHOOSE(CONTROL!$C$21, $C$9, 100%, $E$9)</f>
        <v>20.0167</v>
      </c>
      <c r="M420" s="17">
        <f>CHOOSE(CONTROL!$C$42, 19.1667, 19.1667) * CHOOSE(CONTROL!$C$21, $C$9, 100%, $E$9)</f>
        <v>19.166699999999999</v>
      </c>
      <c r="N420" s="17">
        <f>CHOOSE(CONTROL!$C$42, 19.1838, 19.1838) * CHOOSE(CONTROL!$C$21, $C$9, 100%, $E$9)</f>
        <v>19.183800000000002</v>
      </c>
      <c r="O420" s="17">
        <f>CHOOSE(CONTROL!$C$42, 19.2619, 19.2619) * CHOOSE(CONTROL!$C$21, $C$9, 100%, $E$9)</f>
        <v>19.261900000000001</v>
      </c>
      <c r="P420" s="17">
        <f>CHOOSE(CONTROL!$C$42, 19.2375, 19.2375) * CHOOSE(CONTROL!$C$21, $C$9, 100%, $E$9)</f>
        <v>19.237500000000001</v>
      </c>
      <c r="Q420" s="17">
        <f>CHOOSE(CONTROL!$C$42, 19.8566, 19.8566) * CHOOSE(CONTROL!$C$21, $C$9, 100%, $E$9)</f>
        <v>19.8566</v>
      </c>
      <c r="R420" s="17">
        <f>CHOOSE(CONTROL!$C$42, 20.4933, 20.4933) * CHOOSE(CONTROL!$C$21, $C$9, 100%, $E$9)</f>
        <v>20.493300000000001</v>
      </c>
      <c r="S420" s="17">
        <f>CHOOSE(CONTROL!$C$42, 18.7257, 18.7257) * CHOOSE(CONTROL!$C$21, $C$9, 100%, $E$9)</f>
        <v>18.7257</v>
      </c>
      <c r="T42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20" s="56">
        <f>(1000*CHOOSE(CONTROL!$C$42, 695, 695)*CHOOSE(CONTROL!$C$42, 0.5599, 0.5599)*CHOOSE(CONTROL!$C$42, 31, 31))/1000000</f>
        <v>12.063045499999998</v>
      </c>
      <c r="V420" s="56">
        <f>(1000*CHOOSE(CONTROL!$C$42, 500, 500)*CHOOSE(CONTROL!$C$42, 0.275, 0.275)*CHOOSE(CONTROL!$C$42, 31, 31))/1000000</f>
        <v>4.2625000000000002</v>
      </c>
      <c r="W420" s="56">
        <f>(1000*CHOOSE(CONTROL!$C$42, 0.0916, 0.0916)*CHOOSE(CONTROL!$C$42, 121.5, 121.5)*CHOOSE(CONTROL!$C$42, 31, 31))/1000000</f>
        <v>0.34501139999999997</v>
      </c>
      <c r="X420" s="56">
        <f>(31*0.2374*100000/1000000)</f>
        <v>0.73594000000000004</v>
      </c>
      <c r="Y420" s="56"/>
      <c r="Z420" s="17"/>
      <c r="AA420" s="55"/>
      <c r="AB420" s="48">
        <f>(B420*122.58+C420*297.941+D420*89.177+E420*140.302+F420*40+G420*60+H420*0+I420*100+J420*300)/(122.58+297.941+89.177+140.302+0+40+60+100+300)</f>
        <v>19.356706688956521</v>
      </c>
      <c r="AC420" s="45">
        <f>(M420*'RAP TEMPLATE-GAS AVAILABILITY'!O419+N420*'RAP TEMPLATE-GAS AVAILABILITY'!P419+O420*'RAP TEMPLATE-GAS AVAILABILITY'!Q419+P420*'RAP TEMPLATE-GAS AVAILABILITY'!R419)/('RAP TEMPLATE-GAS AVAILABILITY'!O419+'RAP TEMPLATE-GAS AVAILABILITY'!P419+'RAP TEMPLATE-GAS AVAILABILITY'!Q419+'RAP TEMPLATE-GAS AVAILABILITY'!R419)</f>
        <v>19.221019424460433</v>
      </c>
    </row>
    <row r="421" spans="1:29" ht="15.75" x14ac:dyDescent="0.25">
      <c r="A421" s="14">
        <v>53723</v>
      </c>
      <c r="B421" s="17">
        <f>CHOOSE(CONTROL!$C$42, 20.9214, 20.9214) * CHOOSE(CONTROL!$C$21, $C$9, 100%, $E$9)</f>
        <v>20.921399999999998</v>
      </c>
      <c r="C421" s="17">
        <f>CHOOSE(CONTROL!$C$42, 20.9265, 20.9265) * CHOOSE(CONTROL!$C$21, $C$9, 100%, $E$9)</f>
        <v>20.926500000000001</v>
      </c>
      <c r="D421" s="17">
        <f>CHOOSE(CONTROL!$C$42, 21.0233, 21.0233) * CHOOSE(CONTROL!$C$21, $C$9, 100%, $E$9)</f>
        <v>21.023299999999999</v>
      </c>
      <c r="E421" s="17">
        <f>CHOOSE(CONTROL!$C$42, 21.0571, 21.0571) * CHOOSE(CONTROL!$C$21, $C$9, 100%, $E$9)</f>
        <v>21.057099999999998</v>
      </c>
      <c r="F421" s="17">
        <f>CHOOSE(CONTROL!$C$42, 20.9357, 20.9357)*CHOOSE(CONTROL!$C$21, $C$9, 100%, $E$9)</f>
        <v>20.935700000000001</v>
      </c>
      <c r="G421" s="17">
        <f>CHOOSE(CONTROL!$C$42, 20.9521, 20.9521)*CHOOSE(CONTROL!$C$21, $C$9, 100%, $E$9)</f>
        <v>20.952100000000002</v>
      </c>
      <c r="H421" s="17">
        <f>CHOOSE(CONTROL!$C$42, 21.046, 21.046) * CHOOSE(CONTROL!$C$21, $C$9, 100%, $E$9)</f>
        <v>21.045999999999999</v>
      </c>
      <c r="I421" s="17">
        <f>CHOOSE(CONTROL!$C$42, 21.0113, 21.0113)* CHOOSE(CONTROL!$C$21, $C$9, 100%, $E$9)</f>
        <v>21.011299999999999</v>
      </c>
      <c r="J421" s="17">
        <f>CHOOSE(CONTROL!$C$42, 20.9283, 20.9283)* CHOOSE(CONTROL!$C$21, $C$9, 100%, $E$9)</f>
        <v>20.9283</v>
      </c>
      <c r="K421" s="52">
        <f>CHOOSE(CONTROL!$C$42, 21.0053, 21.0053) * CHOOSE(CONTROL!$C$21, $C$9, 100%, $E$9)</f>
        <v>21.005299999999998</v>
      </c>
      <c r="L421" s="17">
        <f>CHOOSE(CONTROL!$C$42, 21.633, 21.633) * CHOOSE(CONTROL!$C$21, $C$9, 100%, $E$9)</f>
        <v>21.632999999999999</v>
      </c>
      <c r="M421" s="17">
        <f>CHOOSE(CONTROL!$C$42, 20.7471, 20.7471) * CHOOSE(CONTROL!$C$21, $C$9, 100%, $E$9)</f>
        <v>20.7471</v>
      </c>
      <c r="N421" s="17">
        <f>CHOOSE(CONTROL!$C$42, 20.7633, 20.7633) * CHOOSE(CONTROL!$C$21, $C$9, 100%, $E$9)</f>
        <v>20.763300000000001</v>
      </c>
      <c r="O421" s="17">
        <f>CHOOSE(CONTROL!$C$42, 20.8637, 20.8637) * CHOOSE(CONTROL!$C$21, $C$9, 100%, $E$9)</f>
        <v>20.863700000000001</v>
      </c>
      <c r="P421" s="17">
        <f>CHOOSE(CONTROL!$C$42, 20.8288, 20.8288) * CHOOSE(CONTROL!$C$21, $C$9, 100%, $E$9)</f>
        <v>20.828800000000001</v>
      </c>
      <c r="Q421" s="17">
        <f>CHOOSE(CONTROL!$C$42, 21.4584, 21.4584) * CHOOSE(CONTROL!$C$21, $C$9, 100%, $E$9)</f>
        <v>21.458400000000001</v>
      </c>
      <c r="R421" s="17">
        <f>CHOOSE(CONTROL!$C$42, 22.099, 22.099) * CHOOSE(CONTROL!$C$21, $C$9, 100%, $E$9)</f>
        <v>22.099</v>
      </c>
      <c r="S421" s="17">
        <f>CHOOSE(CONTROL!$C$42, 20.278, 20.278) * CHOOSE(CONTROL!$C$21, $C$9, 100%, $E$9)</f>
        <v>20.277999999999999</v>
      </c>
      <c r="T42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21" s="56">
        <f>(1000*CHOOSE(CONTROL!$C$42, 695, 695)*CHOOSE(CONTROL!$C$42, 0.5599, 0.5599)*CHOOSE(CONTROL!$C$42, 31, 31))/1000000</f>
        <v>12.063045499999998</v>
      </c>
      <c r="V421" s="56">
        <f>(1000*CHOOSE(CONTROL!$C$42, 500, 500)*CHOOSE(CONTROL!$C$42, 0.275, 0.275)*CHOOSE(CONTROL!$C$42, 31, 31))/1000000</f>
        <v>4.2625000000000002</v>
      </c>
      <c r="W421" s="56">
        <f>(1000*CHOOSE(CONTROL!$C$42, 0.0916, 0.0916)*CHOOSE(CONTROL!$C$42, 121.5, 121.5)*CHOOSE(CONTROL!$C$42, 31, 31))/1000000</f>
        <v>0.34501139999999997</v>
      </c>
      <c r="X421" s="56">
        <f>(31*0.2374*100000/1000000)</f>
        <v>0.73594000000000004</v>
      </c>
      <c r="Y421" s="56"/>
      <c r="Z421" s="17"/>
      <c r="AA421" s="55"/>
      <c r="AB421" s="48">
        <f>(B421*122.58+C421*297.941+D421*89.177+E421*140.302+F421*40+G421*60+H421*0+I421*100+J421*300)/(122.58+297.941+89.177+140.302+0+40+60+100+300)</f>
        <v>20.958895318956518</v>
      </c>
      <c r="AC421" s="45">
        <f>(M421*'RAP TEMPLATE-GAS AVAILABILITY'!O420+N421*'RAP TEMPLATE-GAS AVAILABILITY'!P420+O421*'RAP TEMPLATE-GAS AVAILABILITY'!Q420+P421*'RAP TEMPLATE-GAS AVAILABILITY'!R420)/('RAP TEMPLATE-GAS AVAILABILITY'!O420+'RAP TEMPLATE-GAS AVAILABILITY'!P420+'RAP TEMPLATE-GAS AVAILABILITY'!Q420+'RAP TEMPLATE-GAS AVAILABILITY'!R420)</f>
        <v>20.812635251798561</v>
      </c>
    </row>
    <row r="422" spans="1:29" ht="15.75" x14ac:dyDescent="0.25">
      <c r="A422" s="14">
        <v>53751</v>
      </c>
      <c r="B422" s="17">
        <f>CHOOSE(CONTROL!$C$42, 21.2937, 21.2937) * CHOOSE(CONTROL!$C$21, $C$9, 100%, $E$9)</f>
        <v>21.293700000000001</v>
      </c>
      <c r="C422" s="17">
        <f>CHOOSE(CONTROL!$C$42, 21.2987, 21.2987) * CHOOSE(CONTROL!$C$21, $C$9, 100%, $E$9)</f>
        <v>21.2987</v>
      </c>
      <c r="D422" s="17">
        <f>CHOOSE(CONTROL!$C$42, 21.3956, 21.3956) * CHOOSE(CONTROL!$C$21, $C$9, 100%, $E$9)</f>
        <v>21.395600000000002</v>
      </c>
      <c r="E422" s="17">
        <f>CHOOSE(CONTROL!$C$42, 21.4293, 21.4293) * CHOOSE(CONTROL!$C$21, $C$9, 100%, $E$9)</f>
        <v>21.429300000000001</v>
      </c>
      <c r="F422" s="17">
        <f>CHOOSE(CONTROL!$C$42, 21.3079, 21.3079)*CHOOSE(CONTROL!$C$21, $C$9, 100%, $E$9)</f>
        <v>21.3079</v>
      </c>
      <c r="G422" s="17">
        <f>CHOOSE(CONTROL!$C$42, 21.3243, 21.3243)*CHOOSE(CONTROL!$C$21, $C$9, 100%, $E$9)</f>
        <v>21.324300000000001</v>
      </c>
      <c r="H422" s="17">
        <f>CHOOSE(CONTROL!$C$42, 21.4182, 21.4182) * CHOOSE(CONTROL!$C$21, $C$9, 100%, $E$9)</f>
        <v>21.418199999999999</v>
      </c>
      <c r="I422" s="17">
        <f>CHOOSE(CONTROL!$C$42, 21.3847, 21.3847)* CHOOSE(CONTROL!$C$21, $C$9, 100%, $E$9)</f>
        <v>21.384699999999999</v>
      </c>
      <c r="J422" s="17">
        <f>CHOOSE(CONTROL!$C$42, 21.3005, 21.3005)* CHOOSE(CONTROL!$C$21, $C$9, 100%, $E$9)</f>
        <v>21.3005</v>
      </c>
      <c r="K422" s="52">
        <f>CHOOSE(CONTROL!$C$42, 21.3787, 21.3787) * CHOOSE(CONTROL!$C$21, $C$9, 100%, $E$9)</f>
        <v>21.378699999999998</v>
      </c>
      <c r="L422" s="17">
        <f>CHOOSE(CONTROL!$C$42, 22.0052, 22.0052) * CHOOSE(CONTROL!$C$21, $C$9, 100%, $E$9)</f>
        <v>22.005199999999999</v>
      </c>
      <c r="M422" s="17">
        <f>CHOOSE(CONTROL!$C$42, 21.116, 21.116) * CHOOSE(CONTROL!$C$21, $C$9, 100%, $E$9)</f>
        <v>21.116</v>
      </c>
      <c r="N422" s="17">
        <f>CHOOSE(CONTROL!$C$42, 21.1322, 21.1322) * CHOOSE(CONTROL!$C$21, $C$9, 100%, $E$9)</f>
        <v>21.132200000000001</v>
      </c>
      <c r="O422" s="17">
        <f>CHOOSE(CONTROL!$C$42, 21.2326, 21.2326) * CHOOSE(CONTROL!$C$21, $C$9, 100%, $E$9)</f>
        <v>21.232600000000001</v>
      </c>
      <c r="P422" s="17">
        <f>CHOOSE(CONTROL!$C$42, 21.1988, 21.1988) * CHOOSE(CONTROL!$C$21, $C$9, 100%, $E$9)</f>
        <v>21.198799999999999</v>
      </c>
      <c r="Q422" s="17">
        <f>CHOOSE(CONTROL!$C$42, 21.8273, 21.8273) * CHOOSE(CONTROL!$C$21, $C$9, 100%, $E$9)</f>
        <v>21.827300000000001</v>
      </c>
      <c r="R422" s="17">
        <f>CHOOSE(CONTROL!$C$42, 22.4689, 22.4689) * CHOOSE(CONTROL!$C$21, $C$9, 100%, $E$9)</f>
        <v>22.468900000000001</v>
      </c>
      <c r="S422" s="17">
        <f>CHOOSE(CONTROL!$C$42, 20.639, 20.639) * CHOOSE(CONTROL!$C$21, $C$9, 100%, $E$9)</f>
        <v>20.638999999999999</v>
      </c>
      <c r="T42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22" s="56">
        <f>(1000*CHOOSE(CONTROL!$C$42, 695, 695)*CHOOSE(CONTROL!$C$42, 0.5599, 0.5599)*CHOOSE(CONTROL!$C$42, 28, 28))/1000000</f>
        <v>10.895653999999999</v>
      </c>
      <c r="V422" s="56">
        <f>(1000*CHOOSE(CONTROL!$C$42, 500, 500)*CHOOSE(CONTROL!$C$42, 0.275, 0.275)*CHOOSE(CONTROL!$C$42, 28, 28))/1000000</f>
        <v>3.85</v>
      </c>
      <c r="W422" s="56">
        <f>(1000*CHOOSE(CONTROL!$C$42, 0.0916, 0.0916)*CHOOSE(CONTROL!$C$42, 121.5, 121.5)*CHOOSE(CONTROL!$C$42, 28, 28))/1000000</f>
        <v>0.31162319999999999</v>
      </c>
      <c r="X422" s="56">
        <f>(28*0.2374*100000/1000000)</f>
        <v>0.66471999999999998</v>
      </c>
      <c r="Y422" s="56"/>
      <c r="Z422" s="17"/>
      <c r="AA422" s="55"/>
      <c r="AB422" s="48">
        <f>(B422*122.58+C422*297.941+D422*89.177+E422*140.302+F422*40+G422*60+H422*0+I422*100+J422*300)/(122.58+297.941+89.177+140.302+0+40+60+100+300)</f>
        <v>21.331218080434788</v>
      </c>
      <c r="AC422" s="45">
        <f>(M422*'RAP TEMPLATE-GAS AVAILABILITY'!O421+N422*'RAP TEMPLATE-GAS AVAILABILITY'!P421+O422*'RAP TEMPLATE-GAS AVAILABILITY'!Q421+P422*'RAP TEMPLATE-GAS AVAILABILITY'!R421)/('RAP TEMPLATE-GAS AVAILABILITY'!O421+'RAP TEMPLATE-GAS AVAILABILITY'!P421+'RAP TEMPLATE-GAS AVAILABILITY'!Q421+'RAP TEMPLATE-GAS AVAILABILITY'!R421)</f>
        <v>21.181693525179856</v>
      </c>
    </row>
    <row r="423" spans="1:29" ht="15.75" x14ac:dyDescent="0.25">
      <c r="A423" s="14">
        <v>53782</v>
      </c>
      <c r="B423" s="17">
        <f>CHOOSE(CONTROL!$C$42, 20.6894, 20.6894) * CHOOSE(CONTROL!$C$21, $C$9, 100%, $E$9)</f>
        <v>20.689399999999999</v>
      </c>
      <c r="C423" s="17">
        <f>CHOOSE(CONTROL!$C$42, 20.6945, 20.6945) * CHOOSE(CONTROL!$C$21, $C$9, 100%, $E$9)</f>
        <v>20.694500000000001</v>
      </c>
      <c r="D423" s="17">
        <f>CHOOSE(CONTROL!$C$42, 20.7913, 20.7913) * CHOOSE(CONTROL!$C$21, $C$9, 100%, $E$9)</f>
        <v>20.7913</v>
      </c>
      <c r="E423" s="17">
        <f>CHOOSE(CONTROL!$C$42, 20.8251, 20.8251) * CHOOSE(CONTROL!$C$21, $C$9, 100%, $E$9)</f>
        <v>20.825099999999999</v>
      </c>
      <c r="F423" s="17">
        <f>CHOOSE(CONTROL!$C$42, 20.703, 20.703)*CHOOSE(CONTROL!$C$21, $C$9, 100%, $E$9)</f>
        <v>20.702999999999999</v>
      </c>
      <c r="G423" s="17">
        <f>CHOOSE(CONTROL!$C$42, 20.7193, 20.7193)*CHOOSE(CONTROL!$C$21, $C$9, 100%, $E$9)</f>
        <v>20.7193</v>
      </c>
      <c r="H423" s="17">
        <f>CHOOSE(CONTROL!$C$42, 20.814, 20.814) * CHOOSE(CONTROL!$C$21, $C$9, 100%, $E$9)</f>
        <v>20.814</v>
      </c>
      <c r="I423" s="17">
        <f>CHOOSE(CONTROL!$C$42, 20.7786, 20.7786)* CHOOSE(CONTROL!$C$21, $C$9, 100%, $E$9)</f>
        <v>20.778600000000001</v>
      </c>
      <c r="J423" s="17">
        <f>CHOOSE(CONTROL!$C$42, 20.6956, 20.6956)* CHOOSE(CONTROL!$C$21, $C$9, 100%, $E$9)</f>
        <v>20.695599999999999</v>
      </c>
      <c r="K423" s="52">
        <f>CHOOSE(CONTROL!$C$42, 20.7725, 20.7725) * CHOOSE(CONTROL!$C$21, $C$9, 100%, $E$9)</f>
        <v>20.772500000000001</v>
      </c>
      <c r="L423" s="17">
        <f>CHOOSE(CONTROL!$C$42, 21.401, 21.401) * CHOOSE(CONTROL!$C$21, $C$9, 100%, $E$9)</f>
        <v>21.401</v>
      </c>
      <c r="M423" s="17">
        <f>CHOOSE(CONTROL!$C$42, 20.5165, 20.5165) * CHOOSE(CONTROL!$C$21, $C$9, 100%, $E$9)</f>
        <v>20.516500000000001</v>
      </c>
      <c r="N423" s="17">
        <f>CHOOSE(CONTROL!$C$42, 20.5326, 20.5326) * CHOOSE(CONTROL!$C$21, $C$9, 100%, $E$9)</f>
        <v>20.532599999999999</v>
      </c>
      <c r="O423" s="17">
        <f>CHOOSE(CONTROL!$C$42, 20.6338, 20.6338) * CHOOSE(CONTROL!$C$21, $C$9, 100%, $E$9)</f>
        <v>20.633800000000001</v>
      </c>
      <c r="P423" s="17">
        <f>CHOOSE(CONTROL!$C$42, 20.5982, 20.5982) * CHOOSE(CONTROL!$C$21, $C$9, 100%, $E$9)</f>
        <v>20.598199999999999</v>
      </c>
      <c r="Q423" s="17">
        <f>CHOOSE(CONTROL!$C$42, 21.2285, 21.2285) * CHOOSE(CONTROL!$C$21, $C$9, 100%, $E$9)</f>
        <v>21.2285</v>
      </c>
      <c r="R423" s="17">
        <f>CHOOSE(CONTROL!$C$42, 21.8686, 21.8686) * CHOOSE(CONTROL!$C$21, $C$9, 100%, $E$9)</f>
        <v>21.868600000000001</v>
      </c>
      <c r="S423" s="17">
        <f>CHOOSE(CONTROL!$C$42, 20.053, 20.053) * CHOOSE(CONTROL!$C$21, $C$9, 100%, $E$9)</f>
        <v>20.053000000000001</v>
      </c>
      <c r="T42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23" s="56">
        <f>(1000*CHOOSE(CONTROL!$C$42, 695, 695)*CHOOSE(CONTROL!$C$42, 0.5599, 0.5599)*CHOOSE(CONTROL!$C$42, 31, 31))/1000000</f>
        <v>12.063045499999998</v>
      </c>
      <c r="V423" s="56">
        <f>(1000*CHOOSE(CONTROL!$C$42, 500, 500)*CHOOSE(CONTROL!$C$42, 0.275, 0.275)*CHOOSE(CONTROL!$C$42, 31, 31))/1000000</f>
        <v>4.2625000000000002</v>
      </c>
      <c r="W423" s="56">
        <f>(1000*CHOOSE(CONTROL!$C$42, 0.0916, 0.0916)*CHOOSE(CONTROL!$C$42, 121.5, 121.5)*CHOOSE(CONTROL!$C$42, 31, 31))/1000000</f>
        <v>0.34501139999999997</v>
      </c>
      <c r="X423" s="56">
        <f>(31*0.2374*100000/1000000)</f>
        <v>0.73594000000000004</v>
      </c>
      <c r="Y423" s="56"/>
      <c r="Z423" s="17"/>
      <c r="AA423" s="55"/>
      <c r="AB423" s="48">
        <f>(B423*122.58+C423*297.941+D423*89.177+E423*140.302+F423*40+G423*60+H423*0+I423*100+J423*300)/(122.58+297.941+89.177+140.302+0+40+60+100+300)</f>
        <v>20.726585753739126</v>
      </c>
      <c r="AC423" s="45">
        <f>(M423*'RAP TEMPLATE-GAS AVAILABILITY'!O422+N423*'RAP TEMPLATE-GAS AVAILABILITY'!P422+O423*'RAP TEMPLATE-GAS AVAILABILITY'!Q422+P423*'RAP TEMPLATE-GAS AVAILABILITY'!R422)/('RAP TEMPLATE-GAS AVAILABILITY'!O422+'RAP TEMPLATE-GAS AVAILABILITY'!P422+'RAP TEMPLATE-GAS AVAILABILITY'!Q422+'RAP TEMPLATE-GAS AVAILABILITY'!R422)</f>
        <v>20.582346762589928</v>
      </c>
    </row>
    <row r="424" spans="1:29" ht="15.75" x14ac:dyDescent="0.25">
      <c r="A424" s="14">
        <v>53812</v>
      </c>
      <c r="B424" s="17">
        <f>CHOOSE(CONTROL!$C$42, 20.6285, 20.6285) * CHOOSE(CONTROL!$C$21, $C$9, 100%, $E$9)</f>
        <v>20.628499999999999</v>
      </c>
      <c r="C424" s="17">
        <f>CHOOSE(CONTROL!$C$42, 20.633, 20.633) * CHOOSE(CONTROL!$C$21, $C$9, 100%, $E$9)</f>
        <v>20.632999999999999</v>
      </c>
      <c r="D424" s="17">
        <f>CHOOSE(CONTROL!$C$42, 20.8806, 20.8806) * CHOOSE(CONTROL!$C$21, $C$9, 100%, $E$9)</f>
        <v>20.880600000000001</v>
      </c>
      <c r="E424" s="17">
        <f>CHOOSE(CONTROL!$C$42, 20.9124, 20.9124) * CHOOSE(CONTROL!$C$21, $C$9, 100%, $E$9)</f>
        <v>20.912400000000002</v>
      </c>
      <c r="F424" s="17">
        <f>CHOOSE(CONTROL!$C$42, 20.6401, 20.6401)*CHOOSE(CONTROL!$C$21, $C$9, 100%, $E$9)</f>
        <v>20.6401</v>
      </c>
      <c r="G424" s="17">
        <f>CHOOSE(CONTROL!$C$42, 20.6561, 20.6561)*CHOOSE(CONTROL!$C$21, $C$9, 100%, $E$9)</f>
        <v>20.656099999999999</v>
      </c>
      <c r="H424" s="17">
        <f>CHOOSE(CONTROL!$C$42, 20.9018, 20.9018) * CHOOSE(CONTROL!$C$21, $C$9, 100%, $E$9)</f>
        <v>20.901800000000001</v>
      </c>
      <c r="I424" s="17">
        <f>CHOOSE(CONTROL!$C$42, 20.7151, 20.7151)* CHOOSE(CONTROL!$C$21, $C$9, 100%, $E$9)</f>
        <v>20.7151</v>
      </c>
      <c r="J424" s="17">
        <f>CHOOSE(CONTROL!$C$42, 20.6327, 20.6327)* CHOOSE(CONTROL!$C$21, $C$9, 100%, $E$9)</f>
        <v>20.6327</v>
      </c>
      <c r="K424" s="52">
        <f>CHOOSE(CONTROL!$C$42, 20.7091, 20.7091) * CHOOSE(CONTROL!$C$21, $C$9, 100%, $E$9)</f>
        <v>20.709099999999999</v>
      </c>
      <c r="L424" s="17">
        <f>CHOOSE(CONTROL!$C$42, 21.4888, 21.4888) * CHOOSE(CONTROL!$C$21, $C$9, 100%, $E$9)</f>
        <v>21.488800000000001</v>
      </c>
      <c r="M424" s="17">
        <f>CHOOSE(CONTROL!$C$42, 20.4542, 20.4542) * CHOOSE(CONTROL!$C$21, $C$9, 100%, $E$9)</f>
        <v>20.4542</v>
      </c>
      <c r="N424" s="17">
        <f>CHOOSE(CONTROL!$C$42, 20.47, 20.47) * CHOOSE(CONTROL!$C$21, $C$9, 100%, $E$9)</f>
        <v>20.47</v>
      </c>
      <c r="O424" s="17">
        <f>CHOOSE(CONTROL!$C$42, 20.7208, 20.7208) * CHOOSE(CONTROL!$C$21, $C$9, 100%, $E$9)</f>
        <v>20.720800000000001</v>
      </c>
      <c r="P424" s="17">
        <f>CHOOSE(CONTROL!$C$42, 20.5353, 20.5353) * CHOOSE(CONTROL!$C$21, $C$9, 100%, $E$9)</f>
        <v>20.535299999999999</v>
      </c>
      <c r="Q424" s="17">
        <f>CHOOSE(CONTROL!$C$42, 21.3155, 21.3155) * CHOOSE(CONTROL!$C$21, $C$9, 100%, $E$9)</f>
        <v>21.3155</v>
      </c>
      <c r="R424" s="17">
        <f>CHOOSE(CONTROL!$C$42, 21.9558, 21.9558) * CHOOSE(CONTROL!$C$21, $C$9, 100%, $E$9)</f>
        <v>21.9558</v>
      </c>
      <c r="S424" s="17">
        <f>CHOOSE(CONTROL!$C$42, 19.9932, 19.9932) * CHOOSE(CONTROL!$C$21, $C$9, 100%, $E$9)</f>
        <v>19.993200000000002</v>
      </c>
      <c r="T42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24" s="56">
        <f>(1000*CHOOSE(CONTROL!$C$42, 695, 695)*CHOOSE(CONTROL!$C$42, 0.5599, 0.5599)*CHOOSE(CONTROL!$C$42, 30, 30))/1000000</f>
        <v>11.673914999999997</v>
      </c>
      <c r="V424" s="56">
        <f>(1000*CHOOSE(CONTROL!$C$42, 500, 500)*CHOOSE(CONTROL!$C$42, 0.275, 0.275)*CHOOSE(CONTROL!$C$42, 30, 30))/1000000</f>
        <v>4.125</v>
      </c>
      <c r="W424" s="56">
        <f>(1000*CHOOSE(CONTROL!$C$42, 0.0916, 0.0916)*CHOOSE(CONTROL!$C$42, 121.5, 121.5)*CHOOSE(CONTROL!$C$42, 30, 30))/1000000</f>
        <v>0.33388200000000001</v>
      </c>
      <c r="X424" s="56">
        <f>(30*0.1790888*145000/1000000)+(30*0.2374*100000/1000000)</f>
        <v>1.4912362799999999</v>
      </c>
      <c r="Y424" s="56"/>
      <c r="Z424" s="17"/>
      <c r="AA424" s="55"/>
      <c r="AB424" s="48">
        <f>(B424*141.293+C424*267.993+D424*115.016+E424*189.698+F424*40+G424*85+H424*0+I424*100+J424*300)/(141.293+267.993+115.016+189.698+0+40+85+100+300)</f>
        <v>20.70661683962873</v>
      </c>
      <c r="AC424" s="45">
        <f>(M424*'RAP TEMPLATE-GAS AVAILABILITY'!O423+N424*'RAP TEMPLATE-GAS AVAILABILITY'!P423+O424*'RAP TEMPLATE-GAS AVAILABILITY'!Q423+P424*'RAP TEMPLATE-GAS AVAILABILITY'!R423)/('RAP TEMPLATE-GAS AVAILABILITY'!O423+'RAP TEMPLATE-GAS AVAILABILITY'!P423+'RAP TEMPLATE-GAS AVAILABILITY'!Q423+'RAP TEMPLATE-GAS AVAILABILITY'!R423)</f>
        <v>20.544307913669062</v>
      </c>
    </row>
    <row r="425" spans="1:29" ht="15.75" x14ac:dyDescent="0.25">
      <c r="A425" s="14">
        <v>53843</v>
      </c>
      <c r="B425" s="17">
        <f>CHOOSE(CONTROL!$C$42, 20.8118, 20.8118) * CHOOSE(CONTROL!$C$21, $C$9, 100%, $E$9)</f>
        <v>20.811800000000002</v>
      </c>
      <c r="C425" s="17">
        <f>CHOOSE(CONTROL!$C$42, 20.8198, 20.8198) * CHOOSE(CONTROL!$C$21, $C$9, 100%, $E$9)</f>
        <v>20.819800000000001</v>
      </c>
      <c r="D425" s="17">
        <f>CHOOSE(CONTROL!$C$42, 21.0643, 21.0643) * CHOOSE(CONTROL!$C$21, $C$9, 100%, $E$9)</f>
        <v>21.064299999999999</v>
      </c>
      <c r="E425" s="17">
        <f>CHOOSE(CONTROL!$C$42, 21.0955, 21.0955) * CHOOSE(CONTROL!$C$21, $C$9, 100%, $E$9)</f>
        <v>21.095500000000001</v>
      </c>
      <c r="F425" s="17">
        <f>CHOOSE(CONTROL!$C$42, 20.8224, 20.8224)*CHOOSE(CONTROL!$C$21, $C$9, 100%, $E$9)</f>
        <v>20.822399999999998</v>
      </c>
      <c r="G425" s="17">
        <f>CHOOSE(CONTROL!$C$42, 20.8386, 20.8386)*CHOOSE(CONTROL!$C$21, $C$9, 100%, $E$9)</f>
        <v>20.8386</v>
      </c>
      <c r="H425" s="17">
        <f>CHOOSE(CONTROL!$C$42, 21.0838, 21.0838) * CHOOSE(CONTROL!$C$21, $C$9, 100%, $E$9)</f>
        <v>21.0838</v>
      </c>
      <c r="I425" s="17">
        <f>CHOOSE(CONTROL!$C$42, 20.8977, 20.8977)* CHOOSE(CONTROL!$C$21, $C$9, 100%, $E$9)</f>
        <v>20.8977</v>
      </c>
      <c r="J425" s="17">
        <f>CHOOSE(CONTROL!$C$42, 20.815, 20.815)* CHOOSE(CONTROL!$C$21, $C$9, 100%, $E$9)</f>
        <v>20.815000000000001</v>
      </c>
      <c r="K425" s="52">
        <f>CHOOSE(CONTROL!$C$42, 20.8916, 20.8916) * CHOOSE(CONTROL!$C$21, $C$9, 100%, $E$9)</f>
        <v>20.8916</v>
      </c>
      <c r="L425" s="17">
        <f>CHOOSE(CONTROL!$C$42, 21.6708, 21.6708) * CHOOSE(CONTROL!$C$21, $C$9, 100%, $E$9)</f>
        <v>21.6708</v>
      </c>
      <c r="M425" s="17">
        <f>CHOOSE(CONTROL!$C$42, 20.6348, 20.6348) * CHOOSE(CONTROL!$C$21, $C$9, 100%, $E$9)</f>
        <v>20.634799999999998</v>
      </c>
      <c r="N425" s="17">
        <f>CHOOSE(CONTROL!$C$42, 20.6509, 20.6509) * CHOOSE(CONTROL!$C$21, $C$9, 100%, $E$9)</f>
        <v>20.6509</v>
      </c>
      <c r="O425" s="17">
        <f>CHOOSE(CONTROL!$C$42, 20.9012, 20.9012) * CHOOSE(CONTROL!$C$21, $C$9, 100%, $E$9)</f>
        <v>20.901199999999999</v>
      </c>
      <c r="P425" s="17">
        <f>CHOOSE(CONTROL!$C$42, 20.7162, 20.7162) * CHOOSE(CONTROL!$C$21, $C$9, 100%, $E$9)</f>
        <v>20.716200000000001</v>
      </c>
      <c r="Q425" s="17">
        <f>CHOOSE(CONTROL!$C$42, 21.4959, 21.4959) * CHOOSE(CONTROL!$C$21, $C$9, 100%, $E$9)</f>
        <v>21.495899999999999</v>
      </c>
      <c r="R425" s="17">
        <f>CHOOSE(CONTROL!$C$42, 22.1366, 22.1366) * CHOOSE(CONTROL!$C$21, $C$9, 100%, $E$9)</f>
        <v>22.136600000000001</v>
      </c>
      <c r="S425" s="17">
        <f>CHOOSE(CONTROL!$C$42, 20.1697, 20.1697) * CHOOSE(CONTROL!$C$21, $C$9, 100%, $E$9)</f>
        <v>20.169699999999999</v>
      </c>
      <c r="T42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25" s="56">
        <f>(1000*CHOOSE(CONTROL!$C$42, 695, 695)*CHOOSE(CONTROL!$C$42, 0.5599, 0.5599)*CHOOSE(CONTROL!$C$42, 31, 31))/1000000</f>
        <v>12.063045499999998</v>
      </c>
      <c r="V425" s="56">
        <f>(1000*CHOOSE(CONTROL!$C$42, 500, 500)*CHOOSE(CONTROL!$C$42, 0.275, 0.275)*CHOOSE(CONTROL!$C$42, 31, 31))/1000000</f>
        <v>4.2625000000000002</v>
      </c>
      <c r="W425" s="56">
        <f>(1000*CHOOSE(CONTROL!$C$42, 0.0916, 0.0916)*CHOOSE(CONTROL!$C$42, 121.5, 121.5)*CHOOSE(CONTROL!$C$42, 31, 31))/1000000</f>
        <v>0.34501139999999997</v>
      </c>
      <c r="X425" s="56">
        <f>(31*0.1790888*145000/1000000)+(31*0.2374*100000/1000000)</f>
        <v>1.5409441560000001</v>
      </c>
      <c r="Y425" s="56"/>
      <c r="Z425" s="17"/>
      <c r="AA425" s="55"/>
      <c r="AB425" s="48">
        <f>(B425*194.205+C425*267.466+D425*133.845+E425*153.484+F425*40+G425*85+H425*0+I425*100+J425*300)/(194.205+267.466+133.845+153.484+0+40+85+100+300)</f>
        <v>20.883802355808477</v>
      </c>
      <c r="AC425" s="45">
        <f>(M425*'RAP TEMPLATE-GAS AVAILABILITY'!O424+N425*'RAP TEMPLATE-GAS AVAILABILITY'!P424+O425*'RAP TEMPLATE-GAS AVAILABILITY'!Q424+P425*'RAP TEMPLATE-GAS AVAILABILITY'!R424)/('RAP TEMPLATE-GAS AVAILABILITY'!O424+'RAP TEMPLATE-GAS AVAILABILITY'!P424+'RAP TEMPLATE-GAS AVAILABILITY'!Q424+'RAP TEMPLATE-GAS AVAILABILITY'!R424)</f>
        <v>20.724964028776977</v>
      </c>
    </row>
    <row r="426" spans="1:29" ht="15.75" x14ac:dyDescent="0.25">
      <c r="A426" s="14">
        <v>53873</v>
      </c>
      <c r="B426" s="17">
        <f>CHOOSE(CONTROL!$C$42, 21.4018, 21.4018) * CHOOSE(CONTROL!$C$21, $C$9, 100%, $E$9)</f>
        <v>21.401800000000001</v>
      </c>
      <c r="C426" s="17">
        <f>CHOOSE(CONTROL!$C$42, 21.4098, 21.4098) * CHOOSE(CONTROL!$C$21, $C$9, 100%, $E$9)</f>
        <v>21.409800000000001</v>
      </c>
      <c r="D426" s="17">
        <f>CHOOSE(CONTROL!$C$42, 21.6543, 21.6543) * CHOOSE(CONTROL!$C$21, $C$9, 100%, $E$9)</f>
        <v>21.654299999999999</v>
      </c>
      <c r="E426" s="17">
        <f>CHOOSE(CONTROL!$C$42, 21.6854, 21.6854) * CHOOSE(CONTROL!$C$21, $C$9, 100%, $E$9)</f>
        <v>21.685400000000001</v>
      </c>
      <c r="F426" s="17">
        <f>CHOOSE(CONTROL!$C$42, 21.4127, 21.4127)*CHOOSE(CONTROL!$C$21, $C$9, 100%, $E$9)</f>
        <v>21.412700000000001</v>
      </c>
      <c r="G426" s="17">
        <f>CHOOSE(CONTROL!$C$42, 21.429, 21.429)*CHOOSE(CONTROL!$C$21, $C$9, 100%, $E$9)</f>
        <v>21.428999999999998</v>
      </c>
      <c r="H426" s="17">
        <f>CHOOSE(CONTROL!$C$42, 21.6738, 21.6738) * CHOOSE(CONTROL!$C$21, $C$9, 100%, $E$9)</f>
        <v>21.6738</v>
      </c>
      <c r="I426" s="17">
        <f>CHOOSE(CONTROL!$C$42, 21.4895, 21.4895)* CHOOSE(CONTROL!$C$21, $C$9, 100%, $E$9)</f>
        <v>21.4895</v>
      </c>
      <c r="J426" s="17">
        <f>CHOOSE(CONTROL!$C$42, 21.4053, 21.4053)* CHOOSE(CONTROL!$C$21, $C$9, 100%, $E$9)</f>
        <v>21.4053</v>
      </c>
      <c r="K426" s="52">
        <f>CHOOSE(CONTROL!$C$42, 21.4835, 21.4835) * CHOOSE(CONTROL!$C$21, $C$9, 100%, $E$9)</f>
        <v>21.483499999999999</v>
      </c>
      <c r="L426" s="17">
        <f>CHOOSE(CONTROL!$C$42, 22.2608, 22.2608) * CHOOSE(CONTROL!$C$21, $C$9, 100%, $E$9)</f>
        <v>22.2608</v>
      </c>
      <c r="M426" s="17">
        <f>CHOOSE(CONTROL!$C$42, 21.2198, 21.2198) * CHOOSE(CONTROL!$C$21, $C$9, 100%, $E$9)</f>
        <v>21.219799999999999</v>
      </c>
      <c r="N426" s="17">
        <f>CHOOSE(CONTROL!$C$42, 21.236, 21.236) * CHOOSE(CONTROL!$C$21, $C$9, 100%, $E$9)</f>
        <v>21.236000000000001</v>
      </c>
      <c r="O426" s="17">
        <f>CHOOSE(CONTROL!$C$42, 21.4859, 21.4859) * CHOOSE(CONTROL!$C$21, $C$9, 100%, $E$9)</f>
        <v>21.485900000000001</v>
      </c>
      <c r="P426" s="17">
        <f>CHOOSE(CONTROL!$C$42, 21.3027, 21.3027) * CHOOSE(CONTROL!$C$21, $C$9, 100%, $E$9)</f>
        <v>21.302700000000002</v>
      </c>
      <c r="Q426" s="17">
        <f>CHOOSE(CONTROL!$C$42, 22.0806, 22.0806) * CHOOSE(CONTROL!$C$21, $C$9, 100%, $E$9)</f>
        <v>22.0806</v>
      </c>
      <c r="R426" s="17">
        <f>CHOOSE(CONTROL!$C$42, 22.7228, 22.7228) * CHOOSE(CONTROL!$C$21, $C$9, 100%, $E$9)</f>
        <v>22.722799999999999</v>
      </c>
      <c r="S426" s="17">
        <f>CHOOSE(CONTROL!$C$42, 20.7418, 20.7418) * CHOOSE(CONTROL!$C$21, $C$9, 100%, $E$9)</f>
        <v>20.741800000000001</v>
      </c>
      <c r="T42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26" s="56">
        <f>(1000*CHOOSE(CONTROL!$C$42, 695, 695)*CHOOSE(CONTROL!$C$42, 0.5599, 0.5599)*CHOOSE(CONTROL!$C$42, 30, 30))/1000000</f>
        <v>11.673914999999997</v>
      </c>
      <c r="V426" s="56">
        <f>(1000*CHOOSE(CONTROL!$C$42, 500, 500)*CHOOSE(CONTROL!$C$42, 0.275, 0.275)*CHOOSE(CONTROL!$C$42, 30, 30))/1000000</f>
        <v>4.125</v>
      </c>
      <c r="W426" s="56">
        <f>(1000*CHOOSE(CONTROL!$C$42, 0.0916, 0.0916)*CHOOSE(CONTROL!$C$42, 121.5, 121.5)*CHOOSE(CONTROL!$C$42, 30, 30))/1000000</f>
        <v>0.33388200000000001</v>
      </c>
      <c r="X426" s="56">
        <f>(30*0.1790888*145000/1000000)+(30*0.2374*100000/1000000)</f>
        <v>1.4912362799999999</v>
      </c>
      <c r="Y426" s="56"/>
      <c r="Z426" s="17"/>
      <c r="AA426" s="55"/>
      <c r="AB426" s="48">
        <f>(B426*194.205+C426*267.466+D426*133.845+E426*153.484+F426*40+G426*85+H426*0+I426*100+J426*300)/(194.205+267.466+133.845+153.484+0+40+85+100+300)</f>
        <v>21.474038346075357</v>
      </c>
      <c r="AC426" s="45">
        <f>(M426*'RAP TEMPLATE-GAS AVAILABILITY'!O425+N426*'RAP TEMPLATE-GAS AVAILABILITY'!P425+O426*'RAP TEMPLATE-GAS AVAILABILITY'!Q425+P426*'RAP TEMPLATE-GAS AVAILABILITY'!R425)/('RAP TEMPLATE-GAS AVAILABILITY'!O425+'RAP TEMPLATE-GAS AVAILABILITY'!P425+'RAP TEMPLATE-GAS AVAILABILITY'!Q425+'RAP TEMPLATE-GAS AVAILABILITY'!R425)</f>
        <v>21.310118705035972</v>
      </c>
    </row>
    <row r="427" spans="1:29" ht="15.75" x14ac:dyDescent="0.25">
      <c r="A427" s="14">
        <v>53904</v>
      </c>
      <c r="B427" s="17">
        <f>CHOOSE(CONTROL!$C$42, 20.9915, 20.9915) * CHOOSE(CONTROL!$C$21, $C$9, 100%, $E$9)</f>
        <v>20.991499999999998</v>
      </c>
      <c r="C427" s="17">
        <f>CHOOSE(CONTROL!$C$42, 20.9995, 20.9995) * CHOOSE(CONTROL!$C$21, $C$9, 100%, $E$9)</f>
        <v>20.999500000000001</v>
      </c>
      <c r="D427" s="17">
        <f>CHOOSE(CONTROL!$C$42, 21.2439, 21.2439) * CHOOSE(CONTROL!$C$21, $C$9, 100%, $E$9)</f>
        <v>21.2439</v>
      </c>
      <c r="E427" s="17">
        <f>CHOOSE(CONTROL!$C$42, 21.2751, 21.2751) * CHOOSE(CONTROL!$C$21, $C$9, 100%, $E$9)</f>
        <v>21.275099999999998</v>
      </c>
      <c r="F427" s="17">
        <f>CHOOSE(CONTROL!$C$42, 21.0028, 21.0028)*CHOOSE(CONTROL!$C$21, $C$9, 100%, $E$9)</f>
        <v>21.002800000000001</v>
      </c>
      <c r="G427" s="17">
        <f>CHOOSE(CONTROL!$C$42, 21.0192, 21.0192)*CHOOSE(CONTROL!$C$21, $C$9, 100%, $E$9)</f>
        <v>21.019200000000001</v>
      </c>
      <c r="H427" s="17">
        <f>CHOOSE(CONTROL!$C$42, 21.2634, 21.2634) * CHOOSE(CONTROL!$C$21, $C$9, 100%, $E$9)</f>
        <v>21.263400000000001</v>
      </c>
      <c r="I427" s="17">
        <f>CHOOSE(CONTROL!$C$42, 21.0779, 21.0779)* CHOOSE(CONTROL!$C$21, $C$9, 100%, $E$9)</f>
        <v>21.0779</v>
      </c>
      <c r="J427" s="17">
        <f>CHOOSE(CONTROL!$C$42, 20.9954, 20.9954)* CHOOSE(CONTROL!$C$21, $C$9, 100%, $E$9)</f>
        <v>20.9954</v>
      </c>
      <c r="K427" s="52">
        <f>CHOOSE(CONTROL!$C$42, 21.0718, 21.0718) * CHOOSE(CONTROL!$C$21, $C$9, 100%, $E$9)</f>
        <v>21.0718</v>
      </c>
      <c r="L427" s="17">
        <f>CHOOSE(CONTROL!$C$42, 21.8504, 21.8504) * CHOOSE(CONTROL!$C$21, $C$9, 100%, $E$9)</f>
        <v>21.8504</v>
      </c>
      <c r="M427" s="17">
        <f>CHOOSE(CONTROL!$C$42, 20.8136, 20.8136) * CHOOSE(CONTROL!$C$21, $C$9, 100%, $E$9)</f>
        <v>20.813600000000001</v>
      </c>
      <c r="N427" s="17">
        <f>CHOOSE(CONTROL!$C$42, 20.8299, 20.8299) * CHOOSE(CONTROL!$C$21, $C$9, 100%, $E$9)</f>
        <v>20.829899999999999</v>
      </c>
      <c r="O427" s="17">
        <f>CHOOSE(CONTROL!$C$42, 21.0792, 21.0792) * CHOOSE(CONTROL!$C$21, $C$9, 100%, $E$9)</f>
        <v>21.0792</v>
      </c>
      <c r="P427" s="17">
        <f>CHOOSE(CONTROL!$C$42, 20.8948, 20.8948) * CHOOSE(CONTROL!$C$21, $C$9, 100%, $E$9)</f>
        <v>20.8948</v>
      </c>
      <c r="Q427" s="17">
        <f>CHOOSE(CONTROL!$C$42, 21.6739, 21.6739) * CHOOSE(CONTROL!$C$21, $C$9, 100%, $E$9)</f>
        <v>21.6739</v>
      </c>
      <c r="R427" s="17">
        <f>CHOOSE(CONTROL!$C$42, 22.3151, 22.3151) * CHOOSE(CONTROL!$C$21, $C$9, 100%, $E$9)</f>
        <v>22.315100000000001</v>
      </c>
      <c r="S427" s="17">
        <f>CHOOSE(CONTROL!$C$42, 20.3439, 20.3439) * CHOOSE(CONTROL!$C$21, $C$9, 100%, $E$9)</f>
        <v>20.343900000000001</v>
      </c>
      <c r="T42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27" s="56">
        <f>(1000*CHOOSE(CONTROL!$C$42, 695, 695)*CHOOSE(CONTROL!$C$42, 0.5599, 0.5599)*CHOOSE(CONTROL!$C$42, 31, 31))/1000000</f>
        <v>12.063045499999998</v>
      </c>
      <c r="V427" s="56">
        <f>(1000*CHOOSE(CONTROL!$C$42, 500, 500)*CHOOSE(CONTROL!$C$42, 0.275, 0.275)*CHOOSE(CONTROL!$C$42, 31, 31))/1000000</f>
        <v>4.2625000000000002</v>
      </c>
      <c r="W427" s="56">
        <f>(1000*CHOOSE(CONTROL!$C$42, 0.0916, 0.0916)*CHOOSE(CONTROL!$C$42, 121.5, 121.5)*CHOOSE(CONTROL!$C$42, 31, 31))/1000000</f>
        <v>0.34501139999999997</v>
      </c>
      <c r="X427" s="56">
        <f>(31*0.1790888*145000/1000000)+(31*0.2374*100000/1000000)</f>
        <v>1.5409441560000001</v>
      </c>
      <c r="Y427" s="56"/>
      <c r="Z427" s="17"/>
      <c r="AA427" s="55"/>
      <c r="AB427" s="48">
        <f>(B427*194.205+C427*267.466+D427*133.845+E427*153.484+F427*40+G427*85+H427*0+I427*100+J427*300)/(194.205+267.466+133.845+153.484+0+40+85+100+300)</f>
        <v>21.06376590926217</v>
      </c>
      <c r="AC427" s="45">
        <f>(M427*'RAP TEMPLATE-GAS AVAILABILITY'!O426+N427*'RAP TEMPLATE-GAS AVAILABILITY'!P426+O427*'RAP TEMPLATE-GAS AVAILABILITY'!Q426+P427*'RAP TEMPLATE-GAS AVAILABILITY'!R426)/('RAP TEMPLATE-GAS AVAILABILITY'!O426+'RAP TEMPLATE-GAS AVAILABILITY'!P426+'RAP TEMPLATE-GAS AVAILABILITY'!Q426+'RAP TEMPLATE-GAS AVAILABILITY'!R426)</f>
        <v>20.90355683453237</v>
      </c>
    </row>
    <row r="428" spans="1:29" ht="15.75" x14ac:dyDescent="0.25">
      <c r="A428" s="14">
        <v>53935</v>
      </c>
      <c r="B428" s="17">
        <f>CHOOSE(CONTROL!$C$42, 19.9552, 19.9552) * CHOOSE(CONTROL!$C$21, $C$9, 100%, $E$9)</f>
        <v>19.955200000000001</v>
      </c>
      <c r="C428" s="17">
        <f>CHOOSE(CONTROL!$C$42, 19.9632, 19.9632) * CHOOSE(CONTROL!$C$21, $C$9, 100%, $E$9)</f>
        <v>19.963200000000001</v>
      </c>
      <c r="D428" s="17">
        <f>CHOOSE(CONTROL!$C$42, 20.2077, 20.2077) * CHOOSE(CONTROL!$C$21, $C$9, 100%, $E$9)</f>
        <v>20.207699999999999</v>
      </c>
      <c r="E428" s="17">
        <f>CHOOSE(CONTROL!$C$42, 20.2389, 20.2389) * CHOOSE(CONTROL!$C$21, $C$9, 100%, $E$9)</f>
        <v>20.238900000000001</v>
      </c>
      <c r="F428" s="17">
        <f>CHOOSE(CONTROL!$C$42, 19.9668, 19.9668)*CHOOSE(CONTROL!$C$21, $C$9, 100%, $E$9)</f>
        <v>19.966799999999999</v>
      </c>
      <c r="G428" s="17">
        <f>CHOOSE(CONTROL!$C$42, 19.9833, 19.9833)*CHOOSE(CONTROL!$C$21, $C$9, 100%, $E$9)</f>
        <v>19.9833</v>
      </c>
      <c r="H428" s="17">
        <f>CHOOSE(CONTROL!$C$42, 20.2272, 20.2272) * CHOOSE(CONTROL!$C$21, $C$9, 100%, $E$9)</f>
        <v>20.2272</v>
      </c>
      <c r="I428" s="17">
        <f>CHOOSE(CONTROL!$C$42, 20.0384, 20.0384)* CHOOSE(CONTROL!$C$21, $C$9, 100%, $E$9)</f>
        <v>20.038399999999999</v>
      </c>
      <c r="J428" s="17">
        <f>CHOOSE(CONTROL!$C$42, 19.9594, 19.9594)* CHOOSE(CONTROL!$C$21, $C$9, 100%, $E$9)</f>
        <v>19.959399999999999</v>
      </c>
      <c r="K428" s="52">
        <f>CHOOSE(CONTROL!$C$42, 20.0324, 20.0324) * CHOOSE(CONTROL!$C$21, $C$9, 100%, $E$9)</f>
        <v>20.032399999999999</v>
      </c>
      <c r="L428" s="17">
        <f>CHOOSE(CONTROL!$C$42, 20.8142, 20.8142) * CHOOSE(CONTROL!$C$21, $C$9, 100%, $E$9)</f>
        <v>20.8142</v>
      </c>
      <c r="M428" s="17">
        <f>CHOOSE(CONTROL!$C$42, 19.7869, 19.7869) * CHOOSE(CONTROL!$C$21, $C$9, 100%, $E$9)</f>
        <v>19.786899999999999</v>
      </c>
      <c r="N428" s="17">
        <f>CHOOSE(CONTROL!$C$42, 19.8032, 19.8032) * CHOOSE(CONTROL!$C$21, $C$9, 100%, $E$9)</f>
        <v>19.8032</v>
      </c>
      <c r="O428" s="17">
        <f>CHOOSE(CONTROL!$C$42, 20.0523, 20.0523) * CHOOSE(CONTROL!$C$21, $C$9, 100%, $E$9)</f>
        <v>20.052299999999999</v>
      </c>
      <c r="P428" s="17">
        <f>CHOOSE(CONTROL!$C$42, 19.8647, 19.8647) * CHOOSE(CONTROL!$C$21, $C$9, 100%, $E$9)</f>
        <v>19.864699999999999</v>
      </c>
      <c r="Q428" s="17">
        <f>CHOOSE(CONTROL!$C$42, 20.647, 20.647) * CHOOSE(CONTROL!$C$21, $C$9, 100%, $E$9)</f>
        <v>20.646999999999998</v>
      </c>
      <c r="R428" s="17">
        <f>CHOOSE(CONTROL!$C$42, 21.2856, 21.2856) * CHOOSE(CONTROL!$C$21, $C$9, 100%, $E$9)</f>
        <v>21.285599999999999</v>
      </c>
      <c r="S428" s="17">
        <f>CHOOSE(CONTROL!$C$42, 19.339, 19.339) * CHOOSE(CONTROL!$C$21, $C$9, 100%, $E$9)</f>
        <v>19.338999999999999</v>
      </c>
      <c r="T42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28" s="56">
        <f>(1000*CHOOSE(CONTROL!$C$42, 695, 695)*CHOOSE(CONTROL!$C$42, 0.5599, 0.5599)*CHOOSE(CONTROL!$C$42, 31, 31))/1000000</f>
        <v>12.063045499999998</v>
      </c>
      <c r="V428" s="56">
        <f>(1000*CHOOSE(CONTROL!$C$42, 500, 500)*CHOOSE(CONTROL!$C$42, 0.275, 0.275)*CHOOSE(CONTROL!$C$42, 31, 31))/1000000</f>
        <v>4.2625000000000002</v>
      </c>
      <c r="W428" s="56">
        <f>(1000*CHOOSE(CONTROL!$C$42, 0.0916, 0.0916)*CHOOSE(CONTROL!$C$42, 121.5, 121.5)*CHOOSE(CONTROL!$C$42, 31, 31))/1000000</f>
        <v>0.34501139999999997</v>
      </c>
      <c r="X428" s="56">
        <f>(31*0.1790888*145000/1000000)+(31*0.2374*100000/1000000)</f>
        <v>1.5409441560000001</v>
      </c>
      <c r="Y428" s="56"/>
      <c r="Z428" s="17"/>
      <c r="AA428" s="55"/>
      <c r="AB428" s="48">
        <f>(B428*194.205+C428*267.466+D428*133.845+E428*153.484+F428*40+G428*85+H428*0+I428*100+J428*300)/(194.205+267.466+133.845+153.484+0+40+85+100+300)</f>
        <v>20.027344035557302</v>
      </c>
      <c r="AC428" s="45">
        <f>(M428*'RAP TEMPLATE-GAS AVAILABILITY'!O427+N428*'RAP TEMPLATE-GAS AVAILABILITY'!P427+O428*'RAP TEMPLATE-GAS AVAILABILITY'!Q427+P428*'RAP TEMPLATE-GAS AVAILABILITY'!R427)/('RAP TEMPLATE-GAS AVAILABILITY'!O427+'RAP TEMPLATE-GAS AVAILABILITY'!P427+'RAP TEMPLATE-GAS AVAILABILITY'!Q427+'RAP TEMPLATE-GAS AVAILABILITY'!R427)</f>
        <v>19.876311510791368</v>
      </c>
    </row>
    <row r="429" spans="1:29" ht="15.75" x14ac:dyDescent="0.25">
      <c r="A429" s="14">
        <v>53965</v>
      </c>
      <c r="B429" s="17">
        <f>CHOOSE(CONTROL!$C$42, 18.6889, 18.6889) * CHOOSE(CONTROL!$C$21, $C$9, 100%, $E$9)</f>
        <v>18.6889</v>
      </c>
      <c r="C429" s="17">
        <f>CHOOSE(CONTROL!$C$42, 18.6969, 18.6969) * CHOOSE(CONTROL!$C$21, $C$9, 100%, $E$9)</f>
        <v>18.696899999999999</v>
      </c>
      <c r="D429" s="17">
        <f>CHOOSE(CONTROL!$C$42, 18.9414, 18.9414) * CHOOSE(CONTROL!$C$21, $C$9, 100%, $E$9)</f>
        <v>18.941400000000002</v>
      </c>
      <c r="E429" s="17">
        <f>CHOOSE(CONTROL!$C$42, 18.9725, 18.9725) * CHOOSE(CONTROL!$C$21, $C$9, 100%, $E$9)</f>
        <v>18.9725</v>
      </c>
      <c r="F429" s="17">
        <f>CHOOSE(CONTROL!$C$42, 18.7005, 18.7005)*CHOOSE(CONTROL!$C$21, $C$9, 100%, $E$9)</f>
        <v>18.700500000000002</v>
      </c>
      <c r="G429" s="17">
        <f>CHOOSE(CONTROL!$C$42, 18.717, 18.717)*CHOOSE(CONTROL!$C$21, $C$9, 100%, $E$9)</f>
        <v>18.716999999999999</v>
      </c>
      <c r="H429" s="17">
        <f>CHOOSE(CONTROL!$C$42, 18.9609, 18.9609) * CHOOSE(CONTROL!$C$21, $C$9, 100%, $E$9)</f>
        <v>18.960899999999999</v>
      </c>
      <c r="I429" s="17">
        <f>CHOOSE(CONTROL!$C$42, 18.7682, 18.7682)* CHOOSE(CONTROL!$C$21, $C$9, 100%, $E$9)</f>
        <v>18.7682</v>
      </c>
      <c r="J429" s="17">
        <f>CHOOSE(CONTROL!$C$42, 18.6931, 18.6931)* CHOOSE(CONTROL!$C$21, $C$9, 100%, $E$9)</f>
        <v>18.693100000000001</v>
      </c>
      <c r="K429" s="52">
        <f>CHOOSE(CONTROL!$C$42, 18.7621, 18.7621) * CHOOSE(CONTROL!$C$21, $C$9, 100%, $E$9)</f>
        <v>18.7621</v>
      </c>
      <c r="L429" s="17">
        <f>CHOOSE(CONTROL!$C$42, 19.5479, 19.5479) * CHOOSE(CONTROL!$C$21, $C$9, 100%, $E$9)</f>
        <v>19.547899999999998</v>
      </c>
      <c r="M429" s="17">
        <f>CHOOSE(CONTROL!$C$42, 18.532, 18.532) * CHOOSE(CONTROL!$C$21, $C$9, 100%, $E$9)</f>
        <v>18.532</v>
      </c>
      <c r="N429" s="17">
        <f>CHOOSE(CONTROL!$C$42, 18.5484, 18.5484) * CHOOSE(CONTROL!$C$21, $C$9, 100%, $E$9)</f>
        <v>18.548400000000001</v>
      </c>
      <c r="O429" s="17">
        <f>CHOOSE(CONTROL!$C$42, 18.7973, 18.7973) * CHOOSE(CONTROL!$C$21, $C$9, 100%, $E$9)</f>
        <v>18.7973</v>
      </c>
      <c r="P429" s="17">
        <f>CHOOSE(CONTROL!$C$42, 18.6059, 18.6059) * CHOOSE(CONTROL!$C$21, $C$9, 100%, $E$9)</f>
        <v>18.605899999999998</v>
      </c>
      <c r="Q429" s="17">
        <f>CHOOSE(CONTROL!$C$42, 19.392, 19.392) * CHOOSE(CONTROL!$C$21, $C$9, 100%, $E$9)</f>
        <v>19.391999999999999</v>
      </c>
      <c r="R429" s="17">
        <f>CHOOSE(CONTROL!$C$42, 20.0275, 20.0275) * CHOOSE(CONTROL!$C$21, $C$9, 100%, $E$9)</f>
        <v>20.0275</v>
      </c>
      <c r="S429" s="17">
        <f>CHOOSE(CONTROL!$C$42, 18.1111, 18.1111) * CHOOSE(CONTROL!$C$21, $C$9, 100%, $E$9)</f>
        <v>18.1111</v>
      </c>
      <c r="T42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29" s="56">
        <f>(1000*CHOOSE(CONTROL!$C$42, 695, 695)*CHOOSE(CONTROL!$C$42, 0.5599, 0.5599)*CHOOSE(CONTROL!$C$42, 30, 30))/1000000</f>
        <v>11.673914999999997</v>
      </c>
      <c r="V429" s="56">
        <f>(1000*CHOOSE(CONTROL!$C$42, 500, 500)*CHOOSE(CONTROL!$C$42, 0.275, 0.275)*CHOOSE(CONTROL!$C$42, 30, 30))/1000000</f>
        <v>4.125</v>
      </c>
      <c r="W429" s="56">
        <f>(1000*CHOOSE(CONTROL!$C$42, 0.0916, 0.0916)*CHOOSE(CONTROL!$C$42, 121.5, 121.5)*CHOOSE(CONTROL!$C$42, 30, 30))/1000000</f>
        <v>0.33388200000000001</v>
      </c>
      <c r="X429" s="56">
        <f>(30*0.1790888*145000/1000000)+(30*0.2374*100000/1000000)</f>
        <v>1.4912362799999999</v>
      </c>
      <c r="Y429" s="56"/>
      <c r="Z429" s="17"/>
      <c r="AA429" s="55"/>
      <c r="AB429" s="48">
        <f>(B429*194.205+C429*267.466+D429*133.845+E429*153.484+F429*40+G429*85+H429*0+I429*100+J429*300)/(194.205+267.466+133.845+153.484+0+40+85+100+300)</f>
        <v>18.760725865698586</v>
      </c>
      <c r="AC429" s="45">
        <f>(M429*'RAP TEMPLATE-GAS AVAILABILITY'!O428+N429*'RAP TEMPLATE-GAS AVAILABILITY'!P428+O429*'RAP TEMPLATE-GAS AVAILABILITY'!Q428+P429*'RAP TEMPLATE-GAS AVAILABILITY'!R428)/('RAP TEMPLATE-GAS AVAILABILITY'!O428+'RAP TEMPLATE-GAS AVAILABILITY'!P428+'RAP TEMPLATE-GAS AVAILABILITY'!Q428+'RAP TEMPLATE-GAS AVAILABILITY'!R428)</f>
        <v>18.620845323741008</v>
      </c>
    </row>
    <row r="430" spans="1:29" ht="15.75" x14ac:dyDescent="0.25">
      <c r="A430" s="14">
        <v>53996</v>
      </c>
      <c r="B430" s="17">
        <f>CHOOSE(CONTROL!$C$42, 18.308, 18.308) * CHOOSE(CONTROL!$C$21, $C$9, 100%, $E$9)</f>
        <v>18.308</v>
      </c>
      <c r="C430" s="17">
        <f>CHOOSE(CONTROL!$C$42, 18.3133, 18.3133) * CHOOSE(CONTROL!$C$21, $C$9, 100%, $E$9)</f>
        <v>18.313300000000002</v>
      </c>
      <c r="D430" s="17">
        <f>CHOOSE(CONTROL!$C$42, 18.5626, 18.5626) * CHOOSE(CONTROL!$C$21, $C$9, 100%, $E$9)</f>
        <v>18.5626</v>
      </c>
      <c r="E430" s="17">
        <f>CHOOSE(CONTROL!$C$42, 18.5915, 18.5915) * CHOOSE(CONTROL!$C$21, $C$9, 100%, $E$9)</f>
        <v>18.5915</v>
      </c>
      <c r="F430" s="17">
        <f>CHOOSE(CONTROL!$C$42, 18.3218, 18.3218)*CHOOSE(CONTROL!$C$21, $C$9, 100%, $E$9)</f>
        <v>18.3218</v>
      </c>
      <c r="G430" s="17">
        <f>CHOOSE(CONTROL!$C$42, 18.3382, 18.3382)*CHOOSE(CONTROL!$C$21, $C$9, 100%, $E$9)</f>
        <v>18.338200000000001</v>
      </c>
      <c r="H430" s="17">
        <f>CHOOSE(CONTROL!$C$42, 18.5817, 18.5817) * CHOOSE(CONTROL!$C$21, $C$9, 100%, $E$9)</f>
        <v>18.581700000000001</v>
      </c>
      <c r="I430" s="17">
        <f>CHOOSE(CONTROL!$C$42, 18.3878, 18.3878)* CHOOSE(CONTROL!$C$21, $C$9, 100%, $E$9)</f>
        <v>18.387799999999999</v>
      </c>
      <c r="J430" s="17">
        <f>CHOOSE(CONTROL!$C$42, 18.3144, 18.3144)* CHOOSE(CONTROL!$C$21, $C$9, 100%, $E$9)</f>
        <v>18.314399999999999</v>
      </c>
      <c r="K430" s="52">
        <f>CHOOSE(CONTROL!$C$42, 18.3817, 18.3817) * CHOOSE(CONTROL!$C$21, $C$9, 100%, $E$9)</f>
        <v>18.381699999999999</v>
      </c>
      <c r="L430" s="17">
        <f>CHOOSE(CONTROL!$C$42, 19.1687, 19.1687) * CHOOSE(CONTROL!$C$21, $C$9, 100%, $E$9)</f>
        <v>19.168700000000001</v>
      </c>
      <c r="M430" s="17">
        <f>CHOOSE(CONTROL!$C$42, 18.1567, 18.1567) * CHOOSE(CONTROL!$C$21, $C$9, 100%, $E$9)</f>
        <v>18.156700000000001</v>
      </c>
      <c r="N430" s="17">
        <f>CHOOSE(CONTROL!$C$42, 18.1729, 18.1729) * CHOOSE(CONTROL!$C$21, $C$9, 100%, $E$9)</f>
        <v>18.172899999999998</v>
      </c>
      <c r="O430" s="17">
        <f>CHOOSE(CONTROL!$C$42, 18.4215, 18.4215) * CHOOSE(CONTROL!$C$21, $C$9, 100%, $E$9)</f>
        <v>18.421500000000002</v>
      </c>
      <c r="P430" s="17">
        <f>CHOOSE(CONTROL!$C$42, 18.229, 18.229) * CHOOSE(CONTROL!$C$21, $C$9, 100%, $E$9)</f>
        <v>18.228999999999999</v>
      </c>
      <c r="Q430" s="17">
        <f>CHOOSE(CONTROL!$C$42, 19.0162, 19.0162) * CHOOSE(CONTROL!$C$21, $C$9, 100%, $E$9)</f>
        <v>19.016200000000001</v>
      </c>
      <c r="R430" s="17">
        <f>CHOOSE(CONTROL!$C$42, 19.6508, 19.6508) * CHOOSE(CONTROL!$C$21, $C$9, 100%, $E$9)</f>
        <v>19.6508</v>
      </c>
      <c r="S430" s="17">
        <f>CHOOSE(CONTROL!$C$42, 17.7433, 17.7433) * CHOOSE(CONTROL!$C$21, $C$9, 100%, $E$9)</f>
        <v>17.743300000000001</v>
      </c>
      <c r="T43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30" s="56">
        <f>(1000*CHOOSE(CONTROL!$C$42, 695, 695)*CHOOSE(CONTROL!$C$42, 0.5599, 0.5599)*CHOOSE(CONTROL!$C$42, 31, 31))/1000000</f>
        <v>12.063045499999998</v>
      </c>
      <c r="V430" s="56">
        <f>(1000*CHOOSE(CONTROL!$C$42, 500, 500)*CHOOSE(CONTROL!$C$42, 0.275, 0.275)*CHOOSE(CONTROL!$C$42, 31, 31))/1000000</f>
        <v>4.2625000000000002</v>
      </c>
      <c r="W430" s="56">
        <f>(1000*CHOOSE(CONTROL!$C$42, 0.0916, 0.0916)*CHOOSE(CONTROL!$C$42, 121.5, 121.5)*CHOOSE(CONTROL!$C$42, 31, 31))/1000000</f>
        <v>0.34501139999999997</v>
      </c>
      <c r="X430" s="56">
        <f>(31*0.1790888*145000/1000000)+(31*0.2374*100000/1000000)</f>
        <v>1.5409441560000001</v>
      </c>
      <c r="Y430" s="56"/>
      <c r="Z430" s="17"/>
      <c r="AA430" s="55"/>
      <c r="AB430" s="48">
        <f>(B430*131.881+C430*277.167+D430*79.08+E430*225.872+F430*40+G430*85+H430*0+I430*100+J430*300)/(131.881+277.167+79.08+225.872+0+40+85+100+300)</f>
        <v>18.387625879822437</v>
      </c>
      <c r="AC430" s="45">
        <f>(M430*'RAP TEMPLATE-GAS AVAILABILITY'!O429+N430*'RAP TEMPLATE-GAS AVAILABILITY'!P429+O430*'RAP TEMPLATE-GAS AVAILABILITY'!Q429+P430*'RAP TEMPLATE-GAS AVAILABILITY'!R429)/('RAP TEMPLATE-GAS AVAILABILITY'!O429+'RAP TEMPLATE-GAS AVAILABILITY'!P429+'RAP TEMPLATE-GAS AVAILABILITY'!Q429+'RAP TEMPLATE-GAS AVAILABILITY'!R429)</f>
        <v>18.245128776978415</v>
      </c>
    </row>
    <row r="431" spans="1:29" ht="15.75" x14ac:dyDescent="0.25">
      <c r="A431" s="14">
        <v>54026</v>
      </c>
      <c r="B431" s="17">
        <f>CHOOSE(CONTROL!$C$42, 18.7896, 18.7896) * CHOOSE(CONTROL!$C$21, $C$9, 100%, $E$9)</f>
        <v>18.7896</v>
      </c>
      <c r="C431" s="17">
        <f>CHOOSE(CONTROL!$C$42, 18.7947, 18.7947) * CHOOSE(CONTROL!$C$21, $C$9, 100%, $E$9)</f>
        <v>18.794699999999999</v>
      </c>
      <c r="D431" s="17">
        <f>CHOOSE(CONTROL!$C$42, 18.8761, 18.8761) * CHOOSE(CONTROL!$C$21, $C$9, 100%, $E$9)</f>
        <v>18.876100000000001</v>
      </c>
      <c r="E431" s="17">
        <f>CHOOSE(CONTROL!$C$42, 18.9098, 18.9098) * CHOOSE(CONTROL!$C$21, $C$9, 100%, $E$9)</f>
        <v>18.909800000000001</v>
      </c>
      <c r="F431" s="17">
        <f>CHOOSE(CONTROL!$C$42, 18.8076, 18.8076)*CHOOSE(CONTROL!$C$21, $C$9, 100%, $E$9)</f>
        <v>18.807600000000001</v>
      </c>
      <c r="G431" s="17">
        <f>CHOOSE(CONTROL!$C$42, 18.8243, 18.8243)*CHOOSE(CONTROL!$C$21, $C$9, 100%, $E$9)</f>
        <v>18.824300000000001</v>
      </c>
      <c r="H431" s="17">
        <f>CHOOSE(CONTROL!$C$42, 18.8987, 18.8987) * CHOOSE(CONTROL!$C$21, $C$9, 100%, $E$9)</f>
        <v>18.898700000000002</v>
      </c>
      <c r="I431" s="17">
        <f>CHOOSE(CONTROL!$C$42, 18.8729, 18.8729)* CHOOSE(CONTROL!$C$21, $C$9, 100%, $E$9)</f>
        <v>18.872900000000001</v>
      </c>
      <c r="J431" s="17">
        <f>CHOOSE(CONTROL!$C$42, 18.8002, 18.8002)* CHOOSE(CONTROL!$C$21, $C$9, 100%, $E$9)</f>
        <v>18.8002</v>
      </c>
      <c r="K431" s="52">
        <f>CHOOSE(CONTROL!$C$42, 18.8668, 18.8668) * CHOOSE(CONTROL!$C$21, $C$9, 100%, $E$9)</f>
        <v>18.866800000000001</v>
      </c>
      <c r="L431" s="17">
        <f>CHOOSE(CONTROL!$C$42, 19.4857, 19.4857) * CHOOSE(CONTROL!$C$21, $C$9, 100%, $E$9)</f>
        <v>19.485700000000001</v>
      </c>
      <c r="M431" s="17">
        <f>CHOOSE(CONTROL!$C$42, 18.6381, 18.6381) * CHOOSE(CONTROL!$C$21, $C$9, 100%, $E$9)</f>
        <v>18.638100000000001</v>
      </c>
      <c r="N431" s="17">
        <f>CHOOSE(CONTROL!$C$42, 18.6546, 18.6546) * CHOOSE(CONTROL!$C$21, $C$9, 100%, $E$9)</f>
        <v>18.654599999999999</v>
      </c>
      <c r="O431" s="17">
        <f>CHOOSE(CONTROL!$C$42, 18.7357, 18.7357) * CHOOSE(CONTROL!$C$21, $C$9, 100%, $E$9)</f>
        <v>18.735700000000001</v>
      </c>
      <c r="P431" s="17">
        <f>CHOOSE(CONTROL!$C$42, 18.7097, 18.7097) * CHOOSE(CONTROL!$C$21, $C$9, 100%, $E$9)</f>
        <v>18.709700000000002</v>
      </c>
      <c r="Q431" s="17">
        <f>CHOOSE(CONTROL!$C$42, 19.3304, 19.3304) * CHOOSE(CONTROL!$C$21, $C$9, 100%, $E$9)</f>
        <v>19.330400000000001</v>
      </c>
      <c r="R431" s="17">
        <f>CHOOSE(CONTROL!$C$42, 19.9658, 19.9658) * CHOOSE(CONTROL!$C$21, $C$9, 100%, $E$9)</f>
        <v>19.965800000000002</v>
      </c>
      <c r="S431" s="17">
        <f>CHOOSE(CONTROL!$C$42, 18.2108, 18.2108) * CHOOSE(CONTROL!$C$21, $C$9, 100%, $E$9)</f>
        <v>18.210799999999999</v>
      </c>
      <c r="T43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31" s="56">
        <f>(1000*CHOOSE(CONTROL!$C$42, 695, 695)*CHOOSE(CONTROL!$C$42, 0.5599, 0.5599)*CHOOSE(CONTROL!$C$42, 30, 30))/1000000</f>
        <v>11.673914999999997</v>
      </c>
      <c r="V431" s="56">
        <f>(1000*CHOOSE(CONTROL!$C$42, 500, 500)*CHOOSE(CONTROL!$C$42, 0.275, 0.275)*CHOOSE(CONTROL!$C$42, 30, 30))/1000000</f>
        <v>4.125</v>
      </c>
      <c r="W431" s="56">
        <f>(1000*CHOOSE(CONTROL!$C$42, 0.0916, 0.0916)*CHOOSE(CONTROL!$C$42, 121.5, 121.5)*CHOOSE(CONTROL!$C$42, 30, 30))/1000000</f>
        <v>0.33388200000000001</v>
      </c>
      <c r="X431" s="56">
        <f>(30*0.2374*100000/1000000)</f>
        <v>0.71220000000000006</v>
      </c>
      <c r="Y431" s="56"/>
      <c r="Z431" s="17"/>
      <c r="AA431" s="55"/>
      <c r="AB431" s="48">
        <f>(B431*122.58+C431*297.941+D431*89.177+E431*140.302+F431*40+G431*60+H431*0+I431*100+J431*300)/(122.58+297.941+89.177+140.302+0+40+60+100+300)</f>
        <v>18.824738791304348</v>
      </c>
      <c r="AC431" s="45">
        <f>(M431*'RAP TEMPLATE-GAS AVAILABILITY'!O430+N431*'RAP TEMPLATE-GAS AVAILABILITY'!P430+O431*'RAP TEMPLATE-GAS AVAILABILITY'!Q430+P431*'RAP TEMPLATE-GAS AVAILABILITY'!R430)/('RAP TEMPLATE-GAS AVAILABILITY'!O430+'RAP TEMPLATE-GAS AVAILABILITY'!P430+'RAP TEMPLATE-GAS AVAILABILITY'!Q430+'RAP TEMPLATE-GAS AVAILABILITY'!R430)</f>
        <v>18.693587769784173</v>
      </c>
    </row>
    <row r="432" spans="1:29" ht="15.75" x14ac:dyDescent="0.25">
      <c r="A432" s="14">
        <v>54057</v>
      </c>
      <c r="B432" s="17">
        <f>CHOOSE(CONTROL!$C$42, 20.07, 20.07) * CHOOSE(CONTROL!$C$21, $C$9, 100%, $E$9)</f>
        <v>20.07</v>
      </c>
      <c r="C432" s="17">
        <f>CHOOSE(CONTROL!$C$42, 20.075, 20.075) * CHOOSE(CONTROL!$C$21, $C$9, 100%, $E$9)</f>
        <v>20.074999999999999</v>
      </c>
      <c r="D432" s="17">
        <f>CHOOSE(CONTROL!$C$42, 20.1564, 20.1564) * CHOOSE(CONTROL!$C$21, $C$9, 100%, $E$9)</f>
        <v>20.156400000000001</v>
      </c>
      <c r="E432" s="17">
        <f>CHOOSE(CONTROL!$C$42, 20.1902, 20.1902) * CHOOSE(CONTROL!$C$21, $C$9, 100%, $E$9)</f>
        <v>20.190200000000001</v>
      </c>
      <c r="F432" s="17">
        <f>CHOOSE(CONTROL!$C$42, 20.0903, 20.0903)*CHOOSE(CONTROL!$C$21, $C$9, 100%, $E$9)</f>
        <v>20.090299999999999</v>
      </c>
      <c r="G432" s="17">
        <f>CHOOSE(CONTROL!$C$42, 20.1076, 20.1076)*CHOOSE(CONTROL!$C$21, $C$9, 100%, $E$9)</f>
        <v>20.107600000000001</v>
      </c>
      <c r="H432" s="17">
        <f>CHOOSE(CONTROL!$C$42, 20.179, 20.179) * CHOOSE(CONTROL!$C$21, $C$9, 100%, $E$9)</f>
        <v>20.178999999999998</v>
      </c>
      <c r="I432" s="17">
        <f>CHOOSE(CONTROL!$C$42, 20.1572, 20.1572)* CHOOSE(CONTROL!$C$21, $C$9, 100%, $E$9)</f>
        <v>20.1572</v>
      </c>
      <c r="J432" s="17">
        <f>CHOOSE(CONTROL!$C$42, 20.0829, 20.0829)* CHOOSE(CONTROL!$C$21, $C$9, 100%, $E$9)</f>
        <v>20.082899999999999</v>
      </c>
      <c r="K432" s="52">
        <f>CHOOSE(CONTROL!$C$42, 20.1511, 20.1511) * CHOOSE(CONTROL!$C$21, $C$9, 100%, $E$9)</f>
        <v>20.1511</v>
      </c>
      <c r="L432" s="17">
        <f>CHOOSE(CONTROL!$C$42, 20.766, 20.766) * CHOOSE(CONTROL!$C$21, $C$9, 100%, $E$9)</f>
        <v>20.765999999999998</v>
      </c>
      <c r="M432" s="17">
        <f>CHOOSE(CONTROL!$C$42, 19.9093, 19.9093) * CHOOSE(CONTROL!$C$21, $C$9, 100%, $E$9)</f>
        <v>19.909300000000002</v>
      </c>
      <c r="N432" s="17">
        <f>CHOOSE(CONTROL!$C$42, 19.9265, 19.9265) * CHOOSE(CONTROL!$C$21, $C$9, 100%, $E$9)</f>
        <v>19.926500000000001</v>
      </c>
      <c r="O432" s="17">
        <f>CHOOSE(CONTROL!$C$42, 20.0046, 20.0046) * CHOOSE(CONTROL!$C$21, $C$9, 100%, $E$9)</f>
        <v>20.0046</v>
      </c>
      <c r="P432" s="17">
        <f>CHOOSE(CONTROL!$C$42, 19.9824, 19.9824) * CHOOSE(CONTROL!$C$21, $C$9, 100%, $E$9)</f>
        <v>19.982399999999998</v>
      </c>
      <c r="Q432" s="17">
        <f>CHOOSE(CONTROL!$C$42, 20.5993, 20.5993) * CHOOSE(CONTROL!$C$21, $C$9, 100%, $E$9)</f>
        <v>20.599299999999999</v>
      </c>
      <c r="R432" s="17">
        <f>CHOOSE(CONTROL!$C$42, 21.2378, 21.2378) * CHOOSE(CONTROL!$C$21, $C$9, 100%, $E$9)</f>
        <v>21.2378</v>
      </c>
      <c r="S432" s="17">
        <f>CHOOSE(CONTROL!$C$42, 19.4523, 19.4523) * CHOOSE(CONTROL!$C$21, $C$9, 100%, $E$9)</f>
        <v>19.452300000000001</v>
      </c>
      <c r="T43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32" s="56">
        <f>(1000*CHOOSE(CONTROL!$C$42, 695, 695)*CHOOSE(CONTROL!$C$42, 0.5599, 0.5599)*CHOOSE(CONTROL!$C$42, 31, 31))/1000000</f>
        <v>12.063045499999998</v>
      </c>
      <c r="V432" s="56">
        <f>(1000*CHOOSE(CONTROL!$C$42, 500, 500)*CHOOSE(CONTROL!$C$42, 0.275, 0.275)*CHOOSE(CONTROL!$C$42, 31, 31))/1000000</f>
        <v>4.2625000000000002</v>
      </c>
      <c r="W432" s="56">
        <f>(1000*CHOOSE(CONTROL!$C$42, 0.0916, 0.0916)*CHOOSE(CONTROL!$C$42, 121.5, 121.5)*CHOOSE(CONTROL!$C$42, 31, 31))/1000000</f>
        <v>0.34501139999999997</v>
      </c>
      <c r="X432" s="56">
        <f>(31*0.2374*100000/1000000)</f>
        <v>0.73594000000000004</v>
      </c>
      <c r="Y432" s="56"/>
      <c r="Z432" s="17"/>
      <c r="AA432" s="55"/>
      <c r="AB432" s="48">
        <f>(B432*122.58+C432*297.941+D432*89.177+E432*140.302+F432*40+G432*60+H432*0+I432*100+J432*300)/(122.58+297.941+89.177+140.302+0+40+60+100+300)</f>
        <v>20.106275563652172</v>
      </c>
      <c r="AC432" s="45">
        <f>(M432*'RAP TEMPLATE-GAS AVAILABILITY'!O431+N432*'RAP TEMPLATE-GAS AVAILABILITY'!P431+O432*'RAP TEMPLATE-GAS AVAILABILITY'!Q431+P432*'RAP TEMPLATE-GAS AVAILABILITY'!R431)/('RAP TEMPLATE-GAS AVAILABILITY'!O431+'RAP TEMPLATE-GAS AVAILABILITY'!P431+'RAP TEMPLATE-GAS AVAILABILITY'!Q431+'RAP TEMPLATE-GAS AVAILABILITY'!R431)</f>
        <v>19.964001438848921</v>
      </c>
    </row>
    <row r="433" spans="1:29" ht="15.75" x14ac:dyDescent="0.25">
      <c r="A433" s="14">
        <v>54088</v>
      </c>
      <c r="B433" s="17">
        <f>CHOOSE(CONTROL!$C$42, 21.7329, 21.7329) * CHOOSE(CONTROL!$C$21, $C$9, 100%, $E$9)</f>
        <v>21.732900000000001</v>
      </c>
      <c r="C433" s="17">
        <f>CHOOSE(CONTROL!$C$42, 21.738, 21.738) * CHOOSE(CONTROL!$C$21, $C$9, 100%, $E$9)</f>
        <v>21.738</v>
      </c>
      <c r="D433" s="17">
        <f>CHOOSE(CONTROL!$C$42, 21.8348, 21.8348) * CHOOSE(CONTROL!$C$21, $C$9, 100%, $E$9)</f>
        <v>21.834800000000001</v>
      </c>
      <c r="E433" s="17">
        <f>CHOOSE(CONTROL!$C$42, 21.8686, 21.8686) * CHOOSE(CONTROL!$C$21, $C$9, 100%, $E$9)</f>
        <v>21.868600000000001</v>
      </c>
      <c r="F433" s="17">
        <f>CHOOSE(CONTROL!$C$42, 21.7472, 21.7472)*CHOOSE(CONTROL!$C$21, $C$9, 100%, $E$9)</f>
        <v>21.747199999999999</v>
      </c>
      <c r="G433" s="17">
        <f>CHOOSE(CONTROL!$C$42, 21.7636, 21.7636)*CHOOSE(CONTROL!$C$21, $C$9, 100%, $E$9)</f>
        <v>21.7636</v>
      </c>
      <c r="H433" s="17">
        <f>CHOOSE(CONTROL!$C$42, 21.8575, 21.8575) * CHOOSE(CONTROL!$C$21, $C$9, 100%, $E$9)</f>
        <v>21.857500000000002</v>
      </c>
      <c r="I433" s="17">
        <f>CHOOSE(CONTROL!$C$42, 21.8253, 21.8253)* CHOOSE(CONTROL!$C$21, $C$9, 100%, $E$9)</f>
        <v>21.825299999999999</v>
      </c>
      <c r="J433" s="17">
        <f>CHOOSE(CONTROL!$C$42, 21.7398, 21.7398)* CHOOSE(CONTROL!$C$21, $C$9, 100%, $E$9)</f>
        <v>21.739799999999999</v>
      </c>
      <c r="K433" s="52">
        <f>CHOOSE(CONTROL!$C$42, 21.8192, 21.8192) * CHOOSE(CONTROL!$C$21, $C$9, 100%, $E$9)</f>
        <v>21.819199999999999</v>
      </c>
      <c r="L433" s="17">
        <f>CHOOSE(CONTROL!$C$42, 22.4445, 22.4445) * CHOOSE(CONTROL!$C$21, $C$9, 100%, $E$9)</f>
        <v>22.444500000000001</v>
      </c>
      <c r="M433" s="17">
        <f>CHOOSE(CONTROL!$C$42, 21.5512, 21.5512) * CHOOSE(CONTROL!$C$21, $C$9, 100%, $E$9)</f>
        <v>21.551200000000001</v>
      </c>
      <c r="N433" s="17">
        <f>CHOOSE(CONTROL!$C$42, 21.5675, 21.5675) * CHOOSE(CONTROL!$C$21, $C$9, 100%, $E$9)</f>
        <v>21.567499999999999</v>
      </c>
      <c r="O433" s="17">
        <f>CHOOSE(CONTROL!$C$42, 21.6679, 21.6679) * CHOOSE(CONTROL!$C$21, $C$9, 100%, $E$9)</f>
        <v>21.667899999999999</v>
      </c>
      <c r="P433" s="17">
        <f>CHOOSE(CONTROL!$C$42, 21.6355, 21.6355) * CHOOSE(CONTROL!$C$21, $C$9, 100%, $E$9)</f>
        <v>21.6355</v>
      </c>
      <c r="Q433" s="17">
        <f>CHOOSE(CONTROL!$C$42, 22.2626, 22.2626) * CHOOSE(CONTROL!$C$21, $C$9, 100%, $E$9)</f>
        <v>22.262599999999999</v>
      </c>
      <c r="R433" s="17">
        <f>CHOOSE(CONTROL!$C$42, 22.9052, 22.9052) * CHOOSE(CONTROL!$C$21, $C$9, 100%, $E$9)</f>
        <v>22.905200000000001</v>
      </c>
      <c r="S433" s="17">
        <f>CHOOSE(CONTROL!$C$42, 21.0649, 21.0649) * CHOOSE(CONTROL!$C$21, $C$9, 100%, $E$9)</f>
        <v>21.064900000000002</v>
      </c>
      <c r="T43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33" s="56">
        <f>(1000*CHOOSE(CONTROL!$C$42, 695, 695)*CHOOSE(CONTROL!$C$42, 0.5599, 0.5599)*CHOOSE(CONTROL!$C$42, 31, 31))/1000000</f>
        <v>12.063045499999998</v>
      </c>
      <c r="V433" s="56">
        <f>(1000*CHOOSE(CONTROL!$C$42, 500, 500)*CHOOSE(CONTROL!$C$42, 0.275, 0.275)*CHOOSE(CONTROL!$C$42, 31, 31))/1000000</f>
        <v>4.2625000000000002</v>
      </c>
      <c r="W433" s="56">
        <f>(1000*CHOOSE(CONTROL!$C$42, 0.0916, 0.0916)*CHOOSE(CONTROL!$C$42, 121.5, 121.5)*CHOOSE(CONTROL!$C$42, 31, 31))/1000000</f>
        <v>0.34501139999999997</v>
      </c>
      <c r="X433" s="56">
        <f>(31*0.2374*100000/1000000)</f>
        <v>0.73594000000000004</v>
      </c>
      <c r="Y433" s="56"/>
      <c r="Z433" s="17"/>
      <c r="AA433" s="55"/>
      <c r="AB433" s="48">
        <f>(B433*122.58+C433*297.941+D433*89.177+E433*140.302+F433*40+G433*60+H433*0+I433*100+J433*300)/(122.58+297.941+89.177+140.302+0+40+60+100+300)</f>
        <v>21.770612710260867</v>
      </c>
      <c r="AC433" s="45">
        <f>(M433*'RAP TEMPLATE-GAS AVAILABILITY'!O432+N433*'RAP TEMPLATE-GAS AVAILABILITY'!P432+O433*'RAP TEMPLATE-GAS AVAILABILITY'!Q432+P433*'RAP TEMPLATE-GAS AVAILABILITY'!R432)/('RAP TEMPLATE-GAS AVAILABILITY'!O432+'RAP TEMPLATE-GAS AVAILABILITY'!P432+'RAP TEMPLATE-GAS AVAILABILITY'!Q432+'RAP TEMPLATE-GAS AVAILABILITY'!R432)</f>
        <v>21.617160431654678</v>
      </c>
    </row>
    <row r="434" spans="1:29" ht="15.75" x14ac:dyDescent="0.25">
      <c r="A434" s="14">
        <v>54116</v>
      </c>
      <c r="B434" s="17">
        <f>CHOOSE(CONTROL!$C$42, 22.1196, 22.1196) * CHOOSE(CONTROL!$C$21, $C$9, 100%, $E$9)</f>
        <v>22.119599999999998</v>
      </c>
      <c r="C434" s="17">
        <f>CHOOSE(CONTROL!$C$42, 22.1247, 22.1247) * CHOOSE(CONTROL!$C$21, $C$9, 100%, $E$9)</f>
        <v>22.124700000000001</v>
      </c>
      <c r="D434" s="17">
        <f>CHOOSE(CONTROL!$C$42, 22.2215, 22.2215) * CHOOSE(CONTROL!$C$21, $C$9, 100%, $E$9)</f>
        <v>22.221499999999999</v>
      </c>
      <c r="E434" s="17">
        <f>CHOOSE(CONTROL!$C$42, 22.2553, 22.2553) * CHOOSE(CONTROL!$C$21, $C$9, 100%, $E$9)</f>
        <v>22.255299999999998</v>
      </c>
      <c r="F434" s="17">
        <f>CHOOSE(CONTROL!$C$42, 22.1338, 22.1338)*CHOOSE(CONTROL!$C$21, $C$9, 100%, $E$9)</f>
        <v>22.133800000000001</v>
      </c>
      <c r="G434" s="17">
        <f>CHOOSE(CONTROL!$C$42, 22.1503, 22.1503)*CHOOSE(CONTROL!$C$21, $C$9, 100%, $E$9)</f>
        <v>22.150300000000001</v>
      </c>
      <c r="H434" s="17">
        <f>CHOOSE(CONTROL!$C$42, 22.2441, 22.2441) * CHOOSE(CONTROL!$C$21, $C$9, 100%, $E$9)</f>
        <v>22.2441</v>
      </c>
      <c r="I434" s="17">
        <f>CHOOSE(CONTROL!$C$42, 22.2132, 22.2132)* CHOOSE(CONTROL!$C$21, $C$9, 100%, $E$9)</f>
        <v>22.213200000000001</v>
      </c>
      <c r="J434" s="17">
        <f>CHOOSE(CONTROL!$C$42, 22.1264, 22.1264)* CHOOSE(CONTROL!$C$21, $C$9, 100%, $E$9)</f>
        <v>22.1264</v>
      </c>
      <c r="K434" s="52">
        <f>CHOOSE(CONTROL!$C$42, 22.2071, 22.2071) * CHOOSE(CONTROL!$C$21, $C$9, 100%, $E$9)</f>
        <v>22.207100000000001</v>
      </c>
      <c r="L434" s="17">
        <f>CHOOSE(CONTROL!$C$42, 22.8311, 22.8311) * CHOOSE(CONTROL!$C$21, $C$9, 100%, $E$9)</f>
        <v>22.831099999999999</v>
      </c>
      <c r="M434" s="17">
        <f>CHOOSE(CONTROL!$C$42, 21.9344, 21.9344) * CHOOSE(CONTROL!$C$21, $C$9, 100%, $E$9)</f>
        <v>21.9344</v>
      </c>
      <c r="N434" s="17">
        <f>CHOOSE(CONTROL!$C$42, 21.9507, 21.9507) * CHOOSE(CONTROL!$C$21, $C$9, 100%, $E$9)</f>
        <v>21.950700000000001</v>
      </c>
      <c r="O434" s="17">
        <f>CHOOSE(CONTROL!$C$42, 22.0511, 22.0511) * CHOOSE(CONTROL!$C$21, $C$9, 100%, $E$9)</f>
        <v>22.051100000000002</v>
      </c>
      <c r="P434" s="17">
        <f>CHOOSE(CONTROL!$C$42, 22.0199, 22.0199) * CHOOSE(CONTROL!$C$21, $C$9, 100%, $E$9)</f>
        <v>22.0199</v>
      </c>
      <c r="Q434" s="17">
        <f>CHOOSE(CONTROL!$C$42, 22.6458, 22.6458) * CHOOSE(CONTROL!$C$21, $C$9, 100%, $E$9)</f>
        <v>22.645800000000001</v>
      </c>
      <c r="R434" s="17">
        <f>CHOOSE(CONTROL!$C$42, 23.2894, 23.2894) * CHOOSE(CONTROL!$C$21, $C$9, 100%, $E$9)</f>
        <v>23.289400000000001</v>
      </c>
      <c r="S434" s="17">
        <f>CHOOSE(CONTROL!$C$42, 21.4399, 21.4399) * CHOOSE(CONTROL!$C$21, $C$9, 100%, $E$9)</f>
        <v>21.439900000000002</v>
      </c>
      <c r="T434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434" s="56">
        <f>(1000*CHOOSE(CONTROL!$C$42, 695, 695)*CHOOSE(CONTROL!$C$42, 0.5599, 0.5599)*CHOOSE(CONTROL!$C$42, 29, 29))/1000000</f>
        <v>11.284784499999999</v>
      </c>
      <c r="V434" s="56">
        <f>(1000*CHOOSE(CONTROL!$C$42, 500, 500)*CHOOSE(CONTROL!$C$42, 0.275, 0.275)*CHOOSE(CONTROL!$C$42, 29, 29))/1000000</f>
        <v>3.9874999999999998</v>
      </c>
      <c r="W434" s="56">
        <f>(1000*CHOOSE(CONTROL!$C$42, 0.0916, 0.0916)*CHOOSE(CONTROL!$C$42, 121.5, 121.5)*CHOOSE(CONTROL!$C$42, 29, 29))/1000000</f>
        <v>0.3227526</v>
      </c>
      <c r="X434" s="56">
        <f>(29*0.2374*100000/1000000)</f>
        <v>0.68845999999999996</v>
      </c>
      <c r="Y434" s="56"/>
      <c r="Z434" s="17"/>
      <c r="AA434" s="55"/>
      <c r="AB434" s="48">
        <f>(B434*122.58+C434*297.941+D434*89.177+E434*140.302+F434*40+G434*60+H434*0+I434*100+J434*300)/(122.58+297.941+89.177+140.302+0+40+60+100+300)</f>
        <v>22.157387492869564</v>
      </c>
      <c r="AC434" s="45">
        <f>(M434*'RAP TEMPLATE-GAS AVAILABILITY'!O433+N434*'RAP TEMPLATE-GAS AVAILABILITY'!P433+O434*'RAP TEMPLATE-GAS AVAILABILITY'!Q433+P434*'RAP TEMPLATE-GAS AVAILABILITY'!R433)/('RAP TEMPLATE-GAS AVAILABILITY'!O433+'RAP TEMPLATE-GAS AVAILABILITY'!P433+'RAP TEMPLATE-GAS AVAILABILITY'!Q433+'RAP TEMPLATE-GAS AVAILABILITY'!R433)</f>
        <v>22.000533093525181</v>
      </c>
    </row>
    <row r="435" spans="1:29" ht="15.75" x14ac:dyDescent="0.25">
      <c r="A435" s="14">
        <v>54148</v>
      </c>
      <c r="B435" s="17">
        <f>CHOOSE(CONTROL!$C$42, 21.4919, 21.4919) * CHOOSE(CONTROL!$C$21, $C$9, 100%, $E$9)</f>
        <v>21.491900000000001</v>
      </c>
      <c r="C435" s="17">
        <f>CHOOSE(CONTROL!$C$42, 21.497, 21.497) * CHOOSE(CONTROL!$C$21, $C$9, 100%, $E$9)</f>
        <v>21.497</v>
      </c>
      <c r="D435" s="17">
        <f>CHOOSE(CONTROL!$C$42, 21.5938, 21.5938) * CHOOSE(CONTROL!$C$21, $C$9, 100%, $E$9)</f>
        <v>21.593800000000002</v>
      </c>
      <c r="E435" s="17">
        <f>CHOOSE(CONTROL!$C$42, 21.6276, 21.6276) * CHOOSE(CONTROL!$C$21, $C$9, 100%, $E$9)</f>
        <v>21.627600000000001</v>
      </c>
      <c r="F435" s="17">
        <f>CHOOSE(CONTROL!$C$42, 21.5055, 21.5055)*CHOOSE(CONTROL!$C$21, $C$9, 100%, $E$9)</f>
        <v>21.505500000000001</v>
      </c>
      <c r="G435" s="17">
        <f>CHOOSE(CONTROL!$C$42, 21.5218, 21.5218)*CHOOSE(CONTROL!$C$21, $C$9, 100%, $E$9)</f>
        <v>21.521799999999999</v>
      </c>
      <c r="H435" s="17">
        <f>CHOOSE(CONTROL!$C$42, 21.6164, 21.6164) * CHOOSE(CONTROL!$C$21, $C$9, 100%, $E$9)</f>
        <v>21.616399999999999</v>
      </c>
      <c r="I435" s="17">
        <f>CHOOSE(CONTROL!$C$42, 21.5835, 21.5835)* CHOOSE(CONTROL!$C$21, $C$9, 100%, $E$9)</f>
        <v>21.583500000000001</v>
      </c>
      <c r="J435" s="17">
        <f>CHOOSE(CONTROL!$C$42, 21.4981, 21.4981)* CHOOSE(CONTROL!$C$21, $C$9, 100%, $E$9)</f>
        <v>21.498100000000001</v>
      </c>
      <c r="K435" s="52">
        <f>CHOOSE(CONTROL!$C$42, 21.5775, 21.5775) * CHOOSE(CONTROL!$C$21, $C$9, 100%, $E$9)</f>
        <v>21.577500000000001</v>
      </c>
      <c r="L435" s="17">
        <f>CHOOSE(CONTROL!$C$42, 22.2034, 22.2034) * CHOOSE(CONTROL!$C$21, $C$9, 100%, $E$9)</f>
        <v>22.203399999999998</v>
      </c>
      <c r="M435" s="17">
        <f>CHOOSE(CONTROL!$C$42, 21.3118, 21.3118) * CHOOSE(CONTROL!$C$21, $C$9, 100%, $E$9)</f>
        <v>21.311800000000002</v>
      </c>
      <c r="N435" s="17">
        <f>CHOOSE(CONTROL!$C$42, 21.3279, 21.3279) * CHOOSE(CONTROL!$C$21, $C$9, 100%, $E$9)</f>
        <v>21.3279</v>
      </c>
      <c r="O435" s="17">
        <f>CHOOSE(CONTROL!$C$42, 21.429, 21.429) * CHOOSE(CONTROL!$C$21, $C$9, 100%, $E$9)</f>
        <v>21.428999999999998</v>
      </c>
      <c r="P435" s="17">
        <f>CHOOSE(CONTROL!$C$42, 21.3959, 21.3959) * CHOOSE(CONTROL!$C$21, $C$9, 100%, $E$9)</f>
        <v>21.395900000000001</v>
      </c>
      <c r="Q435" s="17">
        <f>CHOOSE(CONTROL!$C$42, 22.0237, 22.0237) * CHOOSE(CONTROL!$C$21, $C$9, 100%, $E$9)</f>
        <v>22.023700000000002</v>
      </c>
      <c r="R435" s="17">
        <f>CHOOSE(CONTROL!$C$42, 22.6658, 22.6658) * CHOOSE(CONTROL!$C$21, $C$9, 100%, $E$9)</f>
        <v>22.665800000000001</v>
      </c>
      <c r="S435" s="17">
        <f>CHOOSE(CONTROL!$C$42, 20.8312, 20.8312) * CHOOSE(CONTROL!$C$21, $C$9, 100%, $E$9)</f>
        <v>20.831199999999999</v>
      </c>
      <c r="T43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35" s="56">
        <f>(1000*CHOOSE(CONTROL!$C$42, 695, 695)*CHOOSE(CONTROL!$C$42, 0.5599, 0.5599)*CHOOSE(CONTROL!$C$42, 31, 31))/1000000</f>
        <v>12.063045499999998</v>
      </c>
      <c r="V435" s="56">
        <f>(1000*CHOOSE(CONTROL!$C$42, 500, 500)*CHOOSE(CONTROL!$C$42, 0.275, 0.275)*CHOOSE(CONTROL!$C$42, 31, 31))/1000000</f>
        <v>4.2625000000000002</v>
      </c>
      <c r="W435" s="56">
        <f>(1000*CHOOSE(CONTROL!$C$42, 0.0916, 0.0916)*CHOOSE(CONTROL!$C$42, 121.5, 121.5)*CHOOSE(CONTROL!$C$42, 31, 31))/1000000</f>
        <v>0.34501139999999997</v>
      </c>
      <c r="X435" s="56">
        <f>(31*0.2374*100000/1000000)</f>
        <v>0.73594000000000004</v>
      </c>
      <c r="Y435" s="56"/>
      <c r="Z435" s="17"/>
      <c r="AA435" s="55"/>
      <c r="AB435" s="48">
        <f>(B435*122.58+C435*297.941+D435*89.177+E435*140.302+F435*40+G435*60+H435*0+I435*100+J435*300)/(122.58+297.941+89.177+140.302+0+40+60+100+300)</f>
        <v>21.529294449391301</v>
      </c>
      <c r="AC435" s="45">
        <f>(M435*'RAP TEMPLATE-GAS AVAILABILITY'!O434+N435*'RAP TEMPLATE-GAS AVAILABILITY'!P434+O435*'RAP TEMPLATE-GAS AVAILABILITY'!Q434+P435*'RAP TEMPLATE-GAS AVAILABILITY'!R434)/('RAP TEMPLATE-GAS AVAILABILITY'!O434+'RAP TEMPLATE-GAS AVAILABILITY'!P434+'RAP TEMPLATE-GAS AVAILABILITY'!Q434+'RAP TEMPLATE-GAS AVAILABILITY'!R434)</f>
        <v>21.377946762589925</v>
      </c>
    </row>
    <row r="436" spans="1:29" ht="15.75" x14ac:dyDescent="0.25">
      <c r="A436" s="14">
        <v>54178</v>
      </c>
      <c r="B436" s="17">
        <f>CHOOSE(CONTROL!$C$42, 21.4286, 21.4286) * CHOOSE(CONTROL!$C$21, $C$9, 100%, $E$9)</f>
        <v>21.428599999999999</v>
      </c>
      <c r="C436" s="17">
        <f>CHOOSE(CONTROL!$C$42, 21.4331, 21.4331) * CHOOSE(CONTROL!$C$21, $C$9, 100%, $E$9)</f>
        <v>21.4331</v>
      </c>
      <c r="D436" s="17">
        <f>CHOOSE(CONTROL!$C$42, 21.6806, 21.6806) * CHOOSE(CONTROL!$C$21, $C$9, 100%, $E$9)</f>
        <v>21.680599999999998</v>
      </c>
      <c r="E436" s="17">
        <f>CHOOSE(CONTROL!$C$42, 21.7124, 21.7124) * CHOOSE(CONTROL!$C$21, $C$9, 100%, $E$9)</f>
        <v>21.712399999999999</v>
      </c>
      <c r="F436" s="17">
        <f>CHOOSE(CONTROL!$C$42, 21.4402, 21.4402)*CHOOSE(CONTROL!$C$21, $C$9, 100%, $E$9)</f>
        <v>21.440200000000001</v>
      </c>
      <c r="G436" s="17">
        <f>CHOOSE(CONTROL!$C$42, 21.4561, 21.4561)*CHOOSE(CONTROL!$C$21, $C$9, 100%, $E$9)</f>
        <v>21.456099999999999</v>
      </c>
      <c r="H436" s="17">
        <f>CHOOSE(CONTROL!$C$42, 21.7019, 21.7019) * CHOOSE(CONTROL!$C$21, $C$9, 100%, $E$9)</f>
        <v>21.701899999999998</v>
      </c>
      <c r="I436" s="17">
        <f>CHOOSE(CONTROL!$C$42, 21.5177, 21.5177)* CHOOSE(CONTROL!$C$21, $C$9, 100%, $E$9)</f>
        <v>21.517700000000001</v>
      </c>
      <c r="J436" s="17">
        <f>CHOOSE(CONTROL!$C$42, 21.4328, 21.4328)* CHOOSE(CONTROL!$C$21, $C$9, 100%, $E$9)</f>
        <v>21.4328</v>
      </c>
      <c r="K436" s="52">
        <f>CHOOSE(CONTROL!$C$42, 21.5117, 21.5117) * CHOOSE(CONTROL!$C$21, $C$9, 100%, $E$9)</f>
        <v>21.511700000000001</v>
      </c>
      <c r="L436" s="17">
        <f>CHOOSE(CONTROL!$C$42, 22.2889, 22.2889) * CHOOSE(CONTROL!$C$21, $C$9, 100%, $E$9)</f>
        <v>22.288900000000002</v>
      </c>
      <c r="M436" s="17">
        <f>CHOOSE(CONTROL!$C$42, 21.2471, 21.2471) * CHOOSE(CONTROL!$C$21, $C$9, 100%, $E$9)</f>
        <v>21.2471</v>
      </c>
      <c r="N436" s="17">
        <f>CHOOSE(CONTROL!$C$42, 21.2628, 21.2628) * CHOOSE(CONTROL!$C$21, $C$9, 100%, $E$9)</f>
        <v>21.262799999999999</v>
      </c>
      <c r="O436" s="17">
        <f>CHOOSE(CONTROL!$C$42, 21.5137, 21.5137) * CHOOSE(CONTROL!$C$21, $C$9, 100%, $E$9)</f>
        <v>21.5137</v>
      </c>
      <c r="P436" s="17">
        <f>CHOOSE(CONTROL!$C$42, 21.3306, 21.3306) * CHOOSE(CONTROL!$C$21, $C$9, 100%, $E$9)</f>
        <v>21.3306</v>
      </c>
      <c r="Q436" s="17">
        <f>CHOOSE(CONTROL!$C$42, 22.1084, 22.1084) * CHOOSE(CONTROL!$C$21, $C$9, 100%, $E$9)</f>
        <v>22.1084</v>
      </c>
      <c r="R436" s="17">
        <f>CHOOSE(CONTROL!$C$42, 22.7507, 22.7507) * CHOOSE(CONTROL!$C$21, $C$9, 100%, $E$9)</f>
        <v>22.750699999999998</v>
      </c>
      <c r="S436" s="17">
        <f>CHOOSE(CONTROL!$C$42, 20.769, 20.769) * CHOOSE(CONTROL!$C$21, $C$9, 100%, $E$9)</f>
        <v>20.768999999999998</v>
      </c>
      <c r="T43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36" s="56">
        <f>(1000*CHOOSE(CONTROL!$C$42, 695, 695)*CHOOSE(CONTROL!$C$42, 0.5599, 0.5599)*CHOOSE(CONTROL!$C$42, 30, 30))/1000000</f>
        <v>11.673914999999997</v>
      </c>
      <c r="V436" s="56">
        <f>(1000*CHOOSE(CONTROL!$C$42, 500, 500)*CHOOSE(CONTROL!$C$42, 0.275, 0.275)*CHOOSE(CONTROL!$C$42, 30, 30))/1000000</f>
        <v>4.125</v>
      </c>
      <c r="W436" s="56">
        <f>(1000*CHOOSE(CONTROL!$C$42, 0.0916, 0.0916)*CHOOSE(CONTROL!$C$42, 121.5, 121.5)*CHOOSE(CONTROL!$C$42, 30, 30))/1000000</f>
        <v>0.33388200000000001</v>
      </c>
      <c r="X436" s="56">
        <f>(30*0.1790888*145000/1000000)+(30*0.2374*100000/1000000)</f>
        <v>1.4912362799999999</v>
      </c>
      <c r="Y436" s="56"/>
      <c r="Z436" s="17"/>
      <c r="AA436" s="55"/>
      <c r="AB436" s="48">
        <f>(B436*141.293+C436*267.993+D436*115.016+E436*189.698+F436*40+G436*85+H436*0+I436*100+J436*300)/(141.293+267.993+115.016+189.698+0+40+85+100+300)</f>
        <v>21.50688716133979</v>
      </c>
      <c r="AC436" s="45">
        <f>(M436*'RAP TEMPLATE-GAS AVAILABILITY'!O435+N436*'RAP TEMPLATE-GAS AVAILABILITY'!P435+O436*'RAP TEMPLATE-GAS AVAILABILITY'!Q435+P436*'RAP TEMPLATE-GAS AVAILABILITY'!R435)/('RAP TEMPLATE-GAS AVAILABILITY'!O435+'RAP TEMPLATE-GAS AVAILABILITY'!P435+'RAP TEMPLATE-GAS AVAILABILITY'!Q435+'RAP TEMPLATE-GAS AVAILABILITY'!R435)</f>
        <v>21.337530215827336</v>
      </c>
    </row>
    <row r="437" spans="1:29" ht="15.75" x14ac:dyDescent="0.25">
      <c r="A437" s="14">
        <v>54209</v>
      </c>
      <c r="B437" s="17">
        <f>CHOOSE(CONTROL!$C$42, 21.619, 21.619) * CHOOSE(CONTROL!$C$21, $C$9, 100%, $E$9)</f>
        <v>21.619</v>
      </c>
      <c r="C437" s="17">
        <f>CHOOSE(CONTROL!$C$42, 21.6269, 21.6269) * CHOOSE(CONTROL!$C$21, $C$9, 100%, $E$9)</f>
        <v>21.626899999999999</v>
      </c>
      <c r="D437" s="17">
        <f>CHOOSE(CONTROL!$C$42, 21.8714, 21.8714) * CHOOSE(CONTROL!$C$21, $C$9, 100%, $E$9)</f>
        <v>21.871400000000001</v>
      </c>
      <c r="E437" s="17">
        <f>CHOOSE(CONTROL!$C$42, 21.9026, 21.9026) * CHOOSE(CONTROL!$C$21, $C$9, 100%, $E$9)</f>
        <v>21.9026</v>
      </c>
      <c r="F437" s="17">
        <f>CHOOSE(CONTROL!$C$42, 21.6295, 21.6295)*CHOOSE(CONTROL!$C$21, $C$9, 100%, $E$9)</f>
        <v>21.6295</v>
      </c>
      <c r="G437" s="17">
        <f>CHOOSE(CONTROL!$C$42, 21.6457, 21.6457)*CHOOSE(CONTROL!$C$21, $C$9, 100%, $E$9)</f>
        <v>21.645700000000001</v>
      </c>
      <c r="H437" s="17">
        <f>CHOOSE(CONTROL!$C$42, 21.8909, 21.8909) * CHOOSE(CONTROL!$C$21, $C$9, 100%, $E$9)</f>
        <v>21.890899999999998</v>
      </c>
      <c r="I437" s="17">
        <f>CHOOSE(CONTROL!$C$42, 21.7073, 21.7073)* CHOOSE(CONTROL!$C$21, $C$9, 100%, $E$9)</f>
        <v>21.7073</v>
      </c>
      <c r="J437" s="17">
        <f>CHOOSE(CONTROL!$C$42, 21.6221, 21.6221)* CHOOSE(CONTROL!$C$21, $C$9, 100%, $E$9)</f>
        <v>21.6221</v>
      </c>
      <c r="K437" s="52">
        <f>CHOOSE(CONTROL!$C$42, 21.7013, 21.7013) * CHOOSE(CONTROL!$C$21, $C$9, 100%, $E$9)</f>
        <v>21.7013</v>
      </c>
      <c r="L437" s="17">
        <f>CHOOSE(CONTROL!$C$42, 22.4779, 22.4779) * CHOOSE(CONTROL!$C$21, $C$9, 100%, $E$9)</f>
        <v>22.477900000000002</v>
      </c>
      <c r="M437" s="17">
        <f>CHOOSE(CONTROL!$C$42, 21.4347, 21.4347) * CHOOSE(CONTROL!$C$21, $C$9, 100%, $E$9)</f>
        <v>21.434699999999999</v>
      </c>
      <c r="N437" s="17">
        <f>CHOOSE(CONTROL!$C$42, 21.4507, 21.4507) * CHOOSE(CONTROL!$C$21, $C$9, 100%, $E$9)</f>
        <v>21.450700000000001</v>
      </c>
      <c r="O437" s="17">
        <f>CHOOSE(CONTROL!$C$42, 21.701, 21.701) * CHOOSE(CONTROL!$C$21, $C$9, 100%, $E$9)</f>
        <v>21.701000000000001</v>
      </c>
      <c r="P437" s="17">
        <f>CHOOSE(CONTROL!$C$42, 21.5185, 21.5185) * CHOOSE(CONTROL!$C$21, $C$9, 100%, $E$9)</f>
        <v>21.5185</v>
      </c>
      <c r="Q437" s="17">
        <f>CHOOSE(CONTROL!$C$42, 22.2957, 22.2957) * CHOOSE(CONTROL!$C$21, $C$9, 100%, $E$9)</f>
        <v>22.2957</v>
      </c>
      <c r="R437" s="17">
        <f>CHOOSE(CONTROL!$C$42, 22.9385, 22.9385) * CHOOSE(CONTROL!$C$21, $C$9, 100%, $E$9)</f>
        <v>22.938500000000001</v>
      </c>
      <c r="S437" s="17">
        <f>CHOOSE(CONTROL!$C$42, 20.9523, 20.9523) * CHOOSE(CONTROL!$C$21, $C$9, 100%, $E$9)</f>
        <v>20.952300000000001</v>
      </c>
      <c r="T43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37" s="56">
        <f>(1000*CHOOSE(CONTROL!$C$42, 695, 695)*CHOOSE(CONTROL!$C$42, 0.5599, 0.5599)*CHOOSE(CONTROL!$C$42, 31, 31))/1000000</f>
        <v>12.063045499999998</v>
      </c>
      <c r="V437" s="56">
        <f>(1000*CHOOSE(CONTROL!$C$42, 500, 500)*CHOOSE(CONTROL!$C$42, 0.275, 0.275)*CHOOSE(CONTROL!$C$42, 31, 31))/1000000</f>
        <v>4.2625000000000002</v>
      </c>
      <c r="W437" s="56">
        <f>(1000*CHOOSE(CONTROL!$C$42, 0.0916, 0.0916)*CHOOSE(CONTROL!$C$42, 121.5, 121.5)*CHOOSE(CONTROL!$C$42, 31, 31))/1000000</f>
        <v>0.34501139999999997</v>
      </c>
      <c r="X437" s="56">
        <f>(31*0.1790888*145000/1000000)+(31*0.2374*100000/1000000)</f>
        <v>1.5409441560000001</v>
      </c>
      <c r="Y437" s="56"/>
      <c r="Z437" s="17"/>
      <c r="AA437" s="55"/>
      <c r="AB437" s="48">
        <f>(B437*194.205+C437*267.466+D437*133.845+E437*153.484+F437*40+G437*85+H437*0+I437*100+J437*300)/(194.205+267.466+133.845+153.484+0+40+85+100+300)</f>
        <v>21.691113831868133</v>
      </c>
      <c r="AC437" s="45">
        <f>(M437*'RAP TEMPLATE-GAS AVAILABILITY'!O436+N437*'RAP TEMPLATE-GAS AVAILABILITY'!P436+O437*'RAP TEMPLATE-GAS AVAILABILITY'!Q436+P437*'RAP TEMPLATE-GAS AVAILABILITY'!R436)/('RAP TEMPLATE-GAS AVAILABILITY'!O436+'RAP TEMPLATE-GAS AVAILABILITY'!P436+'RAP TEMPLATE-GAS AVAILABILITY'!Q436+'RAP TEMPLATE-GAS AVAILABILITY'!R436)</f>
        <v>21.525158273381294</v>
      </c>
    </row>
    <row r="438" spans="1:29" ht="15.75" x14ac:dyDescent="0.25">
      <c r="A438" s="14">
        <v>54239</v>
      </c>
      <c r="B438" s="17">
        <f>CHOOSE(CONTROL!$C$42, 22.2319, 22.2319) * CHOOSE(CONTROL!$C$21, $C$9, 100%, $E$9)</f>
        <v>22.2319</v>
      </c>
      <c r="C438" s="17">
        <f>CHOOSE(CONTROL!$C$42, 22.2398, 22.2398) * CHOOSE(CONTROL!$C$21, $C$9, 100%, $E$9)</f>
        <v>22.239799999999999</v>
      </c>
      <c r="D438" s="17">
        <f>CHOOSE(CONTROL!$C$42, 22.4843, 22.4843) * CHOOSE(CONTROL!$C$21, $C$9, 100%, $E$9)</f>
        <v>22.484300000000001</v>
      </c>
      <c r="E438" s="17">
        <f>CHOOSE(CONTROL!$C$42, 22.5155, 22.5155) * CHOOSE(CONTROL!$C$21, $C$9, 100%, $E$9)</f>
        <v>22.515499999999999</v>
      </c>
      <c r="F438" s="17">
        <f>CHOOSE(CONTROL!$C$42, 22.2427, 22.2427)*CHOOSE(CONTROL!$C$21, $C$9, 100%, $E$9)</f>
        <v>22.242699999999999</v>
      </c>
      <c r="G438" s="17">
        <f>CHOOSE(CONTROL!$C$42, 22.259, 22.259)*CHOOSE(CONTROL!$C$21, $C$9, 100%, $E$9)</f>
        <v>22.259</v>
      </c>
      <c r="H438" s="17">
        <f>CHOOSE(CONTROL!$C$42, 22.5038, 22.5038) * CHOOSE(CONTROL!$C$21, $C$9, 100%, $E$9)</f>
        <v>22.503799999999998</v>
      </c>
      <c r="I438" s="17">
        <f>CHOOSE(CONTROL!$C$42, 22.3221, 22.3221)* CHOOSE(CONTROL!$C$21, $C$9, 100%, $E$9)</f>
        <v>22.322099999999999</v>
      </c>
      <c r="J438" s="17">
        <f>CHOOSE(CONTROL!$C$42, 22.2353, 22.2353)* CHOOSE(CONTROL!$C$21, $C$9, 100%, $E$9)</f>
        <v>22.235299999999999</v>
      </c>
      <c r="K438" s="52">
        <f>CHOOSE(CONTROL!$C$42, 22.3161, 22.3161) * CHOOSE(CONTROL!$C$21, $C$9, 100%, $E$9)</f>
        <v>22.316099999999999</v>
      </c>
      <c r="L438" s="17">
        <f>CHOOSE(CONTROL!$C$42, 23.0908, 23.0908) * CHOOSE(CONTROL!$C$21, $C$9, 100%, $E$9)</f>
        <v>23.090800000000002</v>
      </c>
      <c r="M438" s="17">
        <f>CHOOSE(CONTROL!$C$42, 22.0424, 22.0424) * CHOOSE(CONTROL!$C$21, $C$9, 100%, $E$9)</f>
        <v>22.042400000000001</v>
      </c>
      <c r="N438" s="17">
        <f>CHOOSE(CONTROL!$C$42, 22.0585, 22.0585) * CHOOSE(CONTROL!$C$21, $C$9, 100%, $E$9)</f>
        <v>22.058499999999999</v>
      </c>
      <c r="O438" s="17">
        <f>CHOOSE(CONTROL!$C$42, 22.3084, 22.3084) * CHOOSE(CONTROL!$C$21, $C$9, 100%, $E$9)</f>
        <v>22.308399999999999</v>
      </c>
      <c r="P438" s="17">
        <f>CHOOSE(CONTROL!$C$42, 22.1278, 22.1278) * CHOOSE(CONTROL!$C$21, $C$9, 100%, $E$9)</f>
        <v>22.127800000000001</v>
      </c>
      <c r="Q438" s="17">
        <f>CHOOSE(CONTROL!$C$42, 22.9031, 22.9031) * CHOOSE(CONTROL!$C$21, $C$9, 100%, $E$9)</f>
        <v>22.903099999999998</v>
      </c>
      <c r="R438" s="17">
        <f>CHOOSE(CONTROL!$C$42, 23.5474, 23.5474) * CHOOSE(CONTROL!$C$21, $C$9, 100%, $E$9)</f>
        <v>23.5474</v>
      </c>
      <c r="S438" s="17">
        <f>CHOOSE(CONTROL!$C$42, 21.5466, 21.5466) * CHOOSE(CONTROL!$C$21, $C$9, 100%, $E$9)</f>
        <v>21.546600000000002</v>
      </c>
      <c r="T43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38" s="56">
        <f>(1000*CHOOSE(CONTROL!$C$42, 695, 695)*CHOOSE(CONTROL!$C$42, 0.5599, 0.5599)*CHOOSE(CONTROL!$C$42, 30, 30))/1000000</f>
        <v>11.673914999999997</v>
      </c>
      <c r="V438" s="56">
        <f>(1000*CHOOSE(CONTROL!$C$42, 500, 500)*CHOOSE(CONTROL!$C$42, 0.275, 0.275)*CHOOSE(CONTROL!$C$42, 30, 30))/1000000</f>
        <v>4.125</v>
      </c>
      <c r="W438" s="56">
        <f>(1000*CHOOSE(CONTROL!$C$42, 0.0916, 0.0916)*CHOOSE(CONTROL!$C$42, 121.5, 121.5)*CHOOSE(CONTROL!$C$42, 30, 30))/1000000</f>
        <v>0.33388200000000001</v>
      </c>
      <c r="X438" s="56">
        <f>(30*0.1790888*145000/1000000)+(30*0.2374*100000/1000000)</f>
        <v>1.4912362799999999</v>
      </c>
      <c r="Y438" s="56"/>
      <c r="Z438" s="17"/>
      <c r="AA438" s="55"/>
      <c r="AB438" s="48">
        <f>(B438*194.205+C438*267.466+D438*133.845+E438*153.484+F438*40+G438*85+H438*0+I438*100+J438*300)/(194.205+267.466+133.845+153.484+0+40+85+100+300)</f>
        <v>22.304269718838302</v>
      </c>
      <c r="AC438" s="45">
        <f>(M438*'RAP TEMPLATE-GAS AVAILABILITY'!O437+N438*'RAP TEMPLATE-GAS AVAILABILITY'!P437+O438*'RAP TEMPLATE-GAS AVAILABILITY'!Q437+P438*'RAP TEMPLATE-GAS AVAILABILITY'!R437)/('RAP TEMPLATE-GAS AVAILABILITY'!O437+'RAP TEMPLATE-GAS AVAILABILITY'!P437+'RAP TEMPLATE-GAS AVAILABILITY'!Q437+'RAP TEMPLATE-GAS AVAILABILITY'!R437)</f>
        <v>22.133027338129494</v>
      </c>
    </row>
    <row r="439" spans="1:29" ht="15.75" x14ac:dyDescent="0.25">
      <c r="A439" s="14">
        <v>54270</v>
      </c>
      <c r="B439" s="17">
        <f>CHOOSE(CONTROL!$C$42, 21.8056, 21.8056) * CHOOSE(CONTROL!$C$21, $C$9, 100%, $E$9)</f>
        <v>21.805599999999998</v>
      </c>
      <c r="C439" s="17">
        <f>CHOOSE(CONTROL!$C$42, 21.8136, 21.8136) * CHOOSE(CONTROL!$C$21, $C$9, 100%, $E$9)</f>
        <v>21.813600000000001</v>
      </c>
      <c r="D439" s="17">
        <f>CHOOSE(CONTROL!$C$42, 22.058, 22.058) * CHOOSE(CONTROL!$C$21, $C$9, 100%, $E$9)</f>
        <v>22.058</v>
      </c>
      <c r="E439" s="17">
        <f>CHOOSE(CONTROL!$C$42, 22.0892, 22.0892) * CHOOSE(CONTROL!$C$21, $C$9, 100%, $E$9)</f>
        <v>22.089200000000002</v>
      </c>
      <c r="F439" s="17">
        <f>CHOOSE(CONTROL!$C$42, 21.8169, 21.8169)*CHOOSE(CONTROL!$C$21, $C$9, 100%, $E$9)</f>
        <v>21.8169</v>
      </c>
      <c r="G439" s="17">
        <f>CHOOSE(CONTROL!$C$42, 21.8333, 21.8333)*CHOOSE(CONTROL!$C$21, $C$9, 100%, $E$9)</f>
        <v>21.833300000000001</v>
      </c>
      <c r="H439" s="17">
        <f>CHOOSE(CONTROL!$C$42, 22.0775, 22.0775) * CHOOSE(CONTROL!$C$21, $C$9, 100%, $E$9)</f>
        <v>22.077500000000001</v>
      </c>
      <c r="I439" s="17">
        <f>CHOOSE(CONTROL!$C$42, 21.8945, 21.8945)* CHOOSE(CONTROL!$C$21, $C$9, 100%, $E$9)</f>
        <v>21.894500000000001</v>
      </c>
      <c r="J439" s="17">
        <f>CHOOSE(CONTROL!$C$42, 21.8095, 21.8095)* CHOOSE(CONTROL!$C$21, $C$9, 100%, $E$9)</f>
        <v>21.8095</v>
      </c>
      <c r="K439" s="52">
        <f>CHOOSE(CONTROL!$C$42, 21.8885, 21.8885) * CHOOSE(CONTROL!$C$21, $C$9, 100%, $E$9)</f>
        <v>21.888500000000001</v>
      </c>
      <c r="L439" s="17">
        <f>CHOOSE(CONTROL!$C$42, 22.6645, 22.6645) * CHOOSE(CONTROL!$C$21, $C$9, 100%, $E$9)</f>
        <v>22.6645</v>
      </c>
      <c r="M439" s="17">
        <f>CHOOSE(CONTROL!$C$42, 21.6204, 21.6204) * CHOOSE(CONTROL!$C$21, $C$9, 100%, $E$9)</f>
        <v>21.6204</v>
      </c>
      <c r="N439" s="17">
        <f>CHOOSE(CONTROL!$C$42, 21.6367, 21.6367) * CHOOSE(CONTROL!$C$21, $C$9, 100%, $E$9)</f>
        <v>21.636700000000001</v>
      </c>
      <c r="O439" s="17">
        <f>CHOOSE(CONTROL!$C$42, 21.886, 21.886) * CHOOSE(CONTROL!$C$21, $C$9, 100%, $E$9)</f>
        <v>21.885999999999999</v>
      </c>
      <c r="P439" s="17">
        <f>CHOOSE(CONTROL!$C$42, 21.7041, 21.7041) * CHOOSE(CONTROL!$C$21, $C$9, 100%, $E$9)</f>
        <v>21.7041</v>
      </c>
      <c r="Q439" s="17">
        <f>CHOOSE(CONTROL!$C$42, 22.4807, 22.4807) * CHOOSE(CONTROL!$C$21, $C$9, 100%, $E$9)</f>
        <v>22.480699999999999</v>
      </c>
      <c r="R439" s="17">
        <f>CHOOSE(CONTROL!$C$42, 23.1239, 23.1239) * CHOOSE(CONTROL!$C$21, $C$9, 100%, $E$9)</f>
        <v>23.123899999999999</v>
      </c>
      <c r="S439" s="17">
        <f>CHOOSE(CONTROL!$C$42, 21.1333, 21.1333) * CHOOSE(CONTROL!$C$21, $C$9, 100%, $E$9)</f>
        <v>21.133299999999998</v>
      </c>
      <c r="T43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39" s="56">
        <f>(1000*CHOOSE(CONTROL!$C$42, 695, 695)*CHOOSE(CONTROL!$C$42, 0.5599, 0.5599)*CHOOSE(CONTROL!$C$42, 31, 31))/1000000</f>
        <v>12.063045499999998</v>
      </c>
      <c r="V439" s="56">
        <f>(1000*CHOOSE(CONTROL!$C$42, 500, 500)*CHOOSE(CONTROL!$C$42, 0.275, 0.275)*CHOOSE(CONTROL!$C$42, 31, 31))/1000000</f>
        <v>4.2625000000000002</v>
      </c>
      <c r="W439" s="56">
        <f>(1000*CHOOSE(CONTROL!$C$42, 0.0916, 0.0916)*CHOOSE(CONTROL!$C$42, 121.5, 121.5)*CHOOSE(CONTROL!$C$42, 31, 31))/1000000</f>
        <v>0.34501139999999997</v>
      </c>
      <c r="X439" s="56">
        <f>(31*0.1790888*145000/1000000)+(31*0.2374*100000/1000000)</f>
        <v>1.5409441560000001</v>
      </c>
      <c r="Y439" s="56"/>
      <c r="Z439" s="17"/>
      <c r="AA439" s="55"/>
      <c r="AB439" s="48">
        <f>(B439*194.205+C439*267.466+D439*133.845+E439*153.484+F439*40+G439*85+H439*0+I439*100+J439*300)/(194.205+267.466+133.845+153.484+0+40+85+100+300)</f>
        <v>21.878062141601255</v>
      </c>
      <c r="AC439" s="45">
        <f>(M439*'RAP TEMPLATE-GAS AVAILABILITY'!O438+N439*'RAP TEMPLATE-GAS AVAILABILITY'!P438+O439*'RAP TEMPLATE-GAS AVAILABILITY'!Q438+P439*'RAP TEMPLATE-GAS AVAILABILITY'!R438)/('RAP TEMPLATE-GAS AVAILABILITY'!O438+'RAP TEMPLATE-GAS AVAILABILITY'!P438+'RAP TEMPLATE-GAS AVAILABILITY'!Q438+'RAP TEMPLATE-GAS AVAILABILITY'!R438)</f>
        <v>21.71071654676259</v>
      </c>
    </row>
    <row r="440" spans="1:29" ht="15.75" x14ac:dyDescent="0.25">
      <c r="A440" s="14">
        <v>54301</v>
      </c>
      <c r="B440" s="17">
        <f>CHOOSE(CONTROL!$C$42, 20.7291, 20.7291) * CHOOSE(CONTROL!$C$21, $C$9, 100%, $E$9)</f>
        <v>20.729099999999999</v>
      </c>
      <c r="C440" s="17">
        <f>CHOOSE(CONTROL!$C$42, 20.7371, 20.7371) * CHOOSE(CONTROL!$C$21, $C$9, 100%, $E$9)</f>
        <v>20.737100000000002</v>
      </c>
      <c r="D440" s="17">
        <f>CHOOSE(CONTROL!$C$42, 20.9816, 20.9816) * CHOOSE(CONTROL!$C$21, $C$9, 100%, $E$9)</f>
        <v>20.9816</v>
      </c>
      <c r="E440" s="17">
        <f>CHOOSE(CONTROL!$C$42, 21.0128, 21.0128) * CHOOSE(CONTROL!$C$21, $C$9, 100%, $E$9)</f>
        <v>21.012799999999999</v>
      </c>
      <c r="F440" s="17">
        <f>CHOOSE(CONTROL!$C$42, 20.7407, 20.7407)*CHOOSE(CONTROL!$C$21, $C$9, 100%, $E$9)</f>
        <v>20.7407</v>
      </c>
      <c r="G440" s="17">
        <f>CHOOSE(CONTROL!$C$42, 20.7572, 20.7572)*CHOOSE(CONTROL!$C$21, $C$9, 100%, $E$9)</f>
        <v>20.757200000000001</v>
      </c>
      <c r="H440" s="17">
        <f>CHOOSE(CONTROL!$C$42, 21.0011, 21.0011) * CHOOSE(CONTROL!$C$21, $C$9, 100%, $E$9)</f>
        <v>21.001100000000001</v>
      </c>
      <c r="I440" s="17">
        <f>CHOOSE(CONTROL!$C$42, 20.8147, 20.8147)* CHOOSE(CONTROL!$C$21, $C$9, 100%, $E$9)</f>
        <v>20.814699999999998</v>
      </c>
      <c r="J440" s="17">
        <f>CHOOSE(CONTROL!$C$42, 20.7333, 20.7333)* CHOOSE(CONTROL!$C$21, $C$9, 100%, $E$9)</f>
        <v>20.7333</v>
      </c>
      <c r="K440" s="52">
        <f>CHOOSE(CONTROL!$C$42, 20.8087, 20.8087) * CHOOSE(CONTROL!$C$21, $C$9, 100%, $E$9)</f>
        <v>20.808700000000002</v>
      </c>
      <c r="L440" s="17">
        <f>CHOOSE(CONTROL!$C$42, 21.5881, 21.5881) * CHOOSE(CONTROL!$C$21, $C$9, 100%, $E$9)</f>
        <v>21.588100000000001</v>
      </c>
      <c r="M440" s="17">
        <f>CHOOSE(CONTROL!$C$42, 20.5538, 20.5538) * CHOOSE(CONTROL!$C$21, $C$9, 100%, $E$9)</f>
        <v>20.553799999999999</v>
      </c>
      <c r="N440" s="17">
        <f>CHOOSE(CONTROL!$C$42, 20.5702, 20.5702) * CHOOSE(CONTROL!$C$21, $C$9, 100%, $E$9)</f>
        <v>20.5702</v>
      </c>
      <c r="O440" s="17">
        <f>CHOOSE(CONTROL!$C$42, 20.8192, 20.8192) * CHOOSE(CONTROL!$C$21, $C$9, 100%, $E$9)</f>
        <v>20.819199999999999</v>
      </c>
      <c r="P440" s="17">
        <f>CHOOSE(CONTROL!$C$42, 20.634, 20.634) * CHOOSE(CONTROL!$C$21, $C$9, 100%, $E$9)</f>
        <v>20.634</v>
      </c>
      <c r="Q440" s="17">
        <f>CHOOSE(CONTROL!$C$42, 21.4139, 21.4139) * CHOOSE(CONTROL!$C$21, $C$9, 100%, $E$9)</f>
        <v>21.413900000000002</v>
      </c>
      <c r="R440" s="17">
        <f>CHOOSE(CONTROL!$C$42, 22.0544, 22.0544) * CHOOSE(CONTROL!$C$21, $C$9, 100%, $E$9)</f>
        <v>22.054400000000001</v>
      </c>
      <c r="S440" s="17">
        <f>CHOOSE(CONTROL!$C$42, 20.0895, 20.0895) * CHOOSE(CONTROL!$C$21, $C$9, 100%, $E$9)</f>
        <v>20.089500000000001</v>
      </c>
      <c r="T44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40" s="56">
        <f>(1000*CHOOSE(CONTROL!$C$42, 695, 695)*CHOOSE(CONTROL!$C$42, 0.5599, 0.5599)*CHOOSE(CONTROL!$C$42, 31, 31))/1000000</f>
        <v>12.063045499999998</v>
      </c>
      <c r="V440" s="56">
        <f>(1000*CHOOSE(CONTROL!$C$42, 500, 500)*CHOOSE(CONTROL!$C$42, 0.275, 0.275)*CHOOSE(CONTROL!$C$42, 31, 31))/1000000</f>
        <v>4.2625000000000002</v>
      </c>
      <c r="W440" s="56">
        <f>(1000*CHOOSE(CONTROL!$C$42, 0.0916, 0.0916)*CHOOSE(CONTROL!$C$42, 121.5, 121.5)*CHOOSE(CONTROL!$C$42, 31, 31))/1000000</f>
        <v>0.34501139999999997</v>
      </c>
      <c r="X440" s="56">
        <f>(31*0.1790888*145000/1000000)+(31*0.2374*100000/1000000)</f>
        <v>1.5409441560000001</v>
      </c>
      <c r="Y440" s="56"/>
      <c r="Z440" s="17"/>
      <c r="AA440" s="55"/>
      <c r="AB440" s="48">
        <f>(B440*194.205+C440*267.466+D440*133.845+E440*153.484+F440*40+G440*85+H440*0+I440*100+J440*300)/(194.205+267.466+133.845+153.484+0+40+85+100+300)</f>
        <v>20.801432418602833</v>
      </c>
      <c r="AC440" s="45">
        <f>(M440*'RAP TEMPLATE-GAS AVAILABILITY'!O439+N440*'RAP TEMPLATE-GAS AVAILABILITY'!P439+O440*'RAP TEMPLATE-GAS AVAILABILITY'!Q439+P440*'RAP TEMPLATE-GAS AVAILABILITY'!R439)/('RAP TEMPLATE-GAS AVAILABILITY'!O439+'RAP TEMPLATE-GAS AVAILABILITY'!P439+'RAP TEMPLATE-GAS AVAILABILITY'!Q439+'RAP TEMPLATE-GAS AVAILABILITY'!R439)</f>
        <v>20.643579856115107</v>
      </c>
    </row>
    <row r="441" spans="1:29" ht="15.75" x14ac:dyDescent="0.25">
      <c r="A441" s="14">
        <v>54331</v>
      </c>
      <c r="B441" s="17">
        <f>CHOOSE(CONTROL!$C$42, 19.4137, 19.4137) * CHOOSE(CONTROL!$C$21, $C$9, 100%, $E$9)</f>
        <v>19.413699999999999</v>
      </c>
      <c r="C441" s="17">
        <f>CHOOSE(CONTROL!$C$42, 19.4217, 19.4217) * CHOOSE(CONTROL!$C$21, $C$9, 100%, $E$9)</f>
        <v>19.421700000000001</v>
      </c>
      <c r="D441" s="17">
        <f>CHOOSE(CONTROL!$C$42, 19.6661, 19.6661) * CHOOSE(CONTROL!$C$21, $C$9, 100%, $E$9)</f>
        <v>19.6661</v>
      </c>
      <c r="E441" s="17">
        <f>CHOOSE(CONTROL!$C$42, 19.6973, 19.6973) * CHOOSE(CONTROL!$C$21, $C$9, 100%, $E$9)</f>
        <v>19.697299999999998</v>
      </c>
      <c r="F441" s="17">
        <f>CHOOSE(CONTROL!$C$42, 19.4253, 19.4253)*CHOOSE(CONTROL!$C$21, $C$9, 100%, $E$9)</f>
        <v>19.4253</v>
      </c>
      <c r="G441" s="17">
        <f>CHOOSE(CONTROL!$C$42, 19.4418, 19.4418)*CHOOSE(CONTROL!$C$21, $C$9, 100%, $E$9)</f>
        <v>19.441800000000001</v>
      </c>
      <c r="H441" s="17">
        <f>CHOOSE(CONTROL!$C$42, 19.6856, 19.6856) * CHOOSE(CONTROL!$C$21, $C$9, 100%, $E$9)</f>
        <v>19.685600000000001</v>
      </c>
      <c r="I441" s="17">
        <f>CHOOSE(CONTROL!$C$42, 19.4952, 19.4952)* CHOOSE(CONTROL!$C$21, $C$9, 100%, $E$9)</f>
        <v>19.495200000000001</v>
      </c>
      <c r="J441" s="17">
        <f>CHOOSE(CONTROL!$C$42, 19.4179, 19.4179)* CHOOSE(CONTROL!$C$21, $C$9, 100%, $E$9)</f>
        <v>19.417899999999999</v>
      </c>
      <c r="K441" s="52">
        <f>CHOOSE(CONTROL!$C$42, 19.4891, 19.4891) * CHOOSE(CONTROL!$C$21, $C$9, 100%, $E$9)</f>
        <v>19.489100000000001</v>
      </c>
      <c r="L441" s="17">
        <f>CHOOSE(CONTROL!$C$42, 20.2726, 20.2726) * CHOOSE(CONTROL!$C$21, $C$9, 100%, $E$9)</f>
        <v>20.272600000000001</v>
      </c>
      <c r="M441" s="17">
        <f>CHOOSE(CONTROL!$C$42, 19.2503, 19.2503) * CHOOSE(CONTROL!$C$21, $C$9, 100%, $E$9)</f>
        <v>19.250299999999999</v>
      </c>
      <c r="N441" s="17">
        <f>CHOOSE(CONTROL!$C$42, 19.2666, 19.2666) * CHOOSE(CONTROL!$C$21, $C$9, 100%, $E$9)</f>
        <v>19.2666</v>
      </c>
      <c r="O441" s="17">
        <f>CHOOSE(CONTROL!$C$42, 19.5156, 19.5156) * CHOOSE(CONTROL!$C$21, $C$9, 100%, $E$9)</f>
        <v>19.515599999999999</v>
      </c>
      <c r="P441" s="17">
        <f>CHOOSE(CONTROL!$C$42, 19.3264, 19.3264) * CHOOSE(CONTROL!$C$21, $C$9, 100%, $E$9)</f>
        <v>19.3264</v>
      </c>
      <c r="Q441" s="17">
        <f>CHOOSE(CONTROL!$C$42, 20.1103, 20.1103) * CHOOSE(CONTROL!$C$21, $C$9, 100%, $E$9)</f>
        <v>20.110299999999999</v>
      </c>
      <c r="R441" s="17">
        <f>CHOOSE(CONTROL!$C$42, 20.7476, 20.7476) * CHOOSE(CONTROL!$C$21, $C$9, 100%, $E$9)</f>
        <v>20.747599999999998</v>
      </c>
      <c r="S441" s="17">
        <f>CHOOSE(CONTROL!$C$42, 18.8139, 18.8139) * CHOOSE(CONTROL!$C$21, $C$9, 100%, $E$9)</f>
        <v>18.8139</v>
      </c>
      <c r="T44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41" s="56">
        <f>(1000*CHOOSE(CONTROL!$C$42, 695, 695)*CHOOSE(CONTROL!$C$42, 0.5599, 0.5599)*CHOOSE(CONTROL!$C$42, 30, 30))/1000000</f>
        <v>11.673914999999997</v>
      </c>
      <c r="V441" s="56">
        <f>(1000*CHOOSE(CONTROL!$C$42, 500, 500)*CHOOSE(CONTROL!$C$42, 0.275, 0.275)*CHOOSE(CONTROL!$C$42, 30, 30))/1000000</f>
        <v>4.125</v>
      </c>
      <c r="W441" s="56">
        <f>(1000*CHOOSE(CONTROL!$C$42, 0.0916, 0.0916)*CHOOSE(CONTROL!$C$42, 121.5, 121.5)*CHOOSE(CONTROL!$C$42, 30, 30))/1000000</f>
        <v>0.33388200000000001</v>
      </c>
      <c r="X441" s="56">
        <f>(30*0.1790888*145000/1000000)+(30*0.2374*100000/1000000)</f>
        <v>1.4912362799999999</v>
      </c>
      <c r="Y441" s="56"/>
      <c r="Z441" s="17"/>
      <c r="AA441" s="55"/>
      <c r="AB441" s="48">
        <f>(B441*194.205+C441*267.466+D441*133.845+E441*153.484+F441*40+G441*85+H441*0+I441*100+J441*300)/(194.205+267.466+133.845+153.484+0+40+85+100+300)</f>
        <v>19.485688044270017</v>
      </c>
      <c r="AC441" s="45">
        <f>(M441*'RAP TEMPLATE-GAS AVAILABILITY'!O440+N441*'RAP TEMPLATE-GAS AVAILABILITY'!P440+O441*'RAP TEMPLATE-GAS AVAILABILITY'!Q440+P441*'RAP TEMPLATE-GAS AVAILABILITY'!R440)/('RAP TEMPLATE-GAS AVAILABILITY'!O440+'RAP TEMPLATE-GAS AVAILABILITY'!P440+'RAP TEMPLATE-GAS AVAILABILITY'!Q440+'RAP TEMPLATE-GAS AVAILABILITY'!R440)</f>
        <v>19.339438848920864</v>
      </c>
    </row>
    <row r="442" spans="1:29" ht="15.75" x14ac:dyDescent="0.25">
      <c r="A442" s="14">
        <v>54362</v>
      </c>
      <c r="B442" s="17">
        <f>CHOOSE(CONTROL!$C$42, 19.018, 19.018) * CHOOSE(CONTROL!$C$21, $C$9, 100%, $E$9)</f>
        <v>19.018000000000001</v>
      </c>
      <c r="C442" s="17">
        <f>CHOOSE(CONTROL!$C$42, 19.0234, 19.0234) * CHOOSE(CONTROL!$C$21, $C$9, 100%, $E$9)</f>
        <v>19.023399999999999</v>
      </c>
      <c r="D442" s="17">
        <f>CHOOSE(CONTROL!$C$42, 19.2727, 19.2727) * CHOOSE(CONTROL!$C$21, $C$9, 100%, $E$9)</f>
        <v>19.2727</v>
      </c>
      <c r="E442" s="17">
        <f>CHOOSE(CONTROL!$C$42, 19.3016, 19.3016) * CHOOSE(CONTROL!$C$21, $C$9, 100%, $E$9)</f>
        <v>19.301600000000001</v>
      </c>
      <c r="F442" s="17">
        <f>CHOOSE(CONTROL!$C$42, 19.0318, 19.0318)*CHOOSE(CONTROL!$C$21, $C$9, 100%, $E$9)</f>
        <v>19.0318</v>
      </c>
      <c r="G442" s="17">
        <f>CHOOSE(CONTROL!$C$42, 19.0482, 19.0482)*CHOOSE(CONTROL!$C$21, $C$9, 100%, $E$9)</f>
        <v>19.048200000000001</v>
      </c>
      <c r="H442" s="17">
        <f>CHOOSE(CONTROL!$C$42, 19.2917, 19.2917) * CHOOSE(CONTROL!$C$21, $C$9, 100%, $E$9)</f>
        <v>19.291699999999999</v>
      </c>
      <c r="I442" s="17">
        <f>CHOOSE(CONTROL!$C$42, 19.1, 19.1)* CHOOSE(CONTROL!$C$21, $C$9, 100%, $E$9)</f>
        <v>19.100000000000001</v>
      </c>
      <c r="J442" s="17">
        <f>CHOOSE(CONTROL!$C$42, 19.0244, 19.0244)* CHOOSE(CONTROL!$C$21, $C$9, 100%, $E$9)</f>
        <v>19.0244</v>
      </c>
      <c r="K442" s="52">
        <f>CHOOSE(CONTROL!$C$42, 19.094, 19.094) * CHOOSE(CONTROL!$C$21, $C$9, 100%, $E$9)</f>
        <v>19.094000000000001</v>
      </c>
      <c r="L442" s="17">
        <f>CHOOSE(CONTROL!$C$42, 19.8787, 19.8787) * CHOOSE(CONTROL!$C$21, $C$9, 100%, $E$9)</f>
        <v>19.878699999999998</v>
      </c>
      <c r="M442" s="17">
        <f>CHOOSE(CONTROL!$C$42, 18.8603, 18.8603) * CHOOSE(CONTROL!$C$21, $C$9, 100%, $E$9)</f>
        <v>18.860299999999999</v>
      </c>
      <c r="N442" s="17">
        <f>CHOOSE(CONTROL!$C$42, 18.8766, 18.8766) * CHOOSE(CONTROL!$C$21, $C$9, 100%, $E$9)</f>
        <v>18.8766</v>
      </c>
      <c r="O442" s="17">
        <f>CHOOSE(CONTROL!$C$42, 19.1252, 19.1252) * CHOOSE(CONTROL!$C$21, $C$9, 100%, $E$9)</f>
        <v>19.1252</v>
      </c>
      <c r="P442" s="17">
        <f>CHOOSE(CONTROL!$C$42, 18.9348, 18.9348) * CHOOSE(CONTROL!$C$21, $C$9, 100%, $E$9)</f>
        <v>18.934799999999999</v>
      </c>
      <c r="Q442" s="17">
        <f>CHOOSE(CONTROL!$C$42, 19.7199, 19.7199) * CHOOSE(CONTROL!$C$21, $C$9, 100%, $E$9)</f>
        <v>19.719899999999999</v>
      </c>
      <c r="R442" s="17">
        <f>CHOOSE(CONTROL!$C$42, 20.3562, 20.3562) * CHOOSE(CONTROL!$C$21, $C$9, 100%, $E$9)</f>
        <v>20.356200000000001</v>
      </c>
      <c r="S442" s="17">
        <f>CHOOSE(CONTROL!$C$42, 18.4319, 18.4319) * CHOOSE(CONTROL!$C$21, $C$9, 100%, $E$9)</f>
        <v>18.431899999999999</v>
      </c>
      <c r="T44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42" s="56">
        <f>(1000*CHOOSE(CONTROL!$C$42, 695, 695)*CHOOSE(CONTROL!$C$42, 0.5599, 0.5599)*CHOOSE(CONTROL!$C$42, 31, 31))/1000000</f>
        <v>12.063045499999998</v>
      </c>
      <c r="V442" s="56">
        <f>(1000*CHOOSE(CONTROL!$C$42, 500, 500)*CHOOSE(CONTROL!$C$42, 0.275, 0.275)*CHOOSE(CONTROL!$C$42, 31, 31))/1000000</f>
        <v>4.2625000000000002</v>
      </c>
      <c r="W442" s="56">
        <f>(1000*CHOOSE(CONTROL!$C$42, 0.0916, 0.0916)*CHOOSE(CONTROL!$C$42, 121.5, 121.5)*CHOOSE(CONTROL!$C$42, 31, 31))/1000000</f>
        <v>0.34501139999999997</v>
      </c>
      <c r="X442" s="56">
        <f>(31*0.1790888*145000/1000000)+(31*0.2374*100000/1000000)</f>
        <v>1.5409441560000001</v>
      </c>
      <c r="Y442" s="56"/>
      <c r="Z442" s="17"/>
      <c r="AA442" s="55"/>
      <c r="AB442" s="48">
        <f>(B442*131.881+C442*277.167+D442*79.08+E442*225.872+F442*40+G442*85+H442*0+I442*100+J442*300)/(131.881+277.167+79.08+225.872+0+40+85+100+300)</f>
        <v>19.097850425343019</v>
      </c>
      <c r="AC442" s="45">
        <f>(M442*'RAP TEMPLATE-GAS AVAILABILITY'!O441+N442*'RAP TEMPLATE-GAS AVAILABILITY'!P441+O442*'RAP TEMPLATE-GAS AVAILABILITY'!Q441+P442*'RAP TEMPLATE-GAS AVAILABILITY'!R441)/('RAP TEMPLATE-GAS AVAILABILITY'!O441+'RAP TEMPLATE-GAS AVAILABILITY'!P441+'RAP TEMPLATE-GAS AVAILABILITY'!Q441+'RAP TEMPLATE-GAS AVAILABILITY'!R441)</f>
        <v>18.949096402877696</v>
      </c>
    </row>
    <row r="443" spans="1:29" ht="15.75" x14ac:dyDescent="0.25">
      <c r="A443" s="14">
        <v>54392</v>
      </c>
      <c r="B443" s="17">
        <f>CHOOSE(CONTROL!$C$42, 19.5184, 19.5184) * CHOOSE(CONTROL!$C$21, $C$9, 100%, $E$9)</f>
        <v>19.5184</v>
      </c>
      <c r="C443" s="17">
        <f>CHOOSE(CONTROL!$C$42, 19.5234, 19.5234) * CHOOSE(CONTROL!$C$21, $C$9, 100%, $E$9)</f>
        <v>19.523399999999999</v>
      </c>
      <c r="D443" s="17">
        <f>CHOOSE(CONTROL!$C$42, 19.6048, 19.6048) * CHOOSE(CONTROL!$C$21, $C$9, 100%, $E$9)</f>
        <v>19.604800000000001</v>
      </c>
      <c r="E443" s="17">
        <f>CHOOSE(CONTROL!$C$42, 19.6386, 19.6386) * CHOOSE(CONTROL!$C$21, $C$9, 100%, $E$9)</f>
        <v>19.6386</v>
      </c>
      <c r="F443" s="17">
        <f>CHOOSE(CONTROL!$C$42, 19.5363, 19.5363)*CHOOSE(CONTROL!$C$21, $C$9, 100%, $E$9)</f>
        <v>19.536300000000001</v>
      </c>
      <c r="G443" s="17">
        <f>CHOOSE(CONTROL!$C$42, 19.553, 19.553)*CHOOSE(CONTROL!$C$21, $C$9, 100%, $E$9)</f>
        <v>19.553000000000001</v>
      </c>
      <c r="H443" s="17">
        <f>CHOOSE(CONTROL!$C$42, 19.6274, 19.6274) * CHOOSE(CONTROL!$C$21, $C$9, 100%, $E$9)</f>
        <v>19.627400000000002</v>
      </c>
      <c r="I443" s="17">
        <f>CHOOSE(CONTROL!$C$42, 19.6039, 19.6039)* CHOOSE(CONTROL!$C$21, $C$9, 100%, $E$9)</f>
        <v>19.603899999999999</v>
      </c>
      <c r="J443" s="17">
        <f>CHOOSE(CONTROL!$C$42, 19.5289, 19.5289)* CHOOSE(CONTROL!$C$21, $C$9, 100%, $E$9)</f>
        <v>19.5289</v>
      </c>
      <c r="K443" s="52">
        <f>CHOOSE(CONTROL!$C$42, 19.5978, 19.5978) * CHOOSE(CONTROL!$C$21, $C$9, 100%, $E$9)</f>
        <v>19.597799999999999</v>
      </c>
      <c r="L443" s="17">
        <f>CHOOSE(CONTROL!$C$42, 20.2144, 20.2144) * CHOOSE(CONTROL!$C$21, $C$9, 100%, $E$9)</f>
        <v>20.214400000000001</v>
      </c>
      <c r="M443" s="17">
        <f>CHOOSE(CONTROL!$C$42, 19.3603, 19.3603) * CHOOSE(CONTROL!$C$21, $C$9, 100%, $E$9)</f>
        <v>19.360299999999999</v>
      </c>
      <c r="N443" s="17">
        <f>CHOOSE(CONTROL!$C$42, 19.3768, 19.3768) * CHOOSE(CONTROL!$C$21, $C$9, 100%, $E$9)</f>
        <v>19.376799999999999</v>
      </c>
      <c r="O443" s="17">
        <f>CHOOSE(CONTROL!$C$42, 19.4579, 19.4579) * CHOOSE(CONTROL!$C$21, $C$9, 100%, $E$9)</f>
        <v>19.457899999999999</v>
      </c>
      <c r="P443" s="17">
        <f>CHOOSE(CONTROL!$C$42, 19.4341, 19.4341) * CHOOSE(CONTROL!$C$21, $C$9, 100%, $E$9)</f>
        <v>19.434100000000001</v>
      </c>
      <c r="Q443" s="17">
        <f>CHOOSE(CONTROL!$C$42, 20.0526, 20.0526) * CHOOSE(CONTROL!$C$21, $C$9, 100%, $E$9)</f>
        <v>20.052600000000002</v>
      </c>
      <c r="R443" s="17">
        <f>CHOOSE(CONTROL!$C$42, 20.6898, 20.6898) * CHOOSE(CONTROL!$C$21, $C$9, 100%, $E$9)</f>
        <v>20.689800000000002</v>
      </c>
      <c r="S443" s="17">
        <f>CHOOSE(CONTROL!$C$42, 18.9174, 18.9174) * CHOOSE(CONTROL!$C$21, $C$9, 100%, $E$9)</f>
        <v>18.917400000000001</v>
      </c>
      <c r="T44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43" s="56">
        <f>(1000*CHOOSE(CONTROL!$C$42, 695, 695)*CHOOSE(CONTROL!$C$42, 0.5599, 0.5599)*CHOOSE(CONTROL!$C$42, 30, 30))/1000000</f>
        <v>11.673914999999997</v>
      </c>
      <c r="V443" s="56">
        <f>(1000*CHOOSE(CONTROL!$C$42, 500, 500)*CHOOSE(CONTROL!$C$42, 0.275, 0.275)*CHOOSE(CONTROL!$C$42, 30, 30))/1000000</f>
        <v>4.125</v>
      </c>
      <c r="W443" s="56">
        <f>(1000*CHOOSE(CONTROL!$C$42, 0.0916, 0.0916)*CHOOSE(CONTROL!$C$42, 121.5, 121.5)*CHOOSE(CONTROL!$C$42, 30, 30))/1000000</f>
        <v>0.33388200000000001</v>
      </c>
      <c r="X443" s="56">
        <f>(30*0.2374*100000/1000000)</f>
        <v>0.71220000000000006</v>
      </c>
      <c r="Y443" s="56"/>
      <c r="Z443" s="17"/>
      <c r="AA443" s="55"/>
      <c r="AB443" s="48">
        <f>(B443*122.58+C443*297.941+D443*89.177+E443*140.302+F443*40+G443*60+H443*0+I443*100+J443*300)/(122.58+297.941+89.177+140.302+0+40+60+100+300)</f>
        <v>19.553661650608696</v>
      </c>
      <c r="AC443" s="45">
        <f>(M443*'RAP TEMPLATE-GAS AVAILABILITY'!O442+N443*'RAP TEMPLATE-GAS AVAILABILITY'!P442+O443*'RAP TEMPLATE-GAS AVAILABILITY'!Q442+P443*'RAP TEMPLATE-GAS AVAILABILITY'!R442)/('RAP TEMPLATE-GAS AVAILABILITY'!O442+'RAP TEMPLATE-GAS AVAILABILITY'!P442+'RAP TEMPLATE-GAS AVAILABILITY'!Q442+'RAP TEMPLATE-GAS AVAILABILITY'!R442)</f>
        <v>19.416104316546761</v>
      </c>
    </row>
    <row r="444" spans="1:29" ht="15.75" x14ac:dyDescent="0.25">
      <c r="A444" s="14">
        <v>54423</v>
      </c>
      <c r="B444" s="17">
        <f>CHOOSE(CONTROL!$C$42, 20.8484, 20.8484) * CHOOSE(CONTROL!$C$21, $C$9, 100%, $E$9)</f>
        <v>20.848400000000002</v>
      </c>
      <c r="C444" s="17">
        <f>CHOOSE(CONTROL!$C$42, 20.8535, 20.8535) * CHOOSE(CONTROL!$C$21, $C$9, 100%, $E$9)</f>
        <v>20.8535</v>
      </c>
      <c r="D444" s="17">
        <f>CHOOSE(CONTROL!$C$42, 20.9348, 20.9348) * CHOOSE(CONTROL!$C$21, $C$9, 100%, $E$9)</f>
        <v>20.934799999999999</v>
      </c>
      <c r="E444" s="17">
        <f>CHOOSE(CONTROL!$C$42, 20.9686, 20.9686) * CHOOSE(CONTROL!$C$21, $C$9, 100%, $E$9)</f>
        <v>20.968599999999999</v>
      </c>
      <c r="F444" s="17">
        <f>CHOOSE(CONTROL!$C$42, 20.8687, 20.8687)*CHOOSE(CONTROL!$C$21, $C$9, 100%, $E$9)</f>
        <v>20.8687</v>
      </c>
      <c r="G444" s="17">
        <f>CHOOSE(CONTROL!$C$42, 20.8861, 20.8861)*CHOOSE(CONTROL!$C$21, $C$9, 100%, $E$9)</f>
        <v>20.886099999999999</v>
      </c>
      <c r="H444" s="17">
        <f>CHOOSE(CONTROL!$C$42, 20.9575, 20.9575) * CHOOSE(CONTROL!$C$21, $C$9, 100%, $E$9)</f>
        <v>20.9575</v>
      </c>
      <c r="I444" s="17">
        <f>CHOOSE(CONTROL!$C$42, 20.938, 20.938)* CHOOSE(CONTROL!$C$21, $C$9, 100%, $E$9)</f>
        <v>20.937999999999999</v>
      </c>
      <c r="J444" s="17">
        <f>CHOOSE(CONTROL!$C$42, 20.8613, 20.8613)* CHOOSE(CONTROL!$C$21, $C$9, 100%, $E$9)</f>
        <v>20.8613</v>
      </c>
      <c r="K444" s="52">
        <f>CHOOSE(CONTROL!$C$42, 20.932, 20.932) * CHOOSE(CONTROL!$C$21, $C$9, 100%, $E$9)</f>
        <v>20.931999999999999</v>
      </c>
      <c r="L444" s="17">
        <f>CHOOSE(CONTROL!$C$42, 21.5445, 21.5445) * CHOOSE(CONTROL!$C$21, $C$9, 100%, $E$9)</f>
        <v>21.544499999999999</v>
      </c>
      <c r="M444" s="17">
        <f>CHOOSE(CONTROL!$C$42, 20.6807, 20.6807) * CHOOSE(CONTROL!$C$21, $C$9, 100%, $E$9)</f>
        <v>20.680700000000002</v>
      </c>
      <c r="N444" s="17">
        <f>CHOOSE(CONTROL!$C$42, 20.6979, 20.6979) * CHOOSE(CONTROL!$C$21, $C$9, 100%, $E$9)</f>
        <v>20.697900000000001</v>
      </c>
      <c r="O444" s="17">
        <f>CHOOSE(CONTROL!$C$42, 20.776, 20.776) * CHOOSE(CONTROL!$C$21, $C$9, 100%, $E$9)</f>
        <v>20.776</v>
      </c>
      <c r="P444" s="17">
        <f>CHOOSE(CONTROL!$C$42, 20.7562, 20.7562) * CHOOSE(CONTROL!$C$21, $C$9, 100%, $E$9)</f>
        <v>20.7562</v>
      </c>
      <c r="Q444" s="17">
        <f>CHOOSE(CONTROL!$C$42, 21.3707, 21.3707) * CHOOSE(CONTROL!$C$21, $C$9, 100%, $E$9)</f>
        <v>21.370699999999999</v>
      </c>
      <c r="R444" s="17">
        <f>CHOOSE(CONTROL!$C$42, 22.0111, 22.0111) * CHOOSE(CONTROL!$C$21, $C$9, 100%, $E$9)</f>
        <v>22.011099999999999</v>
      </c>
      <c r="S444" s="17">
        <f>CHOOSE(CONTROL!$C$42, 20.2072, 20.2072) * CHOOSE(CONTROL!$C$21, $C$9, 100%, $E$9)</f>
        <v>20.2072</v>
      </c>
      <c r="T44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44" s="56">
        <f>(1000*CHOOSE(CONTROL!$C$42, 695, 695)*CHOOSE(CONTROL!$C$42, 0.5599, 0.5599)*CHOOSE(CONTROL!$C$42, 31, 31))/1000000</f>
        <v>12.063045499999998</v>
      </c>
      <c r="V444" s="56">
        <f>(1000*CHOOSE(CONTROL!$C$42, 500, 500)*CHOOSE(CONTROL!$C$42, 0.275, 0.275)*CHOOSE(CONTROL!$C$42, 31, 31))/1000000</f>
        <v>4.2625000000000002</v>
      </c>
      <c r="W444" s="56">
        <f>(1000*CHOOSE(CONTROL!$C$42, 0.0916, 0.0916)*CHOOSE(CONTROL!$C$42, 121.5, 121.5)*CHOOSE(CONTROL!$C$42, 31, 31))/1000000</f>
        <v>0.34501139999999997</v>
      </c>
      <c r="X444" s="56">
        <f>(31*0.2374*100000/1000000)</f>
        <v>0.73594000000000004</v>
      </c>
      <c r="Y444" s="56"/>
      <c r="Z444" s="17"/>
      <c r="AA444" s="55"/>
      <c r="AB444" s="48">
        <f>(B444*122.58+C444*297.941+D444*89.177+E444*140.302+F444*40+G444*60+H444*0+I444*100+J444*300)/(122.58+297.941+89.177+140.302+0+40+60+100+300)</f>
        <v>20.884915384608693</v>
      </c>
      <c r="AC444" s="45">
        <f>(M444*'RAP TEMPLATE-GAS AVAILABILITY'!O443+N444*'RAP TEMPLATE-GAS AVAILABILITY'!P443+O444*'RAP TEMPLATE-GAS AVAILABILITY'!Q443+P444*'RAP TEMPLATE-GAS AVAILABILITY'!R443)/('RAP TEMPLATE-GAS AVAILABILITY'!O443+'RAP TEMPLATE-GAS AVAILABILITY'!P443+'RAP TEMPLATE-GAS AVAILABILITY'!Q443+'RAP TEMPLATE-GAS AVAILABILITY'!R443)</f>
        <v>20.73574676258993</v>
      </c>
    </row>
    <row r="445" spans="1:29" ht="15.75" x14ac:dyDescent="0.25">
      <c r="A445" s="14">
        <v>54454</v>
      </c>
      <c r="B445" s="17">
        <f>CHOOSE(CONTROL!$C$42, 22.5759, 22.5759) * CHOOSE(CONTROL!$C$21, $C$9, 100%, $E$9)</f>
        <v>22.575900000000001</v>
      </c>
      <c r="C445" s="17">
        <f>CHOOSE(CONTROL!$C$42, 22.581, 22.581) * CHOOSE(CONTROL!$C$21, $C$9, 100%, $E$9)</f>
        <v>22.581</v>
      </c>
      <c r="D445" s="17">
        <f>CHOOSE(CONTROL!$C$42, 22.6778, 22.6778) * CHOOSE(CONTROL!$C$21, $C$9, 100%, $E$9)</f>
        <v>22.677800000000001</v>
      </c>
      <c r="E445" s="17">
        <f>CHOOSE(CONTROL!$C$42, 22.7115, 22.7115) * CHOOSE(CONTROL!$C$21, $C$9, 100%, $E$9)</f>
        <v>22.711500000000001</v>
      </c>
      <c r="F445" s="17">
        <f>CHOOSE(CONTROL!$C$42, 22.5901, 22.5901)*CHOOSE(CONTROL!$C$21, $C$9, 100%, $E$9)</f>
        <v>22.5901</v>
      </c>
      <c r="G445" s="17">
        <f>CHOOSE(CONTROL!$C$42, 22.6066, 22.6066)*CHOOSE(CONTROL!$C$21, $C$9, 100%, $E$9)</f>
        <v>22.6066</v>
      </c>
      <c r="H445" s="17">
        <f>CHOOSE(CONTROL!$C$42, 22.7004, 22.7004) * CHOOSE(CONTROL!$C$21, $C$9, 100%, $E$9)</f>
        <v>22.700399999999998</v>
      </c>
      <c r="I445" s="17">
        <f>CHOOSE(CONTROL!$C$42, 22.6709, 22.6709)* CHOOSE(CONTROL!$C$21, $C$9, 100%, $E$9)</f>
        <v>22.6709</v>
      </c>
      <c r="J445" s="17">
        <f>CHOOSE(CONTROL!$C$42, 22.5827, 22.5827)* CHOOSE(CONTROL!$C$21, $C$9, 100%, $E$9)</f>
        <v>22.582699999999999</v>
      </c>
      <c r="K445" s="52">
        <f>CHOOSE(CONTROL!$C$42, 22.6648, 22.6648) * CHOOSE(CONTROL!$C$21, $C$9, 100%, $E$9)</f>
        <v>22.6648</v>
      </c>
      <c r="L445" s="17">
        <f>CHOOSE(CONTROL!$C$42, 23.2874, 23.2874) * CHOOSE(CONTROL!$C$21, $C$9, 100%, $E$9)</f>
        <v>23.287400000000002</v>
      </c>
      <c r="M445" s="17">
        <f>CHOOSE(CONTROL!$C$42, 22.3866, 22.3866) * CHOOSE(CONTROL!$C$21, $C$9, 100%, $E$9)</f>
        <v>22.386600000000001</v>
      </c>
      <c r="N445" s="17">
        <f>CHOOSE(CONTROL!$C$42, 22.4029, 22.4029) * CHOOSE(CONTROL!$C$21, $C$9, 100%, $E$9)</f>
        <v>22.402899999999999</v>
      </c>
      <c r="O445" s="17">
        <f>CHOOSE(CONTROL!$C$42, 22.5033, 22.5033) * CHOOSE(CONTROL!$C$21, $C$9, 100%, $E$9)</f>
        <v>22.503299999999999</v>
      </c>
      <c r="P445" s="17">
        <f>CHOOSE(CONTROL!$C$42, 22.4734, 22.4734) * CHOOSE(CONTROL!$C$21, $C$9, 100%, $E$9)</f>
        <v>22.473400000000002</v>
      </c>
      <c r="Q445" s="17">
        <f>CHOOSE(CONTROL!$C$42, 23.098, 23.098) * CHOOSE(CONTROL!$C$21, $C$9, 100%, $E$9)</f>
        <v>23.097999999999999</v>
      </c>
      <c r="R445" s="17">
        <f>CHOOSE(CONTROL!$C$42, 23.7427, 23.7427) * CHOOSE(CONTROL!$C$21, $C$9, 100%, $E$9)</f>
        <v>23.742699999999999</v>
      </c>
      <c r="S445" s="17">
        <f>CHOOSE(CONTROL!$C$42, 21.8823, 21.8823) * CHOOSE(CONTROL!$C$21, $C$9, 100%, $E$9)</f>
        <v>21.882300000000001</v>
      </c>
      <c r="T44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45" s="56">
        <f>(1000*CHOOSE(CONTROL!$C$42, 695, 695)*CHOOSE(CONTROL!$C$42, 0.5599, 0.5599)*CHOOSE(CONTROL!$C$42, 31, 31))/1000000</f>
        <v>12.063045499999998</v>
      </c>
      <c r="V445" s="56">
        <f>(1000*CHOOSE(CONTROL!$C$42, 500, 500)*CHOOSE(CONTROL!$C$42, 0.275, 0.275)*CHOOSE(CONTROL!$C$42, 31, 31))/1000000</f>
        <v>4.2625000000000002</v>
      </c>
      <c r="W445" s="56">
        <f>(1000*CHOOSE(CONTROL!$C$42, 0.0916, 0.0916)*CHOOSE(CONTROL!$C$42, 121.5, 121.5)*CHOOSE(CONTROL!$C$42, 31, 31))/1000000</f>
        <v>0.34501139999999997</v>
      </c>
      <c r="X445" s="56">
        <f>(31*0.2374*100000/1000000)</f>
        <v>0.73594000000000004</v>
      </c>
      <c r="Y445" s="56"/>
      <c r="Z445" s="17"/>
      <c r="AA445" s="55"/>
      <c r="AB445" s="48">
        <f>(B445*122.58+C445*297.941+D445*89.177+E445*140.302+F445*40+G445*60+H445*0+I445*100+J445*300)/(122.58+297.941+89.177+140.302+0+40+60+100+300)</f>
        <v>22.613797031826088</v>
      </c>
      <c r="AC445" s="45">
        <f>(M445*'RAP TEMPLATE-GAS AVAILABILITY'!O444+N445*'RAP TEMPLATE-GAS AVAILABILITY'!P444+O445*'RAP TEMPLATE-GAS AVAILABILITY'!Q444+P445*'RAP TEMPLATE-GAS AVAILABILITY'!R444)/('RAP TEMPLATE-GAS AVAILABILITY'!O444+'RAP TEMPLATE-GAS AVAILABILITY'!P444+'RAP TEMPLATE-GAS AVAILABILITY'!Q444+'RAP TEMPLATE-GAS AVAILABILITY'!R444)</f>
        <v>22.452920143884892</v>
      </c>
    </row>
    <row r="446" spans="1:29" ht="15.75" x14ac:dyDescent="0.25">
      <c r="A446" s="14">
        <v>54482</v>
      </c>
      <c r="B446" s="17">
        <f>CHOOSE(CONTROL!$C$42, 22.9776, 22.9776) * CHOOSE(CONTROL!$C$21, $C$9, 100%, $E$9)</f>
        <v>22.977599999999999</v>
      </c>
      <c r="C446" s="17">
        <f>CHOOSE(CONTROL!$C$42, 22.9826, 22.9826) * CHOOSE(CONTROL!$C$21, $C$9, 100%, $E$9)</f>
        <v>22.982600000000001</v>
      </c>
      <c r="D446" s="17">
        <f>CHOOSE(CONTROL!$C$42, 23.0795, 23.0795) * CHOOSE(CONTROL!$C$21, $C$9, 100%, $E$9)</f>
        <v>23.079499999999999</v>
      </c>
      <c r="E446" s="17">
        <f>CHOOSE(CONTROL!$C$42, 23.1132, 23.1132) * CHOOSE(CONTROL!$C$21, $C$9, 100%, $E$9)</f>
        <v>23.113199999999999</v>
      </c>
      <c r="F446" s="17">
        <f>CHOOSE(CONTROL!$C$42, 22.9918, 22.9918)*CHOOSE(CONTROL!$C$21, $C$9, 100%, $E$9)</f>
        <v>22.991800000000001</v>
      </c>
      <c r="G446" s="17">
        <f>CHOOSE(CONTROL!$C$42, 23.0082, 23.0082)*CHOOSE(CONTROL!$C$21, $C$9, 100%, $E$9)</f>
        <v>23.008199999999999</v>
      </c>
      <c r="H446" s="17">
        <f>CHOOSE(CONTROL!$C$42, 23.1021, 23.1021) * CHOOSE(CONTROL!$C$21, $C$9, 100%, $E$9)</f>
        <v>23.1021</v>
      </c>
      <c r="I446" s="17">
        <f>CHOOSE(CONTROL!$C$42, 23.0738, 23.0738)* CHOOSE(CONTROL!$C$21, $C$9, 100%, $E$9)</f>
        <v>23.073799999999999</v>
      </c>
      <c r="J446" s="17">
        <f>CHOOSE(CONTROL!$C$42, 22.9844, 22.9844)* CHOOSE(CONTROL!$C$21, $C$9, 100%, $E$9)</f>
        <v>22.984400000000001</v>
      </c>
      <c r="K446" s="52">
        <f>CHOOSE(CONTROL!$C$42, 23.0678, 23.0678) * CHOOSE(CONTROL!$C$21, $C$9, 100%, $E$9)</f>
        <v>23.067799999999998</v>
      </c>
      <c r="L446" s="17">
        <f>CHOOSE(CONTROL!$C$42, 23.6891, 23.6891) * CHOOSE(CONTROL!$C$21, $C$9, 100%, $E$9)</f>
        <v>23.6891</v>
      </c>
      <c r="M446" s="17">
        <f>CHOOSE(CONTROL!$C$42, 22.7847, 22.7847) * CHOOSE(CONTROL!$C$21, $C$9, 100%, $E$9)</f>
        <v>22.784700000000001</v>
      </c>
      <c r="N446" s="17">
        <f>CHOOSE(CONTROL!$C$42, 22.801, 22.801) * CHOOSE(CONTROL!$C$21, $C$9, 100%, $E$9)</f>
        <v>22.800999999999998</v>
      </c>
      <c r="O446" s="17">
        <f>CHOOSE(CONTROL!$C$42, 22.9014, 22.9014) * CHOOSE(CONTROL!$C$21, $C$9, 100%, $E$9)</f>
        <v>22.901399999999999</v>
      </c>
      <c r="P446" s="17">
        <f>CHOOSE(CONTROL!$C$42, 22.8727, 22.8727) * CHOOSE(CONTROL!$C$21, $C$9, 100%, $E$9)</f>
        <v>22.872699999999998</v>
      </c>
      <c r="Q446" s="17">
        <f>CHOOSE(CONTROL!$C$42, 23.4961, 23.4961) * CHOOSE(CONTROL!$C$21, $C$9, 100%, $E$9)</f>
        <v>23.496099999999998</v>
      </c>
      <c r="R446" s="17">
        <f>CHOOSE(CONTROL!$C$42, 24.1418, 24.1418) * CHOOSE(CONTROL!$C$21, $C$9, 100%, $E$9)</f>
        <v>24.1418</v>
      </c>
      <c r="S446" s="17">
        <f>CHOOSE(CONTROL!$C$42, 22.2718, 22.2718) * CHOOSE(CONTROL!$C$21, $C$9, 100%, $E$9)</f>
        <v>22.271799999999999</v>
      </c>
      <c r="T44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46" s="56">
        <f>(1000*CHOOSE(CONTROL!$C$42, 695, 695)*CHOOSE(CONTROL!$C$42, 0.5599, 0.5599)*CHOOSE(CONTROL!$C$42, 28, 28))/1000000</f>
        <v>10.895653999999999</v>
      </c>
      <c r="V446" s="56">
        <f>(1000*CHOOSE(CONTROL!$C$42, 500, 500)*CHOOSE(CONTROL!$C$42, 0.275, 0.275)*CHOOSE(CONTROL!$C$42, 28, 28))/1000000</f>
        <v>3.85</v>
      </c>
      <c r="W446" s="56">
        <f>(1000*CHOOSE(CONTROL!$C$42, 0.0916, 0.0916)*CHOOSE(CONTROL!$C$42, 121.5, 121.5)*CHOOSE(CONTROL!$C$42, 28, 28))/1000000</f>
        <v>0.31162319999999999</v>
      </c>
      <c r="X446" s="56">
        <f>(28*0.2374*100000/1000000)</f>
        <v>0.66471999999999998</v>
      </c>
      <c r="Y446" s="56"/>
      <c r="Z446" s="17"/>
      <c r="AA446" s="55"/>
      <c r="AB446" s="48">
        <f>(B446*122.58+C446*297.941+D446*89.177+E446*140.302+F446*40+G446*60+H446*0+I446*100+J446*300)/(122.58+297.941+89.177+140.302+0+40+60+100+300)</f>
        <v>23.015570254347828</v>
      </c>
      <c r="AC446" s="45">
        <f>(M446*'RAP TEMPLATE-GAS AVAILABILITY'!O445+N446*'RAP TEMPLATE-GAS AVAILABILITY'!P445+O446*'RAP TEMPLATE-GAS AVAILABILITY'!Q445+P446*'RAP TEMPLATE-GAS AVAILABILITY'!R445)/('RAP TEMPLATE-GAS AVAILABILITY'!O445+'RAP TEMPLATE-GAS AVAILABILITY'!P445+'RAP TEMPLATE-GAS AVAILABILITY'!Q445+'RAP TEMPLATE-GAS AVAILABILITY'!R445)</f>
        <v>22.851192805755399</v>
      </c>
    </row>
    <row r="447" spans="1:29" ht="15.75" x14ac:dyDescent="0.25">
      <c r="A447" s="14">
        <v>54513</v>
      </c>
      <c r="B447" s="17">
        <f>CHOOSE(CONTROL!$C$42, 22.3255, 22.3255) * CHOOSE(CONTROL!$C$21, $C$9, 100%, $E$9)</f>
        <v>22.325500000000002</v>
      </c>
      <c r="C447" s="17">
        <f>CHOOSE(CONTROL!$C$42, 22.3306, 22.3306) * CHOOSE(CONTROL!$C$21, $C$9, 100%, $E$9)</f>
        <v>22.3306</v>
      </c>
      <c r="D447" s="17">
        <f>CHOOSE(CONTROL!$C$42, 22.4274, 22.4274) * CHOOSE(CONTROL!$C$21, $C$9, 100%, $E$9)</f>
        <v>22.427399999999999</v>
      </c>
      <c r="E447" s="17">
        <f>CHOOSE(CONTROL!$C$42, 22.4612, 22.4612) * CHOOSE(CONTROL!$C$21, $C$9, 100%, $E$9)</f>
        <v>22.461200000000002</v>
      </c>
      <c r="F447" s="17">
        <f>CHOOSE(CONTROL!$C$42, 22.3391, 22.3391)*CHOOSE(CONTROL!$C$21, $C$9, 100%, $E$9)</f>
        <v>22.339099999999998</v>
      </c>
      <c r="G447" s="17">
        <f>CHOOSE(CONTROL!$C$42, 22.3554, 22.3554)*CHOOSE(CONTROL!$C$21, $C$9, 100%, $E$9)</f>
        <v>22.355399999999999</v>
      </c>
      <c r="H447" s="17">
        <f>CHOOSE(CONTROL!$C$42, 22.4501, 22.4501) * CHOOSE(CONTROL!$C$21, $C$9, 100%, $E$9)</f>
        <v>22.450099999999999</v>
      </c>
      <c r="I447" s="17">
        <f>CHOOSE(CONTROL!$C$42, 22.4197, 22.4197)* CHOOSE(CONTROL!$C$21, $C$9, 100%, $E$9)</f>
        <v>22.419699999999999</v>
      </c>
      <c r="J447" s="17">
        <f>CHOOSE(CONTROL!$C$42, 22.3317, 22.3317)* CHOOSE(CONTROL!$C$21, $C$9, 100%, $E$9)</f>
        <v>22.331700000000001</v>
      </c>
      <c r="K447" s="52">
        <f>CHOOSE(CONTROL!$C$42, 22.4137, 22.4137) * CHOOSE(CONTROL!$C$21, $C$9, 100%, $E$9)</f>
        <v>22.413699999999999</v>
      </c>
      <c r="L447" s="17">
        <f>CHOOSE(CONTROL!$C$42, 23.0371, 23.0371) * CHOOSE(CONTROL!$C$21, $C$9, 100%, $E$9)</f>
        <v>23.037099999999999</v>
      </c>
      <c r="M447" s="17">
        <f>CHOOSE(CONTROL!$C$42, 22.1379, 22.1379) * CHOOSE(CONTROL!$C$21, $C$9, 100%, $E$9)</f>
        <v>22.137899999999998</v>
      </c>
      <c r="N447" s="17">
        <f>CHOOSE(CONTROL!$C$42, 22.154, 22.154) * CHOOSE(CONTROL!$C$21, $C$9, 100%, $E$9)</f>
        <v>22.154</v>
      </c>
      <c r="O447" s="17">
        <f>CHOOSE(CONTROL!$C$42, 22.2552, 22.2552) * CHOOSE(CONTROL!$C$21, $C$9, 100%, $E$9)</f>
        <v>22.255199999999999</v>
      </c>
      <c r="P447" s="17">
        <f>CHOOSE(CONTROL!$C$42, 22.2246, 22.2246) * CHOOSE(CONTROL!$C$21, $C$9, 100%, $E$9)</f>
        <v>22.224599999999999</v>
      </c>
      <c r="Q447" s="17">
        <f>CHOOSE(CONTROL!$C$42, 22.8499, 22.8499) * CHOOSE(CONTROL!$C$21, $C$9, 100%, $E$9)</f>
        <v>22.849900000000002</v>
      </c>
      <c r="R447" s="17">
        <f>CHOOSE(CONTROL!$C$42, 23.494, 23.494) * CHOOSE(CONTROL!$C$21, $C$9, 100%, $E$9)</f>
        <v>23.494</v>
      </c>
      <c r="S447" s="17">
        <f>CHOOSE(CONTROL!$C$42, 21.6395, 21.6395) * CHOOSE(CONTROL!$C$21, $C$9, 100%, $E$9)</f>
        <v>21.639500000000002</v>
      </c>
      <c r="T44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47" s="56">
        <f>(1000*CHOOSE(CONTROL!$C$42, 695, 695)*CHOOSE(CONTROL!$C$42, 0.5599, 0.5599)*CHOOSE(CONTROL!$C$42, 31, 31))/1000000</f>
        <v>12.063045499999998</v>
      </c>
      <c r="V447" s="56">
        <f>(1000*CHOOSE(CONTROL!$C$42, 500, 500)*CHOOSE(CONTROL!$C$42, 0.275, 0.275)*CHOOSE(CONTROL!$C$42, 31, 31))/1000000</f>
        <v>4.2625000000000002</v>
      </c>
      <c r="W447" s="56">
        <f>(1000*CHOOSE(CONTROL!$C$42, 0.0916, 0.0916)*CHOOSE(CONTROL!$C$42, 121.5, 121.5)*CHOOSE(CONTROL!$C$42, 31, 31))/1000000</f>
        <v>0.34501139999999997</v>
      </c>
      <c r="X447" s="56">
        <f>(31*0.2374*100000/1000000)</f>
        <v>0.73594000000000004</v>
      </c>
      <c r="Y447" s="56"/>
      <c r="Z447" s="17"/>
      <c r="AA447" s="55"/>
      <c r="AB447" s="48">
        <f>(B447*122.58+C447*297.941+D447*89.177+E447*140.302+F447*40+G447*60+H447*0+I447*100+J447*300)/(122.58+297.941+89.177+140.302+0+40+60+100+300)</f>
        <v>22.363120536347825</v>
      </c>
      <c r="AC447" s="45">
        <f>(M447*'RAP TEMPLATE-GAS AVAILABILITY'!O446+N447*'RAP TEMPLATE-GAS AVAILABILITY'!P446+O447*'RAP TEMPLATE-GAS AVAILABILITY'!Q446+P447*'RAP TEMPLATE-GAS AVAILABILITY'!R446)/('RAP TEMPLATE-GAS AVAILABILITY'!O446+'RAP TEMPLATE-GAS AVAILABILITY'!P446+'RAP TEMPLATE-GAS AVAILABILITY'!Q446+'RAP TEMPLATE-GAS AVAILABILITY'!R446)</f>
        <v>22.204466187050357</v>
      </c>
    </row>
    <row r="448" spans="1:29" ht="15.75" x14ac:dyDescent="0.25">
      <c r="A448" s="14">
        <v>54543</v>
      </c>
      <c r="B448" s="17">
        <f>CHOOSE(CONTROL!$C$42, 22.2597, 22.2597) * CHOOSE(CONTROL!$C$21, $C$9, 100%, $E$9)</f>
        <v>22.259699999999999</v>
      </c>
      <c r="C448" s="17">
        <f>CHOOSE(CONTROL!$C$42, 22.2642, 22.2642) * CHOOSE(CONTROL!$C$21, $C$9, 100%, $E$9)</f>
        <v>22.264199999999999</v>
      </c>
      <c r="D448" s="17">
        <f>CHOOSE(CONTROL!$C$42, 22.5117, 22.5117) * CHOOSE(CONTROL!$C$21, $C$9, 100%, $E$9)</f>
        <v>22.511700000000001</v>
      </c>
      <c r="E448" s="17">
        <f>CHOOSE(CONTROL!$C$42, 22.5436, 22.5436) * CHOOSE(CONTROL!$C$21, $C$9, 100%, $E$9)</f>
        <v>22.543600000000001</v>
      </c>
      <c r="F448" s="17">
        <f>CHOOSE(CONTROL!$C$42, 22.2713, 22.2713)*CHOOSE(CONTROL!$C$21, $C$9, 100%, $E$9)</f>
        <v>22.2713</v>
      </c>
      <c r="G448" s="17">
        <f>CHOOSE(CONTROL!$C$42, 22.2873, 22.2873)*CHOOSE(CONTROL!$C$21, $C$9, 100%, $E$9)</f>
        <v>22.287299999999998</v>
      </c>
      <c r="H448" s="17">
        <f>CHOOSE(CONTROL!$C$42, 22.533, 22.533) * CHOOSE(CONTROL!$C$21, $C$9, 100%, $E$9)</f>
        <v>22.533000000000001</v>
      </c>
      <c r="I448" s="17">
        <f>CHOOSE(CONTROL!$C$42, 22.3514, 22.3514)* CHOOSE(CONTROL!$C$21, $C$9, 100%, $E$9)</f>
        <v>22.351400000000002</v>
      </c>
      <c r="J448" s="17">
        <f>CHOOSE(CONTROL!$C$42, 22.2639, 22.2639)* CHOOSE(CONTROL!$C$21, $C$9, 100%, $E$9)</f>
        <v>22.2639</v>
      </c>
      <c r="K448" s="52">
        <f>CHOOSE(CONTROL!$C$42, 22.3454, 22.3454) * CHOOSE(CONTROL!$C$21, $C$9, 100%, $E$9)</f>
        <v>22.345400000000001</v>
      </c>
      <c r="L448" s="17">
        <f>CHOOSE(CONTROL!$C$42, 23.12, 23.12) * CHOOSE(CONTROL!$C$21, $C$9, 100%, $E$9)</f>
        <v>23.12</v>
      </c>
      <c r="M448" s="17">
        <f>CHOOSE(CONTROL!$C$42, 22.0707, 22.0707) * CHOOSE(CONTROL!$C$21, $C$9, 100%, $E$9)</f>
        <v>22.070699999999999</v>
      </c>
      <c r="N448" s="17">
        <f>CHOOSE(CONTROL!$C$42, 22.0865, 22.0865) * CHOOSE(CONTROL!$C$21, $C$9, 100%, $E$9)</f>
        <v>22.086500000000001</v>
      </c>
      <c r="O448" s="17">
        <f>CHOOSE(CONTROL!$C$42, 22.3374, 22.3374) * CHOOSE(CONTROL!$C$21, $C$9, 100%, $E$9)</f>
        <v>22.337399999999999</v>
      </c>
      <c r="P448" s="17">
        <f>CHOOSE(CONTROL!$C$42, 22.1568, 22.1568) * CHOOSE(CONTROL!$C$21, $C$9, 100%, $E$9)</f>
        <v>22.1568</v>
      </c>
      <c r="Q448" s="17">
        <f>CHOOSE(CONTROL!$C$42, 22.9321, 22.9321) * CHOOSE(CONTROL!$C$21, $C$9, 100%, $E$9)</f>
        <v>22.932099999999998</v>
      </c>
      <c r="R448" s="17">
        <f>CHOOSE(CONTROL!$C$42, 23.5764, 23.5764) * CHOOSE(CONTROL!$C$21, $C$9, 100%, $E$9)</f>
        <v>23.5764</v>
      </c>
      <c r="S448" s="17">
        <f>CHOOSE(CONTROL!$C$42, 21.575, 21.575) * CHOOSE(CONTROL!$C$21, $C$9, 100%, $E$9)</f>
        <v>21.574999999999999</v>
      </c>
      <c r="T44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48" s="56">
        <f>(1000*CHOOSE(CONTROL!$C$42, 695, 695)*CHOOSE(CONTROL!$C$42, 0.5599, 0.5599)*CHOOSE(CONTROL!$C$42, 30, 30))/1000000</f>
        <v>11.673914999999997</v>
      </c>
      <c r="V448" s="56">
        <f>(1000*CHOOSE(CONTROL!$C$42, 500, 500)*CHOOSE(CONTROL!$C$42, 0.275, 0.275)*CHOOSE(CONTROL!$C$42, 30, 30))/1000000</f>
        <v>4.125</v>
      </c>
      <c r="W448" s="56">
        <f>(1000*CHOOSE(CONTROL!$C$42, 0.0916, 0.0916)*CHOOSE(CONTROL!$C$42, 121.5, 121.5)*CHOOSE(CONTROL!$C$42, 30, 30))/1000000</f>
        <v>0.33388200000000001</v>
      </c>
      <c r="X448" s="56">
        <f>(30*0.1790888*145000/1000000)+(30*0.2374*100000/1000000)</f>
        <v>1.4912362799999999</v>
      </c>
      <c r="Y448" s="56"/>
      <c r="Z448" s="17"/>
      <c r="AA448" s="55"/>
      <c r="AB448" s="48">
        <f>(B448*141.293+C448*267.993+D448*115.016+E448*189.698+F448*40+G448*85+H448*0+I448*100+J448*300)/(141.293+267.993+115.016+189.698+0+40+85+100+300)</f>
        <v>22.338219178934622</v>
      </c>
      <c r="AC448" s="45">
        <f>(M448*'RAP TEMPLATE-GAS AVAILABILITY'!O447+N448*'RAP TEMPLATE-GAS AVAILABILITY'!P447+O448*'RAP TEMPLATE-GAS AVAILABILITY'!Q447+P448*'RAP TEMPLATE-GAS AVAILABILITY'!R447)/('RAP TEMPLATE-GAS AVAILABILITY'!O447+'RAP TEMPLATE-GAS AVAILABILITY'!P447+'RAP TEMPLATE-GAS AVAILABILITY'!Q447+'RAP TEMPLATE-GAS AVAILABILITY'!R447)</f>
        <v>22.161555395683454</v>
      </c>
    </row>
    <row r="449" spans="1:29" ht="15.75" x14ac:dyDescent="0.25">
      <c r="A449" s="14">
        <v>54574</v>
      </c>
      <c r="B449" s="17">
        <f>CHOOSE(CONTROL!$C$42, 22.4574, 22.4574) * CHOOSE(CONTROL!$C$21, $C$9, 100%, $E$9)</f>
        <v>22.4574</v>
      </c>
      <c r="C449" s="17">
        <f>CHOOSE(CONTROL!$C$42, 22.4654, 22.4654) * CHOOSE(CONTROL!$C$21, $C$9, 100%, $E$9)</f>
        <v>22.465399999999999</v>
      </c>
      <c r="D449" s="17">
        <f>CHOOSE(CONTROL!$C$42, 22.7099, 22.7099) * CHOOSE(CONTROL!$C$21, $C$9, 100%, $E$9)</f>
        <v>22.709900000000001</v>
      </c>
      <c r="E449" s="17">
        <f>CHOOSE(CONTROL!$C$42, 22.741, 22.741) * CHOOSE(CONTROL!$C$21, $C$9, 100%, $E$9)</f>
        <v>22.741</v>
      </c>
      <c r="F449" s="17">
        <f>CHOOSE(CONTROL!$C$42, 22.468, 22.468)*CHOOSE(CONTROL!$C$21, $C$9, 100%, $E$9)</f>
        <v>22.468</v>
      </c>
      <c r="G449" s="17">
        <f>CHOOSE(CONTROL!$C$42, 22.4842, 22.4842)*CHOOSE(CONTROL!$C$21, $C$9, 100%, $E$9)</f>
        <v>22.484200000000001</v>
      </c>
      <c r="H449" s="17">
        <f>CHOOSE(CONTROL!$C$42, 22.7294, 22.7294) * CHOOSE(CONTROL!$C$21, $C$9, 100%, $E$9)</f>
        <v>22.729399999999998</v>
      </c>
      <c r="I449" s="17">
        <f>CHOOSE(CONTROL!$C$42, 22.5484, 22.5484)* CHOOSE(CONTROL!$C$21, $C$9, 100%, $E$9)</f>
        <v>22.548400000000001</v>
      </c>
      <c r="J449" s="17">
        <f>CHOOSE(CONTROL!$C$42, 22.4606, 22.4606)* CHOOSE(CONTROL!$C$21, $C$9, 100%, $E$9)</f>
        <v>22.460599999999999</v>
      </c>
      <c r="K449" s="52">
        <f>CHOOSE(CONTROL!$C$42, 22.5423, 22.5423) * CHOOSE(CONTROL!$C$21, $C$9, 100%, $E$9)</f>
        <v>22.542300000000001</v>
      </c>
      <c r="L449" s="17">
        <f>CHOOSE(CONTROL!$C$42, 23.3164, 23.3164) * CHOOSE(CONTROL!$C$21, $C$9, 100%, $E$9)</f>
        <v>23.316400000000002</v>
      </c>
      <c r="M449" s="17">
        <f>CHOOSE(CONTROL!$C$42, 22.2656, 22.2656) * CHOOSE(CONTROL!$C$21, $C$9, 100%, $E$9)</f>
        <v>22.265599999999999</v>
      </c>
      <c r="N449" s="17">
        <f>CHOOSE(CONTROL!$C$42, 22.2817, 22.2817) * CHOOSE(CONTROL!$C$21, $C$9, 100%, $E$9)</f>
        <v>22.281700000000001</v>
      </c>
      <c r="O449" s="17">
        <f>CHOOSE(CONTROL!$C$42, 22.532, 22.532) * CHOOSE(CONTROL!$C$21, $C$9, 100%, $E$9)</f>
        <v>22.532</v>
      </c>
      <c r="P449" s="17">
        <f>CHOOSE(CONTROL!$C$42, 22.352, 22.352) * CHOOSE(CONTROL!$C$21, $C$9, 100%, $E$9)</f>
        <v>22.352</v>
      </c>
      <c r="Q449" s="17">
        <f>CHOOSE(CONTROL!$C$42, 23.1267, 23.1267) * CHOOSE(CONTROL!$C$21, $C$9, 100%, $E$9)</f>
        <v>23.1267</v>
      </c>
      <c r="R449" s="17">
        <f>CHOOSE(CONTROL!$C$42, 23.7715, 23.7715) * CHOOSE(CONTROL!$C$21, $C$9, 100%, $E$9)</f>
        <v>23.7715</v>
      </c>
      <c r="S449" s="17">
        <f>CHOOSE(CONTROL!$C$42, 21.7654, 21.7654) * CHOOSE(CONTROL!$C$21, $C$9, 100%, $E$9)</f>
        <v>21.7654</v>
      </c>
      <c r="T44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49" s="56">
        <f>(1000*CHOOSE(CONTROL!$C$42, 695, 695)*CHOOSE(CONTROL!$C$42, 0.5599, 0.5599)*CHOOSE(CONTROL!$C$42, 31, 31))/1000000</f>
        <v>12.063045499999998</v>
      </c>
      <c r="V449" s="56">
        <f>(1000*CHOOSE(CONTROL!$C$42, 500, 500)*CHOOSE(CONTROL!$C$42, 0.275, 0.275)*CHOOSE(CONTROL!$C$42, 31, 31))/1000000</f>
        <v>4.2625000000000002</v>
      </c>
      <c r="W449" s="56">
        <f>(1000*CHOOSE(CONTROL!$C$42, 0.0916, 0.0916)*CHOOSE(CONTROL!$C$42, 121.5, 121.5)*CHOOSE(CONTROL!$C$42, 31, 31))/1000000</f>
        <v>0.34501139999999997</v>
      </c>
      <c r="X449" s="56">
        <f>(31*0.1790888*145000/1000000)+(31*0.2374*100000/1000000)</f>
        <v>1.5409441560000001</v>
      </c>
      <c r="Y449" s="56"/>
      <c r="Z449" s="17"/>
      <c r="AA449" s="55"/>
      <c r="AB449" s="48">
        <f>(B449*194.205+C449*267.466+D449*133.845+E449*153.484+F449*40+G449*85+H449*0+I449*100+J449*300)/(194.205+267.466+133.845+153.484+0+40+85+100+300)</f>
        <v>22.529790622370484</v>
      </c>
      <c r="AC449" s="45">
        <f>(M449*'RAP TEMPLATE-GAS AVAILABILITY'!O448+N449*'RAP TEMPLATE-GAS AVAILABILITY'!P448+O449*'RAP TEMPLATE-GAS AVAILABILITY'!Q448+P449*'RAP TEMPLATE-GAS AVAILABILITY'!R448)/('RAP TEMPLATE-GAS AVAILABILITY'!O448+'RAP TEMPLATE-GAS AVAILABILITY'!P448+'RAP TEMPLATE-GAS AVAILABILITY'!Q448+'RAP TEMPLATE-GAS AVAILABILITY'!R448)</f>
        <v>22.356483453237406</v>
      </c>
    </row>
    <row r="450" spans="1:29" ht="15.75" x14ac:dyDescent="0.25">
      <c r="A450" s="14">
        <v>54604</v>
      </c>
      <c r="B450" s="17">
        <f>CHOOSE(CONTROL!$C$42, 23.0941, 23.0941) * CHOOSE(CONTROL!$C$21, $C$9, 100%, $E$9)</f>
        <v>23.094100000000001</v>
      </c>
      <c r="C450" s="17">
        <f>CHOOSE(CONTROL!$C$42, 23.1021, 23.1021) * CHOOSE(CONTROL!$C$21, $C$9, 100%, $E$9)</f>
        <v>23.1021</v>
      </c>
      <c r="D450" s="17">
        <f>CHOOSE(CONTROL!$C$42, 23.3465, 23.3465) * CHOOSE(CONTROL!$C$21, $C$9, 100%, $E$9)</f>
        <v>23.346499999999999</v>
      </c>
      <c r="E450" s="17">
        <f>CHOOSE(CONTROL!$C$42, 23.3777, 23.3777) * CHOOSE(CONTROL!$C$21, $C$9, 100%, $E$9)</f>
        <v>23.377700000000001</v>
      </c>
      <c r="F450" s="17">
        <f>CHOOSE(CONTROL!$C$42, 23.105, 23.105)*CHOOSE(CONTROL!$C$21, $C$9, 100%, $E$9)</f>
        <v>23.105</v>
      </c>
      <c r="G450" s="17">
        <f>CHOOSE(CONTROL!$C$42, 23.1213, 23.1213)*CHOOSE(CONTROL!$C$21, $C$9, 100%, $E$9)</f>
        <v>23.121300000000002</v>
      </c>
      <c r="H450" s="17">
        <f>CHOOSE(CONTROL!$C$42, 23.366, 23.366) * CHOOSE(CONTROL!$C$21, $C$9, 100%, $E$9)</f>
        <v>23.366</v>
      </c>
      <c r="I450" s="17">
        <f>CHOOSE(CONTROL!$C$42, 23.187, 23.187)* CHOOSE(CONTROL!$C$21, $C$9, 100%, $E$9)</f>
        <v>23.187000000000001</v>
      </c>
      <c r="J450" s="17">
        <f>CHOOSE(CONTROL!$C$42, 23.0976, 23.0976)* CHOOSE(CONTROL!$C$21, $C$9, 100%, $E$9)</f>
        <v>23.0976</v>
      </c>
      <c r="K450" s="52">
        <f>CHOOSE(CONTROL!$C$42, 23.181, 23.181) * CHOOSE(CONTROL!$C$21, $C$9, 100%, $E$9)</f>
        <v>23.181000000000001</v>
      </c>
      <c r="L450" s="17">
        <f>CHOOSE(CONTROL!$C$42, 23.953, 23.953) * CHOOSE(CONTROL!$C$21, $C$9, 100%, $E$9)</f>
        <v>23.952999999999999</v>
      </c>
      <c r="M450" s="17">
        <f>CHOOSE(CONTROL!$C$42, 22.8968, 22.8968) * CHOOSE(CONTROL!$C$21, $C$9, 100%, $E$9)</f>
        <v>22.896799999999999</v>
      </c>
      <c r="N450" s="17">
        <f>CHOOSE(CONTROL!$C$42, 22.913, 22.913) * CHOOSE(CONTROL!$C$21, $C$9, 100%, $E$9)</f>
        <v>22.913</v>
      </c>
      <c r="O450" s="17">
        <f>CHOOSE(CONTROL!$C$42, 23.1629, 23.1629) * CHOOSE(CONTROL!$C$21, $C$9, 100%, $E$9)</f>
        <v>23.1629</v>
      </c>
      <c r="P450" s="17">
        <f>CHOOSE(CONTROL!$C$42, 22.9849, 22.9849) * CHOOSE(CONTROL!$C$21, $C$9, 100%, $E$9)</f>
        <v>22.9849</v>
      </c>
      <c r="Q450" s="17">
        <f>CHOOSE(CONTROL!$C$42, 23.7576, 23.7576) * CHOOSE(CONTROL!$C$21, $C$9, 100%, $E$9)</f>
        <v>23.7576</v>
      </c>
      <c r="R450" s="17">
        <f>CHOOSE(CONTROL!$C$42, 24.404, 24.404) * CHOOSE(CONTROL!$C$21, $C$9, 100%, $E$9)</f>
        <v>24.404</v>
      </c>
      <c r="S450" s="17">
        <f>CHOOSE(CONTROL!$C$42, 22.3828, 22.3828) * CHOOSE(CONTROL!$C$21, $C$9, 100%, $E$9)</f>
        <v>22.3828</v>
      </c>
      <c r="T45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50" s="56">
        <f>(1000*CHOOSE(CONTROL!$C$42, 695, 695)*CHOOSE(CONTROL!$C$42, 0.5599, 0.5599)*CHOOSE(CONTROL!$C$42, 30, 30))/1000000</f>
        <v>11.673914999999997</v>
      </c>
      <c r="V450" s="56">
        <f>(1000*CHOOSE(CONTROL!$C$42, 500, 500)*CHOOSE(CONTROL!$C$42, 0.275, 0.275)*CHOOSE(CONTROL!$C$42, 30, 30))/1000000</f>
        <v>4.125</v>
      </c>
      <c r="W450" s="56">
        <f>(1000*CHOOSE(CONTROL!$C$42, 0.0916, 0.0916)*CHOOSE(CONTROL!$C$42, 121.5, 121.5)*CHOOSE(CONTROL!$C$42, 30, 30))/1000000</f>
        <v>0.33388200000000001</v>
      </c>
      <c r="X450" s="56">
        <f>(30*0.1790888*145000/1000000)+(30*0.2374*100000/1000000)</f>
        <v>1.4912362799999999</v>
      </c>
      <c r="Y450" s="56"/>
      <c r="Z450" s="17"/>
      <c r="AA450" s="55"/>
      <c r="AB450" s="48">
        <f>(B450*194.205+C450*267.466+D450*133.845+E450*153.484+F450*40+G450*85+H450*0+I450*100+J450*300)/(194.205+267.466+133.845+153.484+0+40+85+100+300)</f>
        <v>23.166736003453689</v>
      </c>
      <c r="AC450" s="45">
        <f>(M450*'RAP TEMPLATE-GAS AVAILABILITY'!O449+N450*'RAP TEMPLATE-GAS AVAILABILITY'!P449+O450*'RAP TEMPLATE-GAS AVAILABILITY'!Q449+P450*'RAP TEMPLATE-GAS AVAILABILITY'!R449)/('RAP TEMPLATE-GAS AVAILABILITY'!O449+'RAP TEMPLATE-GAS AVAILABILITY'!P449+'RAP TEMPLATE-GAS AVAILABILITY'!Q449+'RAP TEMPLATE-GAS AVAILABILITY'!R449)</f>
        <v>22.987866906474817</v>
      </c>
    </row>
    <row r="451" spans="1:29" ht="15.75" x14ac:dyDescent="0.25">
      <c r="A451" s="14">
        <v>54635</v>
      </c>
      <c r="B451" s="17">
        <f>CHOOSE(CONTROL!$C$42, 22.6513, 22.6513) * CHOOSE(CONTROL!$C$21, $C$9, 100%, $E$9)</f>
        <v>22.651299999999999</v>
      </c>
      <c r="C451" s="17">
        <f>CHOOSE(CONTROL!$C$42, 22.6593, 22.6593) * CHOOSE(CONTROL!$C$21, $C$9, 100%, $E$9)</f>
        <v>22.659300000000002</v>
      </c>
      <c r="D451" s="17">
        <f>CHOOSE(CONTROL!$C$42, 22.9037, 22.9037) * CHOOSE(CONTROL!$C$21, $C$9, 100%, $E$9)</f>
        <v>22.903700000000001</v>
      </c>
      <c r="E451" s="17">
        <f>CHOOSE(CONTROL!$C$42, 22.9349, 22.9349) * CHOOSE(CONTROL!$C$21, $C$9, 100%, $E$9)</f>
        <v>22.934899999999999</v>
      </c>
      <c r="F451" s="17">
        <f>CHOOSE(CONTROL!$C$42, 22.6626, 22.6626)*CHOOSE(CONTROL!$C$21, $C$9, 100%, $E$9)</f>
        <v>22.662600000000001</v>
      </c>
      <c r="G451" s="17">
        <f>CHOOSE(CONTROL!$C$42, 22.679, 22.679)*CHOOSE(CONTROL!$C$21, $C$9, 100%, $E$9)</f>
        <v>22.678999999999998</v>
      </c>
      <c r="H451" s="17">
        <f>CHOOSE(CONTROL!$C$42, 22.9232, 22.9232) * CHOOSE(CONTROL!$C$21, $C$9, 100%, $E$9)</f>
        <v>22.923200000000001</v>
      </c>
      <c r="I451" s="17">
        <f>CHOOSE(CONTROL!$C$42, 22.7428, 22.7428)* CHOOSE(CONTROL!$C$21, $C$9, 100%, $E$9)</f>
        <v>22.742799999999999</v>
      </c>
      <c r="J451" s="17">
        <f>CHOOSE(CONTROL!$C$42, 22.6552, 22.6552)* CHOOSE(CONTROL!$C$21, $C$9, 100%, $E$9)</f>
        <v>22.655200000000001</v>
      </c>
      <c r="K451" s="52">
        <f>CHOOSE(CONTROL!$C$42, 22.7368, 22.7368) * CHOOSE(CONTROL!$C$21, $C$9, 100%, $E$9)</f>
        <v>22.736799999999999</v>
      </c>
      <c r="L451" s="17">
        <f>CHOOSE(CONTROL!$C$42, 23.5102, 23.5102) * CHOOSE(CONTROL!$C$21, $C$9, 100%, $E$9)</f>
        <v>23.510200000000001</v>
      </c>
      <c r="M451" s="17">
        <f>CHOOSE(CONTROL!$C$42, 22.4585, 22.4585) * CHOOSE(CONTROL!$C$21, $C$9, 100%, $E$9)</f>
        <v>22.458500000000001</v>
      </c>
      <c r="N451" s="17">
        <f>CHOOSE(CONTROL!$C$42, 22.4748, 22.4748) * CHOOSE(CONTROL!$C$21, $C$9, 100%, $E$9)</f>
        <v>22.474799999999998</v>
      </c>
      <c r="O451" s="17">
        <f>CHOOSE(CONTROL!$C$42, 22.7241, 22.7241) * CHOOSE(CONTROL!$C$21, $C$9, 100%, $E$9)</f>
        <v>22.7241</v>
      </c>
      <c r="P451" s="17">
        <f>CHOOSE(CONTROL!$C$42, 22.5447, 22.5447) * CHOOSE(CONTROL!$C$21, $C$9, 100%, $E$9)</f>
        <v>22.544699999999999</v>
      </c>
      <c r="Q451" s="17">
        <f>CHOOSE(CONTROL!$C$42, 23.3188, 23.3188) * CHOOSE(CONTROL!$C$21, $C$9, 100%, $E$9)</f>
        <v>23.3188</v>
      </c>
      <c r="R451" s="17">
        <f>CHOOSE(CONTROL!$C$42, 23.9641, 23.9641) * CHOOSE(CONTROL!$C$21, $C$9, 100%, $E$9)</f>
        <v>23.964099999999998</v>
      </c>
      <c r="S451" s="17">
        <f>CHOOSE(CONTROL!$C$42, 21.9534, 21.9534) * CHOOSE(CONTROL!$C$21, $C$9, 100%, $E$9)</f>
        <v>21.953399999999998</v>
      </c>
      <c r="T45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51" s="56">
        <f>(1000*CHOOSE(CONTROL!$C$42, 695, 695)*CHOOSE(CONTROL!$C$42, 0.5599, 0.5599)*CHOOSE(CONTROL!$C$42, 31, 31))/1000000</f>
        <v>12.063045499999998</v>
      </c>
      <c r="V451" s="56">
        <f>(1000*CHOOSE(CONTROL!$C$42, 500, 500)*CHOOSE(CONTROL!$C$42, 0.275, 0.275)*CHOOSE(CONTROL!$C$42, 31, 31))/1000000</f>
        <v>4.2625000000000002</v>
      </c>
      <c r="W451" s="56">
        <f>(1000*CHOOSE(CONTROL!$C$42, 0.0916, 0.0916)*CHOOSE(CONTROL!$C$42, 121.5, 121.5)*CHOOSE(CONTROL!$C$42, 31, 31))/1000000</f>
        <v>0.34501139999999997</v>
      </c>
      <c r="X451" s="56">
        <f>(31*0.1790888*145000/1000000)+(31*0.2374*100000/1000000)</f>
        <v>1.5409441560000001</v>
      </c>
      <c r="Y451" s="56"/>
      <c r="Z451" s="17"/>
      <c r="AA451" s="55"/>
      <c r="AB451" s="48">
        <f>(B451*194.205+C451*267.466+D451*133.845+E451*153.484+F451*40+G451*85+H451*0+I451*100+J451*300)/(194.205+267.466+133.845+153.484+0+40+85+100+300)</f>
        <v>22.723966223233912</v>
      </c>
      <c r="AC451" s="45">
        <f>(M451*'RAP TEMPLATE-GAS AVAILABILITY'!O450+N451*'RAP TEMPLATE-GAS AVAILABILITY'!P450+O451*'RAP TEMPLATE-GAS AVAILABILITY'!Q450+P451*'RAP TEMPLATE-GAS AVAILABILITY'!R450)/('RAP TEMPLATE-GAS AVAILABILITY'!O450+'RAP TEMPLATE-GAS AVAILABILITY'!P450+'RAP TEMPLATE-GAS AVAILABILITY'!Q450+'RAP TEMPLATE-GAS AVAILABILITY'!R450)</f>
        <v>22.549176258992805</v>
      </c>
    </row>
    <row r="452" spans="1:29" ht="15.75" x14ac:dyDescent="0.25">
      <c r="A452" s="14">
        <v>54666</v>
      </c>
      <c r="B452" s="17">
        <f>CHOOSE(CONTROL!$C$42, 21.5331, 21.5331) * CHOOSE(CONTROL!$C$21, $C$9, 100%, $E$9)</f>
        <v>21.533100000000001</v>
      </c>
      <c r="C452" s="17">
        <f>CHOOSE(CONTROL!$C$42, 21.541, 21.541) * CHOOSE(CONTROL!$C$21, $C$9, 100%, $E$9)</f>
        <v>21.541</v>
      </c>
      <c r="D452" s="17">
        <f>CHOOSE(CONTROL!$C$42, 21.7855, 21.7855) * CHOOSE(CONTROL!$C$21, $C$9, 100%, $E$9)</f>
        <v>21.785499999999999</v>
      </c>
      <c r="E452" s="17">
        <f>CHOOSE(CONTROL!$C$42, 21.8167, 21.8167) * CHOOSE(CONTROL!$C$21, $C$9, 100%, $E$9)</f>
        <v>21.816700000000001</v>
      </c>
      <c r="F452" s="17">
        <f>CHOOSE(CONTROL!$C$42, 21.5446, 21.5446)*CHOOSE(CONTROL!$C$21, $C$9, 100%, $E$9)</f>
        <v>21.544599999999999</v>
      </c>
      <c r="G452" s="17">
        <f>CHOOSE(CONTROL!$C$42, 21.5611, 21.5611)*CHOOSE(CONTROL!$C$21, $C$9, 100%, $E$9)</f>
        <v>21.5611</v>
      </c>
      <c r="H452" s="17">
        <f>CHOOSE(CONTROL!$C$42, 21.805, 21.805) * CHOOSE(CONTROL!$C$21, $C$9, 100%, $E$9)</f>
        <v>21.805</v>
      </c>
      <c r="I452" s="17">
        <f>CHOOSE(CONTROL!$C$42, 21.6211, 21.6211)* CHOOSE(CONTROL!$C$21, $C$9, 100%, $E$9)</f>
        <v>21.621099999999998</v>
      </c>
      <c r="J452" s="17">
        <f>CHOOSE(CONTROL!$C$42, 21.5372, 21.5372)* CHOOSE(CONTROL!$C$21, $C$9, 100%, $E$9)</f>
        <v>21.537199999999999</v>
      </c>
      <c r="K452" s="52">
        <f>CHOOSE(CONTROL!$C$42, 21.6151, 21.6151) * CHOOSE(CONTROL!$C$21, $C$9, 100%, $E$9)</f>
        <v>21.615100000000002</v>
      </c>
      <c r="L452" s="17">
        <f>CHOOSE(CONTROL!$C$42, 22.392, 22.392) * CHOOSE(CONTROL!$C$21, $C$9, 100%, $E$9)</f>
        <v>22.391999999999999</v>
      </c>
      <c r="M452" s="17">
        <f>CHOOSE(CONTROL!$C$42, 21.3505, 21.3505) * CHOOSE(CONTROL!$C$21, $C$9, 100%, $E$9)</f>
        <v>21.3505</v>
      </c>
      <c r="N452" s="17">
        <f>CHOOSE(CONTROL!$C$42, 21.3669, 21.3669) * CHOOSE(CONTROL!$C$21, $C$9, 100%, $E$9)</f>
        <v>21.366900000000001</v>
      </c>
      <c r="O452" s="17">
        <f>CHOOSE(CONTROL!$C$42, 21.6159, 21.6159) * CHOOSE(CONTROL!$C$21, $C$9, 100%, $E$9)</f>
        <v>21.6159</v>
      </c>
      <c r="P452" s="17">
        <f>CHOOSE(CONTROL!$C$42, 21.4331, 21.4331) * CHOOSE(CONTROL!$C$21, $C$9, 100%, $E$9)</f>
        <v>21.4331</v>
      </c>
      <c r="Q452" s="17">
        <f>CHOOSE(CONTROL!$C$42, 22.2106, 22.2106) * CHOOSE(CONTROL!$C$21, $C$9, 100%, $E$9)</f>
        <v>22.210599999999999</v>
      </c>
      <c r="R452" s="17">
        <f>CHOOSE(CONTROL!$C$42, 22.8531, 22.8531) * CHOOSE(CONTROL!$C$21, $C$9, 100%, $E$9)</f>
        <v>22.853100000000001</v>
      </c>
      <c r="S452" s="17">
        <f>CHOOSE(CONTROL!$C$42, 20.869, 20.869) * CHOOSE(CONTROL!$C$21, $C$9, 100%, $E$9)</f>
        <v>20.869</v>
      </c>
      <c r="T45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52" s="56">
        <f>(1000*CHOOSE(CONTROL!$C$42, 695, 695)*CHOOSE(CONTROL!$C$42, 0.5599, 0.5599)*CHOOSE(CONTROL!$C$42, 31, 31))/1000000</f>
        <v>12.063045499999998</v>
      </c>
      <c r="V452" s="56">
        <f>(1000*CHOOSE(CONTROL!$C$42, 500, 500)*CHOOSE(CONTROL!$C$42, 0.275, 0.275)*CHOOSE(CONTROL!$C$42, 31, 31))/1000000</f>
        <v>4.2625000000000002</v>
      </c>
      <c r="W452" s="56">
        <f>(1000*CHOOSE(CONTROL!$C$42, 0.0916, 0.0916)*CHOOSE(CONTROL!$C$42, 121.5, 121.5)*CHOOSE(CONTROL!$C$42, 31, 31))/1000000</f>
        <v>0.34501139999999997</v>
      </c>
      <c r="X452" s="56">
        <f>(31*0.1790888*145000/1000000)+(31*0.2374*100000/1000000)</f>
        <v>1.5409441560000001</v>
      </c>
      <c r="Y452" s="56"/>
      <c r="Z452" s="17"/>
      <c r="AA452" s="55"/>
      <c r="AB452" s="48">
        <f>(B452*194.205+C452*267.466+D452*133.845+E452*153.484+F452*40+G452*85+H452*0+I452*100+J452*300)/(194.205+267.466+133.845+153.484+0+40+85+100+300)</f>
        <v>21.605543894662482</v>
      </c>
      <c r="AC452" s="45">
        <f>(M452*'RAP TEMPLATE-GAS AVAILABILITY'!O451+N452*'RAP TEMPLATE-GAS AVAILABILITY'!P451+O452*'RAP TEMPLATE-GAS AVAILABILITY'!Q451+P452*'RAP TEMPLATE-GAS AVAILABILITY'!R451)/('RAP TEMPLATE-GAS AVAILABILITY'!O451+'RAP TEMPLATE-GAS AVAILABILITY'!P451+'RAP TEMPLATE-GAS AVAILABILITY'!Q451+'RAP TEMPLATE-GAS AVAILABILITY'!R451)</f>
        <v>21.440625179856116</v>
      </c>
    </row>
    <row r="453" spans="1:29" ht="15.75" x14ac:dyDescent="0.25">
      <c r="A453" s="14">
        <v>54696</v>
      </c>
      <c r="B453" s="17">
        <f>CHOOSE(CONTROL!$C$42, 20.1666, 20.1666) * CHOOSE(CONTROL!$C$21, $C$9, 100%, $E$9)</f>
        <v>20.166599999999999</v>
      </c>
      <c r="C453" s="17">
        <f>CHOOSE(CONTROL!$C$42, 20.1745, 20.1745) * CHOOSE(CONTROL!$C$21, $C$9, 100%, $E$9)</f>
        <v>20.174499999999998</v>
      </c>
      <c r="D453" s="17">
        <f>CHOOSE(CONTROL!$C$42, 20.419, 20.419) * CHOOSE(CONTROL!$C$21, $C$9, 100%, $E$9)</f>
        <v>20.419</v>
      </c>
      <c r="E453" s="17">
        <f>CHOOSE(CONTROL!$C$42, 20.4502, 20.4502) * CHOOSE(CONTROL!$C$21, $C$9, 100%, $E$9)</f>
        <v>20.450199999999999</v>
      </c>
      <c r="F453" s="17">
        <f>CHOOSE(CONTROL!$C$42, 20.1782, 20.1782)*CHOOSE(CONTROL!$C$21, $C$9, 100%, $E$9)</f>
        <v>20.1782</v>
      </c>
      <c r="G453" s="17">
        <f>CHOOSE(CONTROL!$C$42, 20.1947, 20.1947)*CHOOSE(CONTROL!$C$21, $C$9, 100%, $E$9)</f>
        <v>20.194700000000001</v>
      </c>
      <c r="H453" s="17">
        <f>CHOOSE(CONTROL!$C$42, 20.4385, 20.4385) * CHOOSE(CONTROL!$C$21, $C$9, 100%, $E$9)</f>
        <v>20.438500000000001</v>
      </c>
      <c r="I453" s="17">
        <f>CHOOSE(CONTROL!$C$42, 20.2504, 20.2504)* CHOOSE(CONTROL!$C$21, $C$9, 100%, $E$9)</f>
        <v>20.250399999999999</v>
      </c>
      <c r="J453" s="17">
        <f>CHOOSE(CONTROL!$C$42, 20.1708, 20.1708)* CHOOSE(CONTROL!$C$21, $C$9, 100%, $E$9)</f>
        <v>20.1708</v>
      </c>
      <c r="K453" s="52">
        <f>CHOOSE(CONTROL!$C$42, 20.2444, 20.2444) * CHOOSE(CONTROL!$C$21, $C$9, 100%, $E$9)</f>
        <v>20.244399999999999</v>
      </c>
      <c r="L453" s="17">
        <f>CHOOSE(CONTROL!$C$42, 21.0255, 21.0255) * CHOOSE(CONTROL!$C$21, $C$9, 100%, $E$9)</f>
        <v>21.025500000000001</v>
      </c>
      <c r="M453" s="17">
        <f>CHOOSE(CONTROL!$C$42, 19.9964, 19.9964) * CHOOSE(CONTROL!$C$21, $C$9, 100%, $E$9)</f>
        <v>19.996400000000001</v>
      </c>
      <c r="N453" s="17">
        <f>CHOOSE(CONTROL!$C$42, 20.0127, 20.0127) * CHOOSE(CONTROL!$C$21, $C$9, 100%, $E$9)</f>
        <v>20.012699999999999</v>
      </c>
      <c r="O453" s="17">
        <f>CHOOSE(CONTROL!$C$42, 20.2617, 20.2617) * CHOOSE(CONTROL!$C$21, $C$9, 100%, $E$9)</f>
        <v>20.261700000000001</v>
      </c>
      <c r="P453" s="17">
        <f>CHOOSE(CONTROL!$C$42, 20.0748, 20.0748) * CHOOSE(CONTROL!$C$21, $C$9, 100%, $E$9)</f>
        <v>20.0748</v>
      </c>
      <c r="Q453" s="17">
        <f>CHOOSE(CONTROL!$C$42, 20.8564, 20.8564) * CHOOSE(CONTROL!$C$21, $C$9, 100%, $E$9)</f>
        <v>20.856400000000001</v>
      </c>
      <c r="R453" s="17">
        <f>CHOOSE(CONTROL!$C$42, 21.4955, 21.4955) * CHOOSE(CONTROL!$C$21, $C$9, 100%, $E$9)</f>
        <v>21.4955</v>
      </c>
      <c r="S453" s="17">
        <f>CHOOSE(CONTROL!$C$42, 19.5439, 19.5439) * CHOOSE(CONTROL!$C$21, $C$9, 100%, $E$9)</f>
        <v>19.543900000000001</v>
      </c>
      <c r="T45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53" s="56">
        <f>(1000*CHOOSE(CONTROL!$C$42, 695, 695)*CHOOSE(CONTROL!$C$42, 0.5599, 0.5599)*CHOOSE(CONTROL!$C$42, 30, 30))/1000000</f>
        <v>11.673914999999997</v>
      </c>
      <c r="V453" s="56">
        <f>(1000*CHOOSE(CONTROL!$C$42, 500, 500)*CHOOSE(CONTROL!$C$42, 0.275, 0.275)*CHOOSE(CONTROL!$C$42, 30, 30))/1000000</f>
        <v>4.125</v>
      </c>
      <c r="W453" s="56">
        <f>(1000*CHOOSE(CONTROL!$C$42, 0.0916, 0.0916)*CHOOSE(CONTROL!$C$42, 121.5, 121.5)*CHOOSE(CONTROL!$C$42, 30, 30))/1000000</f>
        <v>0.33388200000000001</v>
      </c>
      <c r="X453" s="56">
        <f>(30*0.1790888*145000/1000000)+(30*0.2374*100000/1000000)</f>
        <v>1.4912362799999999</v>
      </c>
      <c r="Y453" s="56"/>
      <c r="Z453" s="17"/>
      <c r="AA453" s="55"/>
      <c r="AB453" s="48">
        <f>(B453*194.205+C453*267.466+D453*133.845+E453*153.484+F453*40+G453*85+H453*0+I453*100+J453*300)/(194.205+267.466+133.845+153.484+0+40+85+100+300)</f>
        <v>20.238747583830456</v>
      </c>
      <c r="AC453" s="45">
        <f>(M453*'RAP TEMPLATE-GAS AVAILABILITY'!O452+N453*'RAP TEMPLATE-GAS AVAILABILITY'!P452+O453*'RAP TEMPLATE-GAS AVAILABILITY'!Q452+P453*'RAP TEMPLATE-GAS AVAILABILITY'!R452)/('RAP TEMPLATE-GAS AVAILABILITY'!O452+'RAP TEMPLATE-GAS AVAILABILITY'!P452+'RAP TEMPLATE-GAS AVAILABILITY'!Q452+'RAP TEMPLATE-GAS AVAILABILITY'!R452)</f>
        <v>20.085869784172658</v>
      </c>
    </row>
    <row r="454" spans="1:29" ht="15.75" x14ac:dyDescent="0.25">
      <c r="A454" s="14">
        <v>54727</v>
      </c>
      <c r="B454" s="17">
        <f>CHOOSE(CONTROL!$C$42, 19.7556, 19.7556) * CHOOSE(CONTROL!$C$21, $C$9, 100%, $E$9)</f>
        <v>19.755600000000001</v>
      </c>
      <c r="C454" s="17">
        <f>CHOOSE(CONTROL!$C$42, 19.761, 19.761) * CHOOSE(CONTROL!$C$21, $C$9, 100%, $E$9)</f>
        <v>19.760999999999999</v>
      </c>
      <c r="D454" s="17">
        <f>CHOOSE(CONTROL!$C$42, 20.0103, 20.0103) * CHOOSE(CONTROL!$C$21, $C$9, 100%, $E$9)</f>
        <v>20.010300000000001</v>
      </c>
      <c r="E454" s="17">
        <f>CHOOSE(CONTROL!$C$42, 20.0392, 20.0392) * CHOOSE(CONTROL!$C$21, $C$9, 100%, $E$9)</f>
        <v>20.039200000000001</v>
      </c>
      <c r="F454" s="17">
        <f>CHOOSE(CONTROL!$C$42, 19.7694, 19.7694)*CHOOSE(CONTROL!$C$21, $C$9, 100%, $E$9)</f>
        <v>19.769400000000001</v>
      </c>
      <c r="G454" s="17">
        <f>CHOOSE(CONTROL!$C$42, 19.7858, 19.7858)*CHOOSE(CONTROL!$C$21, $C$9, 100%, $E$9)</f>
        <v>19.785799999999998</v>
      </c>
      <c r="H454" s="17">
        <f>CHOOSE(CONTROL!$C$42, 20.0293, 20.0293) * CHOOSE(CONTROL!$C$21, $C$9, 100%, $E$9)</f>
        <v>20.029299999999999</v>
      </c>
      <c r="I454" s="17">
        <f>CHOOSE(CONTROL!$C$42, 19.8399, 19.8399)* CHOOSE(CONTROL!$C$21, $C$9, 100%, $E$9)</f>
        <v>19.8399</v>
      </c>
      <c r="J454" s="17">
        <f>CHOOSE(CONTROL!$C$42, 19.762, 19.762)* CHOOSE(CONTROL!$C$21, $C$9, 100%, $E$9)</f>
        <v>19.762</v>
      </c>
      <c r="K454" s="52">
        <f>CHOOSE(CONTROL!$C$42, 19.8339, 19.8339) * CHOOSE(CONTROL!$C$21, $C$9, 100%, $E$9)</f>
        <v>19.8339</v>
      </c>
      <c r="L454" s="17">
        <f>CHOOSE(CONTROL!$C$42, 20.6163, 20.6163) * CHOOSE(CONTROL!$C$21, $C$9, 100%, $E$9)</f>
        <v>20.616299999999999</v>
      </c>
      <c r="M454" s="17">
        <f>CHOOSE(CONTROL!$C$42, 19.5913, 19.5913) * CHOOSE(CONTROL!$C$21, $C$9, 100%, $E$9)</f>
        <v>19.5913</v>
      </c>
      <c r="N454" s="17">
        <f>CHOOSE(CONTROL!$C$42, 19.6076, 19.6076) * CHOOSE(CONTROL!$C$21, $C$9, 100%, $E$9)</f>
        <v>19.607600000000001</v>
      </c>
      <c r="O454" s="17">
        <f>CHOOSE(CONTROL!$C$42, 19.8562, 19.8562) * CHOOSE(CONTROL!$C$21, $C$9, 100%, $E$9)</f>
        <v>19.856200000000001</v>
      </c>
      <c r="P454" s="17">
        <f>CHOOSE(CONTROL!$C$42, 19.668, 19.668) * CHOOSE(CONTROL!$C$21, $C$9, 100%, $E$9)</f>
        <v>19.667999999999999</v>
      </c>
      <c r="Q454" s="17">
        <f>CHOOSE(CONTROL!$C$42, 20.4509, 20.4509) * CHOOSE(CONTROL!$C$21, $C$9, 100%, $E$9)</f>
        <v>20.450900000000001</v>
      </c>
      <c r="R454" s="17">
        <f>CHOOSE(CONTROL!$C$42, 21.089, 21.089) * CHOOSE(CONTROL!$C$21, $C$9, 100%, $E$9)</f>
        <v>21.088999999999999</v>
      </c>
      <c r="S454" s="17">
        <f>CHOOSE(CONTROL!$C$42, 19.1471, 19.1471) * CHOOSE(CONTROL!$C$21, $C$9, 100%, $E$9)</f>
        <v>19.147099999999998</v>
      </c>
      <c r="T45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54" s="56">
        <f>(1000*CHOOSE(CONTROL!$C$42, 695, 695)*CHOOSE(CONTROL!$C$42, 0.5599, 0.5599)*CHOOSE(CONTROL!$C$42, 31, 31))/1000000</f>
        <v>12.063045499999998</v>
      </c>
      <c r="V454" s="56">
        <f>(1000*CHOOSE(CONTROL!$C$42, 500, 500)*CHOOSE(CONTROL!$C$42, 0.275, 0.275)*CHOOSE(CONTROL!$C$42, 31, 31))/1000000</f>
        <v>4.2625000000000002</v>
      </c>
      <c r="W454" s="56">
        <f>(1000*CHOOSE(CONTROL!$C$42, 0.0916, 0.0916)*CHOOSE(CONTROL!$C$42, 121.5, 121.5)*CHOOSE(CONTROL!$C$42, 31, 31))/1000000</f>
        <v>0.34501139999999997</v>
      </c>
      <c r="X454" s="56">
        <f>(31*0.1790888*145000/1000000)+(31*0.2374*100000/1000000)</f>
        <v>1.5409441560000001</v>
      </c>
      <c r="Y454" s="56"/>
      <c r="Z454" s="17"/>
      <c r="AA454" s="55"/>
      <c r="AB454" s="48">
        <f>(B454*131.881+C454*277.167+D454*79.08+E454*225.872+F454*40+G454*85+H454*0+I454*100+J454*300)/(131.881+277.167+79.08+225.872+0+40+85+100+300)</f>
        <v>19.835636058918482</v>
      </c>
      <c r="AC454" s="45">
        <f>(M454*'RAP TEMPLATE-GAS AVAILABILITY'!O453+N454*'RAP TEMPLATE-GAS AVAILABILITY'!P453+O454*'RAP TEMPLATE-GAS AVAILABILITY'!Q453+P454*'RAP TEMPLATE-GAS AVAILABILITY'!R453)/('RAP TEMPLATE-GAS AVAILABILITY'!O453+'RAP TEMPLATE-GAS AVAILABILITY'!P453+'RAP TEMPLATE-GAS AVAILABILITY'!Q453+'RAP TEMPLATE-GAS AVAILABILITY'!R453)</f>
        <v>19.680412949640289</v>
      </c>
    </row>
    <row r="455" spans="1:29" ht="15.75" x14ac:dyDescent="0.25">
      <c r="A455" s="14">
        <v>54757</v>
      </c>
      <c r="B455" s="17">
        <f>CHOOSE(CONTROL!$C$42, 20.2754, 20.2754) * CHOOSE(CONTROL!$C$21, $C$9, 100%, $E$9)</f>
        <v>20.275400000000001</v>
      </c>
      <c r="C455" s="17">
        <f>CHOOSE(CONTROL!$C$42, 20.2805, 20.2805) * CHOOSE(CONTROL!$C$21, $C$9, 100%, $E$9)</f>
        <v>20.2805</v>
      </c>
      <c r="D455" s="17">
        <f>CHOOSE(CONTROL!$C$42, 20.3618, 20.3618) * CHOOSE(CONTROL!$C$21, $C$9, 100%, $E$9)</f>
        <v>20.361799999999999</v>
      </c>
      <c r="E455" s="17">
        <f>CHOOSE(CONTROL!$C$42, 20.3956, 20.3956) * CHOOSE(CONTROL!$C$21, $C$9, 100%, $E$9)</f>
        <v>20.395600000000002</v>
      </c>
      <c r="F455" s="17">
        <f>CHOOSE(CONTROL!$C$42, 20.2933, 20.2933)*CHOOSE(CONTROL!$C$21, $C$9, 100%, $E$9)</f>
        <v>20.293299999999999</v>
      </c>
      <c r="G455" s="17">
        <f>CHOOSE(CONTROL!$C$42, 20.3101, 20.3101)*CHOOSE(CONTROL!$C$21, $C$9, 100%, $E$9)</f>
        <v>20.310099999999998</v>
      </c>
      <c r="H455" s="17">
        <f>CHOOSE(CONTROL!$C$42, 20.3845, 20.3845) * CHOOSE(CONTROL!$C$21, $C$9, 100%, $E$9)</f>
        <v>20.384499999999999</v>
      </c>
      <c r="I455" s="17">
        <f>CHOOSE(CONTROL!$C$42, 20.3633, 20.3633)* CHOOSE(CONTROL!$C$21, $C$9, 100%, $E$9)</f>
        <v>20.363299999999999</v>
      </c>
      <c r="J455" s="17">
        <f>CHOOSE(CONTROL!$C$42, 20.2859, 20.2859)* CHOOSE(CONTROL!$C$21, $C$9, 100%, $E$9)</f>
        <v>20.285900000000002</v>
      </c>
      <c r="K455" s="52">
        <f>CHOOSE(CONTROL!$C$42, 20.3572, 20.3572) * CHOOSE(CONTROL!$C$21, $C$9, 100%, $E$9)</f>
        <v>20.357199999999999</v>
      </c>
      <c r="L455" s="17">
        <f>CHOOSE(CONTROL!$C$42, 20.9715, 20.9715) * CHOOSE(CONTROL!$C$21, $C$9, 100%, $E$9)</f>
        <v>20.971499999999999</v>
      </c>
      <c r="M455" s="17">
        <f>CHOOSE(CONTROL!$C$42, 20.1105, 20.1105) * CHOOSE(CONTROL!$C$21, $C$9, 100%, $E$9)</f>
        <v>20.110499999999998</v>
      </c>
      <c r="N455" s="17">
        <f>CHOOSE(CONTROL!$C$42, 20.1271, 20.1271) * CHOOSE(CONTROL!$C$21, $C$9, 100%, $E$9)</f>
        <v>20.127099999999999</v>
      </c>
      <c r="O455" s="17">
        <f>CHOOSE(CONTROL!$C$42, 20.2081, 20.2081) * CHOOSE(CONTROL!$C$21, $C$9, 100%, $E$9)</f>
        <v>20.208100000000002</v>
      </c>
      <c r="P455" s="17">
        <f>CHOOSE(CONTROL!$C$42, 20.1866, 20.1866) * CHOOSE(CONTROL!$C$21, $C$9, 100%, $E$9)</f>
        <v>20.186599999999999</v>
      </c>
      <c r="Q455" s="17">
        <f>CHOOSE(CONTROL!$C$42, 20.8028, 20.8028) * CHOOSE(CONTROL!$C$21, $C$9, 100%, $E$9)</f>
        <v>20.802800000000001</v>
      </c>
      <c r="R455" s="17">
        <f>CHOOSE(CONTROL!$C$42, 21.4419, 21.4419) * CHOOSE(CONTROL!$C$21, $C$9, 100%, $E$9)</f>
        <v>21.4419</v>
      </c>
      <c r="S455" s="17">
        <f>CHOOSE(CONTROL!$C$42, 19.6515, 19.6515) * CHOOSE(CONTROL!$C$21, $C$9, 100%, $E$9)</f>
        <v>19.651499999999999</v>
      </c>
      <c r="T45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55" s="56">
        <f>(1000*CHOOSE(CONTROL!$C$42, 695, 695)*CHOOSE(CONTROL!$C$42, 0.5599, 0.5599)*CHOOSE(CONTROL!$C$42, 30, 30))/1000000</f>
        <v>11.673914999999997</v>
      </c>
      <c r="V455" s="56">
        <f>(1000*CHOOSE(CONTROL!$C$42, 500, 500)*CHOOSE(CONTROL!$C$42, 0.275, 0.275)*CHOOSE(CONTROL!$C$42, 30, 30))/1000000</f>
        <v>4.125</v>
      </c>
      <c r="W455" s="56">
        <f>(1000*CHOOSE(CONTROL!$C$42, 0.0916, 0.0916)*CHOOSE(CONTROL!$C$42, 121.5, 121.5)*CHOOSE(CONTROL!$C$42, 30, 30))/1000000</f>
        <v>0.33388200000000001</v>
      </c>
      <c r="X455" s="56">
        <f>(30*0.2374*100000/1000000)</f>
        <v>0.71220000000000006</v>
      </c>
      <c r="Y455" s="56"/>
      <c r="Z455" s="17"/>
      <c r="AA455" s="55"/>
      <c r="AB455" s="48">
        <f>(B455*122.58+C455*297.941+D455*89.177+E455*140.302+F455*40+G455*60+H455*0+I455*100+J455*300)/(122.58+297.941+89.177+140.302+0+40+60+100+300)</f>
        <v>20.310901471565217</v>
      </c>
      <c r="AC455" s="45">
        <f>(M455*'RAP TEMPLATE-GAS AVAILABILITY'!O454+N455*'RAP TEMPLATE-GAS AVAILABILITY'!P454+O455*'RAP TEMPLATE-GAS AVAILABILITY'!Q454+P455*'RAP TEMPLATE-GAS AVAILABILITY'!R454)/('RAP TEMPLATE-GAS AVAILABILITY'!O454+'RAP TEMPLATE-GAS AVAILABILITY'!P454+'RAP TEMPLATE-GAS AVAILABILITY'!Q454+'RAP TEMPLATE-GAS AVAILABILITY'!R454)</f>
        <v>20.166641007194247</v>
      </c>
    </row>
    <row r="456" spans="1:29" ht="15.75" x14ac:dyDescent="0.25">
      <c r="A456" s="14">
        <v>54788</v>
      </c>
      <c r="B456" s="17">
        <f>CHOOSE(CONTROL!$C$42, 21.657, 21.657) * CHOOSE(CONTROL!$C$21, $C$9, 100%, $E$9)</f>
        <v>21.657</v>
      </c>
      <c r="C456" s="17">
        <f>CHOOSE(CONTROL!$C$42, 21.6621, 21.6621) * CHOOSE(CONTROL!$C$21, $C$9, 100%, $E$9)</f>
        <v>21.662099999999999</v>
      </c>
      <c r="D456" s="17">
        <f>CHOOSE(CONTROL!$C$42, 21.7435, 21.7435) * CHOOSE(CONTROL!$C$21, $C$9, 100%, $E$9)</f>
        <v>21.743500000000001</v>
      </c>
      <c r="E456" s="17">
        <f>CHOOSE(CONTROL!$C$42, 21.7772, 21.7772) * CHOOSE(CONTROL!$C$21, $C$9, 100%, $E$9)</f>
        <v>21.777200000000001</v>
      </c>
      <c r="F456" s="17">
        <f>CHOOSE(CONTROL!$C$42, 21.6774, 21.6774)*CHOOSE(CONTROL!$C$21, $C$9, 100%, $E$9)</f>
        <v>21.677399999999999</v>
      </c>
      <c r="G456" s="17">
        <f>CHOOSE(CONTROL!$C$42, 21.6947, 21.6947)*CHOOSE(CONTROL!$C$21, $C$9, 100%, $E$9)</f>
        <v>21.694700000000001</v>
      </c>
      <c r="H456" s="17">
        <f>CHOOSE(CONTROL!$C$42, 21.7661, 21.7661) * CHOOSE(CONTROL!$C$21, $C$9, 100%, $E$9)</f>
        <v>21.766100000000002</v>
      </c>
      <c r="I456" s="17">
        <f>CHOOSE(CONTROL!$C$42, 21.7492, 21.7492)* CHOOSE(CONTROL!$C$21, $C$9, 100%, $E$9)</f>
        <v>21.749199999999998</v>
      </c>
      <c r="J456" s="17">
        <f>CHOOSE(CONTROL!$C$42, 21.67, 21.67)* CHOOSE(CONTROL!$C$21, $C$9, 100%, $E$9)</f>
        <v>21.67</v>
      </c>
      <c r="K456" s="52">
        <f>CHOOSE(CONTROL!$C$42, 21.7432, 21.7432) * CHOOSE(CONTROL!$C$21, $C$9, 100%, $E$9)</f>
        <v>21.743200000000002</v>
      </c>
      <c r="L456" s="17">
        <f>CHOOSE(CONTROL!$C$42, 22.3531, 22.3531) * CHOOSE(CONTROL!$C$21, $C$9, 100%, $E$9)</f>
        <v>22.353100000000001</v>
      </c>
      <c r="M456" s="17">
        <f>CHOOSE(CONTROL!$C$42, 21.4821, 21.4821) * CHOOSE(CONTROL!$C$21, $C$9, 100%, $E$9)</f>
        <v>21.482099999999999</v>
      </c>
      <c r="N456" s="17">
        <f>CHOOSE(CONTROL!$C$42, 21.4993, 21.4993) * CHOOSE(CONTROL!$C$21, $C$9, 100%, $E$9)</f>
        <v>21.499300000000002</v>
      </c>
      <c r="O456" s="17">
        <f>CHOOSE(CONTROL!$C$42, 21.5774, 21.5774) * CHOOSE(CONTROL!$C$21, $C$9, 100%, $E$9)</f>
        <v>21.577400000000001</v>
      </c>
      <c r="P456" s="17">
        <f>CHOOSE(CONTROL!$C$42, 21.56, 21.56) * CHOOSE(CONTROL!$C$21, $C$9, 100%, $E$9)</f>
        <v>21.56</v>
      </c>
      <c r="Q456" s="17">
        <f>CHOOSE(CONTROL!$C$42, 22.1721, 22.1721) * CHOOSE(CONTROL!$C$21, $C$9, 100%, $E$9)</f>
        <v>22.1721</v>
      </c>
      <c r="R456" s="17">
        <f>CHOOSE(CONTROL!$C$42, 22.8145, 22.8145) * CHOOSE(CONTROL!$C$21, $C$9, 100%, $E$9)</f>
        <v>22.814499999999999</v>
      </c>
      <c r="S456" s="17">
        <f>CHOOSE(CONTROL!$C$42, 20.9913, 20.9913) * CHOOSE(CONTROL!$C$21, $C$9, 100%, $E$9)</f>
        <v>20.991299999999999</v>
      </c>
      <c r="T45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56" s="56">
        <f>(1000*CHOOSE(CONTROL!$C$42, 695, 695)*CHOOSE(CONTROL!$C$42, 0.5599, 0.5599)*CHOOSE(CONTROL!$C$42, 31, 31))/1000000</f>
        <v>12.063045499999998</v>
      </c>
      <c r="V456" s="56">
        <f>(1000*CHOOSE(CONTROL!$C$42, 500, 500)*CHOOSE(CONTROL!$C$42, 0.275, 0.275)*CHOOSE(CONTROL!$C$42, 31, 31))/1000000</f>
        <v>4.2625000000000002</v>
      </c>
      <c r="W456" s="56">
        <f>(1000*CHOOSE(CONTROL!$C$42, 0.0916, 0.0916)*CHOOSE(CONTROL!$C$42, 121.5, 121.5)*CHOOSE(CONTROL!$C$42, 31, 31))/1000000</f>
        <v>0.34501139999999997</v>
      </c>
      <c r="X456" s="56">
        <f>(31*0.2374*100000/1000000)</f>
        <v>0.73594000000000004</v>
      </c>
      <c r="Y456" s="56"/>
      <c r="Z456" s="17"/>
      <c r="AA456" s="55"/>
      <c r="AB456" s="48">
        <f>(B456*122.58+C456*297.941+D456*89.177+E456*140.302+F456*40+G456*60+H456*0+I456*100+J456*300)/(122.58+297.941+89.177+140.302+0+40+60+100+300)</f>
        <v>21.693778791304346</v>
      </c>
      <c r="AC456" s="45">
        <f>(M456*'RAP TEMPLATE-GAS AVAILABILITY'!O455+N456*'RAP TEMPLATE-GAS AVAILABILITY'!P455+O456*'RAP TEMPLATE-GAS AVAILABILITY'!Q455+P456*'RAP TEMPLATE-GAS AVAILABILITY'!R455)/('RAP TEMPLATE-GAS AVAILABILITY'!O455+'RAP TEMPLATE-GAS AVAILABILITY'!P455+'RAP TEMPLATE-GAS AVAILABILITY'!Q455+'RAP TEMPLATE-GAS AVAILABILITY'!R455)</f>
        <v>21.537492086330936</v>
      </c>
    </row>
    <row r="457" spans="1:29" ht="15.75" x14ac:dyDescent="0.25">
      <c r="A457" s="14">
        <v>54819</v>
      </c>
      <c r="B457" s="17">
        <f>CHOOSE(CONTROL!$C$42, 23.4515, 23.4515) * CHOOSE(CONTROL!$C$21, $C$9, 100%, $E$9)</f>
        <v>23.451499999999999</v>
      </c>
      <c r="C457" s="17">
        <f>CHOOSE(CONTROL!$C$42, 23.4566, 23.4566) * CHOOSE(CONTROL!$C$21, $C$9, 100%, $E$9)</f>
        <v>23.456600000000002</v>
      </c>
      <c r="D457" s="17">
        <f>CHOOSE(CONTROL!$C$42, 23.5535, 23.5535) * CHOOSE(CONTROL!$C$21, $C$9, 100%, $E$9)</f>
        <v>23.5535</v>
      </c>
      <c r="E457" s="17">
        <f>CHOOSE(CONTROL!$C$42, 23.5872, 23.5872) * CHOOSE(CONTROL!$C$21, $C$9, 100%, $E$9)</f>
        <v>23.587199999999999</v>
      </c>
      <c r="F457" s="17">
        <f>CHOOSE(CONTROL!$C$42, 23.4658, 23.4658)*CHOOSE(CONTROL!$C$21, $C$9, 100%, $E$9)</f>
        <v>23.465800000000002</v>
      </c>
      <c r="G457" s="17">
        <f>CHOOSE(CONTROL!$C$42, 23.4822, 23.4822)*CHOOSE(CONTROL!$C$21, $C$9, 100%, $E$9)</f>
        <v>23.482199999999999</v>
      </c>
      <c r="H457" s="17">
        <f>CHOOSE(CONTROL!$C$42, 23.5761, 23.5761) * CHOOSE(CONTROL!$C$21, $C$9, 100%, $E$9)</f>
        <v>23.5761</v>
      </c>
      <c r="I457" s="17">
        <f>CHOOSE(CONTROL!$C$42, 23.5493, 23.5493)* CHOOSE(CONTROL!$C$21, $C$9, 100%, $E$9)</f>
        <v>23.549299999999999</v>
      </c>
      <c r="J457" s="17">
        <f>CHOOSE(CONTROL!$C$42, 23.4584, 23.4584)* CHOOSE(CONTROL!$C$21, $C$9, 100%, $E$9)</f>
        <v>23.458400000000001</v>
      </c>
      <c r="K457" s="52">
        <f>CHOOSE(CONTROL!$C$42, 23.5432, 23.5432) * CHOOSE(CONTROL!$C$21, $C$9, 100%, $E$9)</f>
        <v>23.543199999999999</v>
      </c>
      <c r="L457" s="17">
        <f>CHOOSE(CONTROL!$C$42, 24.1631, 24.1631) * CHOOSE(CONTROL!$C$21, $C$9, 100%, $E$9)</f>
        <v>24.1631</v>
      </c>
      <c r="M457" s="17">
        <f>CHOOSE(CONTROL!$C$42, 23.2544, 23.2544) * CHOOSE(CONTROL!$C$21, $C$9, 100%, $E$9)</f>
        <v>23.2544</v>
      </c>
      <c r="N457" s="17">
        <f>CHOOSE(CONTROL!$C$42, 23.2707, 23.2707) * CHOOSE(CONTROL!$C$21, $C$9, 100%, $E$9)</f>
        <v>23.270700000000001</v>
      </c>
      <c r="O457" s="17">
        <f>CHOOSE(CONTROL!$C$42, 23.3711, 23.3711) * CHOOSE(CONTROL!$C$21, $C$9, 100%, $E$9)</f>
        <v>23.371099999999998</v>
      </c>
      <c r="P457" s="17">
        <f>CHOOSE(CONTROL!$C$42, 23.3439, 23.3439) * CHOOSE(CONTROL!$C$21, $C$9, 100%, $E$9)</f>
        <v>23.343900000000001</v>
      </c>
      <c r="Q457" s="17">
        <f>CHOOSE(CONTROL!$C$42, 23.9658, 23.9658) * CHOOSE(CONTROL!$C$21, $C$9, 100%, $E$9)</f>
        <v>23.965800000000002</v>
      </c>
      <c r="R457" s="17">
        <f>CHOOSE(CONTROL!$C$42, 24.6127, 24.6127) * CHOOSE(CONTROL!$C$21, $C$9, 100%, $E$9)</f>
        <v>24.6127</v>
      </c>
      <c r="S457" s="17">
        <f>CHOOSE(CONTROL!$C$42, 22.7315, 22.7315) * CHOOSE(CONTROL!$C$21, $C$9, 100%, $E$9)</f>
        <v>22.7315</v>
      </c>
      <c r="T45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57" s="56">
        <f>(1000*CHOOSE(CONTROL!$C$42, 695, 695)*CHOOSE(CONTROL!$C$42, 0.5599, 0.5599)*CHOOSE(CONTROL!$C$42, 31, 31))/1000000</f>
        <v>12.063045499999998</v>
      </c>
      <c r="V457" s="56">
        <f>(1000*CHOOSE(CONTROL!$C$42, 500, 500)*CHOOSE(CONTROL!$C$42, 0.275, 0.275)*CHOOSE(CONTROL!$C$42, 31, 31))/1000000</f>
        <v>4.2625000000000002</v>
      </c>
      <c r="W457" s="56">
        <f>(1000*CHOOSE(CONTROL!$C$42, 0.0916, 0.0916)*CHOOSE(CONTROL!$C$42, 121.5, 121.5)*CHOOSE(CONTROL!$C$42, 31, 31))/1000000</f>
        <v>0.34501139999999997</v>
      </c>
      <c r="X457" s="56">
        <f>(31*0.2374*100000/1000000)</f>
        <v>0.73594000000000004</v>
      </c>
      <c r="Y457" s="56"/>
      <c r="Z457" s="17"/>
      <c r="AA457" s="55"/>
      <c r="AB457" s="48">
        <f>(B457*122.58+C457*297.941+D457*89.177+E457*140.302+F457*40+G457*60+H457*0+I457*100+J457*300)/(122.58+297.941+89.177+140.302+0+40+60+100+300)</f>
        <v>23.489690029999998</v>
      </c>
      <c r="AC457" s="45">
        <f>(M457*'RAP TEMPLATE-GAS AVAILABILITY'!O456+N457*'RAP TEMPLATE-GAS AVAILABILITY'!P456+O457*'RAP TEMPLATE-GAS AVAILABILITY'!Q456+P457*'RAP TEMPLATE-GAS AVAILABILITY'!R456)/('RAP TEMPLATE-GAS AVAILABILITY'!O456+'RAP TEMPLATE-GAS AVAILABILITY'!P456+'RAP TEMPLATE-GAS AVAILABILITY'!Q456+'RAP TEMPLATE-GAS AVAILABILITY'!R456)</f>
        <v>23.321108633093527</v>
      </c>
    </row>
    <row r="458" spans="1:29" ht="15.75" x14ac:dyDescent="0.25">
      <c r="A458" s="14">
        <v>54847</v>
      </c>
      <c r="B458" s="17">
        <f>CHOOSE(CONTROL!$C$42, 23.8688, 23.8688) * CHOOSE(CONTROL!$C$21, $C$9, 100%, $E$9)</f>
        <v>23.8688</v>
      </c>
      <c r="C458" s="17">
        <f>CHOOSE(CONTROL!$C$42, 23.8739, 23.8739) * CHOOSE(CONTROL!$C$21, $C$9, 100%, $E$9)</f>
        <v>23.873899999999999</v>
      </c>
      <c r="D458" s="17">
        <f>CHOOSE(CONTROL!$C$42, 23.9707, 23.9707) * CHOOSE(CONTROL!$C$21, $C$9, 100%, $E$9)</f>
        <v>23.970700000000001</v>
      </c>
      <c r="E458" s="17">
        <f>CHOOSE(CONTROL!$C$42, 24.0045, 24.0045) * CHOOSE(CONTROL!$C$21, $C$9, 100%, $E$9)</f>
        <v>24.0045</v>
      </c>
      <c r="F458" s="17">
        <f>CHOOSE(CONTROL!$C$42, 23.8831, 23.8831)*CHOOSE(CONTROL!$C$21, $C$9, 100%, $E$9)</f>
        <v>23.883099999999999</v>
      </c>
      <c r="G458" s="17">
        <f>CHOOSE(CONTROL!$C$42, 23.8995, 23.8995)*CHOOSE(CONTROL!$C$21, $C$9, 100%, $E$9)</f>
        <v>23.8995</v>
      </c>
      <c r="H458" s="17">
        <f>CHOOSE(CONTROL!$C$42, 23.9934, 23.9934) * CHOOSE(CONTROL!$C$21, $C$9, 100%, $E$9)</f>
        <v>23.993400000000001</v>
      </c>
      <c r="I458" s="17">
        <f>CHOOSE(CONTROL!$C$42, 23.9679, 23.9679)* CHOOSE(CONTROL!$C$21, $C$9, 100%, $E$9)</f>
        <v>23.9679</v>
      </c>
      <c r="J458" s="17">
        <f>CHOOSE(CONTROL!$C$42, 23.8757, 23.8757)* CHOOSE(CONTROL!$C$21, $C$9, 100%, $E$9)</f>
        <v>23.875699999999998</v>
      </c>
      <c r="K458" s="52">
        <f>CHOOSE(CONTROL!$C$42, 23.9618, 23.9618) * CHOOSE(CONTROL!$C$21, $C$9, 100%, $E$9)</f>
        <v>23.9618</v>
      </c>
      <c r="L458" s="17">
        <f>CHOOSE(CONTROL!$C$42, 24.5804, 24.5804) * CHOOSE(CONTROL!$C$21, $C$9, 100%, $E$9)</f>
        <v>24.580400000000001</v>
      </c>
      <c r="M458" s="17">
        <f>CHOOSE(CONTROL!$C$42, 23.668, 23.668) * CHOOSE(CONTROL!$C$21, $C$9, 100%, $E$9)</f>
        <v>23.667999999999999</v>
      </c>
      <c r="N458" s="17">
        <f>CHOOSE(CONTROL!$C$42, 23.6842, 23.6842) * CHOOSE(CONTROL!$C$21, $C$9, 100%, $E$9)</f>
        <v>23.684200000000001</v>
      </c>
      <c r="O458" s="17">
        <f>CHOOSE(CONTROL!$C$42, 23.7846, 23.7846) * CHOOSE(CONTROL!$C$21, $C$9, 100%, $E$9)</f>
        <v>23.784600000000001</v>
      </c>
      <c r="P458" s="17">
        <f>CHOOSE(CONTROL!$C$42, 23.7587, 23.7587) * CHOOSE(CONTROL!$C$21, $C$9, 100%, $E$9)</f>
        <v>23.758700000000001</v>
      </c>
      <c r="Q458" s="17">
        <f>CHOOSE(CONTROL!$C$42, 24.3793, 24.3793) * CHOOSE(CONTROL!$C$21, $C$9, 100%, $E$9)</f>
        <v>24.379300000000001</v>
      </c>
      <c r="R458" s="17">
        <f>CHOOSE(CONTROL!$C$42, 25.0273, 25.0273) * CHOOSE(CONTROL!$C$21, $C$9, 100%, $E$9)</f>
        <v>25.0273</v>
      </c>
      <c r="S458" s="17">
        <f>CHOOSE(CONTROL!$C$42, 23.1361, 23.1361) * CHOOSE(CONTROL!$C$21, $C$9, 100%, $E$9)</f>
        <v>23.136099999999999</v>
      </c>
      <c r="T45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58" s="56">
        <f>(1000*CHOOSE(CONTROL!$C$42, 695, 695)*CHOOSE(CONTROL!$C$42, 0.5599, 0.5599)*CHOOSE(CONTROL!$C$42, 28, 28))/1000000</f>
        <v>10.895653999999999</v>
      </c>
      <c r="V458" s="56">
        <f>(1000*CHOOSE(CONTROL!$C$42, 500, 500)*CHOOSE(CONTROL!$C$42, 0.275, 0.275)*CHOOSE(CONTROL!$C$42, 28, 28))/1000000</f>
        <v>3.85</v>
      </c>
      <c r="W458" s="56">
        <f>(1000*CHOOSE(CONTROL!$C$42, 0.0916, 0.0916)*CHOOSE(CONTROL!$C$42, 121.5, 121.5)*CHOOSE(CONTROL!$C$42, 28, 28))/1000000</f>
        <v>0.31162319999999999</v>
      </c>
      <c r="X458" s="56">
        <f>(28*0.2374*100000/1000000)</f>
        <v>0.66471999999999998</v>
      </c>
      <c r="Y458" s="56"/>
      <c r="Z458" s="17"/>
      <c r="AA458" s="55"/>
      <c r="AB458" s="48">
        <f>(B458*122.58+C458*297.941+D458*89.177+E458*140.302+F458*40+G458*60+H458*0+I458*100+J458*300)/(122.58+297.941+89.177+140.302+0+40+60+100+300)</f>
        <v>23.907095318956522</v>
      </c>
      <c r="AC458" s="45">
        <f>(M458*'RAP TEMPLATE-GAS AVAILABILITY'!O457+N458*'RAP TEMPLATE-GAS AVAILABILITY'!P457+O458*'RAP TEMPLATE-GAS AVAILABILITY'!Q457+P458*'RAP TEMPLATE-GAS AVAILABILITY'!R457)/('RAP TEMPLATE-GAS AVAILABILITY'!O457+'RAP TEMPLATE-GAS AVAILABILITY'!P457+'RAP TEMPLATE-GAS AVAILABILITY'!Q457+'RAP TEMPLATE-GAS AVAILABILITY'!R457)</f>
        <v>23.734830215827337</v>
      </c>
    </row>
    <row r="459" spans="1:29" ht="15.75" x14ac:dyDescent="0.25">
      <c r="A459" s="14">
        <v>54878</v>
      </c>
      <c r="B459" s="17">
        <f>CHOOSE(CONTROL!$C$42, 23.1915, 23.1915) * CHOOSE(CONTROL!$C$21, $C$9, 100%, $E$9)</f>
        <v>23.191500000000001</v>
      </c>
      <c r="C459" s="17">
        <f>CHOOSE(CONTROL!$C$42, 23.1966, 23.1966) * CHOOSE(CONTROL!$C$21, $C$9, 100%, $E$9)</f>
        <v>23.1966</v>
      </c>
      <c r="D459" s="17">
        <f>CHOOSE(CONTROL!$C$42, 23.2934, 23.2934) * CHOOSE(CONTROL!$C$21, $C$9, 100%, $E$9)</f>
        <v>23.293399999999998</v>
      </c>
      <c r="E459" s="17">
        <f>CHOOSE(CONTROL!$C$42, 23.3272, 23.3272) * CHOOSE(CONTROL!$C$21, $C$9, 100%, $E$9)</f>
        <v>23.327200000000001</v>
      </c>
      <c r="F459" s="17">
        <f>CHOOSE(CONTROL!$C$42, 23.2051, 23.2051)*CHOOSE(CONTROL!$C$21, $C$9, 100%, $E$9)</f>
        <v>23.205100000000002</v>
      </c>
      <c r="G459" s="17">
        <f>CHOOSE(CONTROL!$C$42, 23.2213, 23.2213)*CHOOSE(CONTROL!$C$21, $C$9, 100%, $E$9)</f>
        <v>23.221299999999999</v>
      </c>
      <c r="H459" s="17">
        <f>CHOOSE(CONTROL!$C$42, 23.316, 23.316) * CHOOSE(CONTROL!$C$21, $C$9, 100%, $E$9)</f>
        <v>23.315999999999999</v>
      </c>
      <c r="I459" s="17">
        <f>CHOOSE(CONTROL!$C$42, 23.2884, 23.2884)* CHOOSE(CONTROL!$C$21, $C$9, 100%, $E$9)</f>
        <v>23.288399999999999</v>
      </c>
      <c r="J459" s="17">
        <f>CHOOSE(CONTROL!$C$42, 23.1977, 23.1977)* CHOOSE(CONTROL!$C$21, $C$9, 100%, $E$9)</f>
        <v>23.197700000000001</v>
      </c>
      <c r="K459" s="52">
        <f>CHOOSE(CONTROL!$C$42, 23.2824, 23.2824) * CHOOSE(CONTROL!$C$21, $C$9, 100%, $E$9)</f>
        <v>23.282399999999999</v>
      </c>
      <c r="L459" s="17">
        <f>CHOOSE(CONTROL!$C$42, 23.903, 23.903) * CHOOSE(CONTROL!$C$21, $C$9, 100%, $E$9)</f>
        <v>23.902999999999999</v>
      </c>
      <c r="M459" s="17">
        <f>CHOOSE(CONTROL!$C$42, 22.9961, 22.9961) * CHOOSE(CONTROL!$C$21, $C$9, 100%, $E$9)</f>
        <v>22.996099999999998</v>
      </c>
      <c r="N459" s="17">
        <f>CHOOSE(CONTROL!$C$42, 23.0122, 23.0122) * CHOOSE(CONTROL!$C$21, $C$9, 100%, $E$9)</f>
        <v>23.0122</v>
      </c>
      <c r="O459" s="17">
        <f>CHOOSE(CONTROL!$C$42, 23.1133, 23.1133) * CHOOSE(CONTROL!$C$21, $C$9, 100%, $E$9)</f>
        <v>23.113299999999999</v>
      </c>
      <c r="P459" s="17">
        <f>CHOOSE(CONTROL!$C$42, 23.0854, 23.0854) * CHOOSE(CONTROL!$C$21, $C$9, 100%, $E$9)</f>
        <v>23.0854</v>
      </c>
      <c r="Q459" s="17">
        <f>CHOOSE(CONTROL!$C$42, 23.708, 23.708) * CHOOSE(CONTROL!$C$21, $C$9, 100%, $E$9)</f>
        <v>23.707999999999998</v>
      </c>
      <c r="R459" s="17">
        <f>CHOOSE(CONTROL!$C$42, 24.3543, 24.3543) * CHOOSE(CONTROL!$C$21, $C$9, 100%, $E$9)</f>
        <v>24.354299999999999</v>
      </c>
      <c r="S459" s="17">
        <f>CHOOSE(CONTROL!$C$42, 22.4793, 22.4793) * CHOOSE(CONTROL!$C$21, $C$9, 100%, $E$9)</f>
        <v>22.479299999999999</v>
      </c>
      <c r="T45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59" s="56">
        <f>(1000*CHOOSE(CONTROL!$C$42, 695, 695)*CHOOSE(CONTROL!$C$42, 0.5599, 0.5599)*CHOOSE(CONTROL!$C$42, 31, 31))/1000000</f>
        <v>12.063045499999998</v>
      </c>
      <c r="V459" s="56">
        <f>(1000*CHOOSE(CONTROL!$C$42, 500, 500)*CHOOSE(CONTROL!$C$42, 0.275, 0.275)*CHOOSE(CONTROL!$C$42, 31, 31))/1000000</f>
        <v>4.2625000000000002</v>
      </c>
      <c r="W459" s="56">
        <f>(1000*CHOOSE(CONTROL!$C$42, 0.0916, 0.0916)*CHOOSE(CONTROL!$C$42, 121.5, 121.5)*CHOOSE(CONTROL!$C$42, 31, 31))/1000000</f>
        <v>0.34501139999999997</v>
      </c>
      <c r="X459" s="56">
        <f>(31*0.2374*100000/1000000)</f>
        <v>0.73594000000000004</v>
      </c>
      <c r="Y459" s="56"/>
      <c r="Z459" s="17"/>
      <c r="AA459" s="55"/>
      <c r="AB459" s="48">
        <f>(B459*122.58+C459*297.941+D459*89.177+E459*140.302+F459*40+G459*60+H459*0+I459*100+J459*300)/(122.58+297.941+89.177+140.302+0+40+60+100+300)</f>
        <v>23.229350101565217</v>
      </c>
      <c r="AC459" s="45">
        <f>(M459*'RAP TEMPLATE-GAS AVAILABILITY'!O458+N459*'RAP TEMPLATE-GAS AVAILABILITY'!P458+O459*'RAP TEMPLATE-GAS AVAILABILITY'!Q458+P459*'RAP TEMPLATE-GAS AVAILABILITY'!R458)/('RAP TEMPLATE-GAS AVAILABILITY'!O458+'RAP TEMPLATE-GAS AVAILABILITY'!P458+'RAP TEMPLATE-GAS AVAILABILITY'!Q458+'RAP TEMPLATE-GAS AVAILABILITY'!R458)</f>
        <v>23.062994964028778</v>
      </c>
    </row>
    <row r="460" spans="1:29" ht="15.75" x14ac:dyDescent="0.25">
      <c r="A460" s="14">
        <v>54908</v>
      </c>
      <c r="B460" s="17">
        <f>CHOOSE(CONTROL!$C$42, 23.1231, 23.1231) * CHOOSE(CONTROL!$C$21, $C$9, 100%, $E$9)</f>
        <v>23.123100000000001</v>
      </c>
      <c r="C460" s="17">
        <f>CHOOSE(CONTROL!$C$42, 23.1276, 23.1276) * CHOOSE(CONTROL!$C$21, $C$9, 100%, $E$9)</f>
        <v>23.127600000000001</v>
      </c>
      <c r="D460" s="17">
        <f>CHOOSE(CONTROL!$C$42, 23.3751, 23.3751) * CHOOSE(CONTROL!$C$21, $C$9, 100%, $E$9)</f>
        <v>23.3751</v>
      </c>
      <c r="E460" s="17">
        <f>CHOOSE(CONTROL!$C$42, 23.4069, 23.4069) * CHOOSE(CONTROL!$C$21, $C$9, 100%, $E$9)</f>
        <v>23.4069</v>
      </c>
      <c r="F460" s="17">
        <f>CHOOSE(CONTROL!$C$42, 23.1347, 23.1347)*CHOOSE(CONTROL!$C$21, $C$9, 100%, $E$9)</f>
        <v>23.134699999999999</v>
      </c>
      <c r="G460" s="17">
        <f>CHOOSE(CONTROL!$C$42, 23.1506, 23.1506)*CHOOSE(CONTROL!$C$21, $C$9, 100%, $E$9)</f>
        <v>23.150600000000001</v>
      </c>
      <c r="H460" s="17">
        <f>CHOOSE(CONTROL!$C$42, 23.3964, 23.3964) * CHOOSE(CONTROL!$C$21, $C$9, 100%, $E$9)</f>
        <v>23.3964</v>
      </c>
      <c r="I460" s="17">
        <f>CHOOSE(CONTROL!$C$42, 23.2174, 23.2174)* CHOOSE(CONTROL!$C$21, $C$9, 100%, $E$9)</f>
        <v>23.217400000000001</v>
      </c>
      <c r="J460" s="17">
        <f>CHOOSE(CONTROL!$C$42, 23.1273, 23.1273)* CHOOSE(CONTROL!$C$21, $C$9, 100%, $E$9)</f>
        <v>23.127300000000002</v>
      </c>
      <c r="K460" s="52">
        <f>CHOOSE(CONTROL!$C$42, 23.2114, 23.2114) * CHOOSE(CONTROL!$C$21, $C$9, 100%, $E$9)</f>
        <v>23.211400000000001</v>
      </c>
      <c r="L460" s="17">
        <f>CHOOSE(CONTROL!$C$42, 23.9834, 23.9834) * CHOOSE(CONTROL!$C$21, $C$9, 100%, $E$9)</f>
        <v>23.9834</v>
      </c>
      <c r="M460" s="17">
        <f>CHOOSE(CONTROL!$C$42, 22.9263, 22.9263) * CHOOSE(CONTROL!$C$21, $C$9, 100%, $E$9)</f>
        <v>22.926300000000001</v>
      </c>
      <c r="N460" s="17">
        <f>CHOOSE(CONTROL!$C$42, 22.9421, 22.9421) * CHOOSE(CONTROL!$C$21, $C$9, 100%, $E$9)</f>
        <v>22.9421</v>
      </c>
      <c r="O460" s="17">
        <f>CHOOSE(CONTROL!$C$42, 23.193, 23.193) * CHOOSE(CONTROL!$C$21, $C$9, 100%, $E$9)</f>
        <v>23.193000000000001</v>
      </c>
      <c r="P460" s="17">
        <f>CHOOSE(CONTROL!$C$42, 23.0151, 23.0151) * CHOOSE(CONTROL!$C$21, $C$9, 100%, $E$9)</f>
        <v>23.0151</v>
      </c>
      <c r="Q460" s="17">
        <f>CHOOSE(CONTROL!$C$42, 23.7877, 23.7877) * CHOOSE(CONTROL!$C$21, $C$9, 100%, $E$9)</f>
        <v>23.787700000000001</v>
      </c>
      <c r="R460" s="17">
        <f>CHOOSE(CONTROL!$C$42, 24.4341, 24.4341) * CHOOSE(CONTROL!$C$21, $C$9, 100%, $E$9)</f>
        <v>24.434100000000001</v>
      </c>
      <c r="S460" s="17">
        <f>CHOOSE(CONTROL!$C$42, 22.4122, 22.4122) * CHOOSE(CONTROL!$C$21, $C$9, 100%, $E$9)</f>
        <v>22.412199999999999</v>
      </c>
      <c r="T46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60" s="56">
        <f>(1000*CHOOSE(CONTROL!$C$42, 695, 695)*CHOOSE(CONTROL!$C$42, 0.5599, 0.5599)*CHOOSE(CONTROL!$C$42, 30, 30))/1000000</f>
        <v>11.673914999999997</v>
      </c>
      <c r="V460" s="56">
        <f>(1000*CHOOSE(CONTROL!$C$42, 500, 500)*CHOOSE(CONTROL!$C$42, 0.275, 0.275)*CHOOSE(CONTROL!$C$42, 30, 30))/1000000</f>
        <v>4.125</v>
      </c>
      <c r="W460" s="56">
        <f>(1000*CHOOSE(CONTROL!$C$42, 0.0916, 0.0916)*CHOOSE(CONTROL!$C$42, 121.5, 121.5)*CHOOSE(CONTROL!$C$42, 30, 30))/1000000</f>
        <v>0.33388200000000001</v>
      </c>
      <c r="X460" s="56">
        <f>(30*0.1790888*145000/1000000)+(30*0.2374*100000/1000000)</f>
        <v>1.4912362799999999</v>
      </c>
      <c r="Y460" s="56"/>
      <c r="Z460" s="17"/>
      <c r="AA460" s="55"/>
      <c r="AB460" s="48">
        <f>(B460*141.293+C460*267.993+D460*115.016+E460*189.698+F460*40+G460*85+H460*0+I460*100+J460*300)/(141.293+267.993+115.016+189.698+0+40+85+100+300)</f>
        <v>23.201806854640839</v>
      </c>
      <c r="AC460" s="45">
        <f>(M460*'RAP TEMPLATE-GAS AVAILABILITY'!O459+N460*'RAP TEMPLATE-GAS AVAILABILITY'!P459+O460*'RAP TEMPLATE-GAS AVAILABILITY'!Q459+P460*'RAP TEMPLATE-GAS AVAILABILITY'!R459)/('RAP TEMPLATE-GAS AVAILABILITY'!O459+'RAP TEMPLATE-GAS AVAILABILITY'!P459+'RAP TEMPLATE-GAS AVAILABILITY'!Q459+'RAP TEMPLATE-GAS AVAILABILITY'!R459)</f>
        <v>23.017543884892085</v>
      </c>
    </row>
    <row r="461" spans="1:29" ht="15.75" x14ac:dyDescent="0.25">
      <c r="A461" s="14">
        <v>54939</v>
      </c>
      <c r="B461" s="17">
        <f>CHOOSE(CONTROL!$C$42, 23.3284, 23.3284) * CHOOSE(CONTROL!$C$21, $C$9, 100%, $E$9)</f>
        <v>23.328399999999998</v>
      </c>
      <c r="C461" s="17">
        <f>CHOOSE(CONTROL!$C$42, 23.3364, 23.3364) * CHOOSE(CONTROL!$C$21, $C$9, 100%, $E$9)</f>
        <v>23.336400000000001</v>
      </c>
      <c r="D461" s="17">
        <f>CHOOSE(CONTROL!$C$42, 23.5809, 23.5809) * CHOOSE(CONTROL!$C$21, $C$9, 100%, $E$9)</f>
        <v>23.5809</v>
      </c>
      <c r="E461" s="17">
        <f>CHOOSE(CONTROL!$C$42, 23.612, 23.612) * CHOOSE(CONTROL!$C$21, $C$9, 100%, $E$9)</f>
        <v>23.611999999999998</v>
      </c>
      <c r="F461" s="17">
        <f>CHOOSE(CONTROL!$C$42, 23.339, 23.339)*CHOOSE(CONTROL!$C$21, $C$9, 100%, $E$9)</f>
        <v>23.338999999999999</v>
      </c>
      <c r="G461" s="17">
        <f>CHOOSE(CONTROL!$C$42, 23.3552, 23.3552)*CHOOSE(CONTROL!$C$21, $C$9, 100%, $E$9)</f>
        <v>23.3552</v>
      </c>
      <c r="H461" s="17">
        <f>CHOOSE(CONTROL!$C$42, 23.6004, 23.6004) * CHOOSE(CONTROL!$C$21, $C$9, 100%, $E$9)</f>
        <v>23.6004</v>
      </c>
      <c r="I461" s="17">
        <f>CHOOSE(CONTROL!$C$42, 23.4221, 23.4221)* CHOOSE(CONTROL!$C$21, $C$9, 100%, $E$9)</f>
        <v>23.4221</v>
      </c>
      <c r="J461" s="17">
        <f>CHOOSE(CONTROL!$C$42, 23.3316, 23.3316)* CHOOSE(CONTROL!$C$21, $C$9, 100%, $E$9)</f>
        <v>23.331600000000002</v>
      </c>
      <c r="K461" s="52">
        <f>CHOOSE(CONTROL!$C$42, 23.416, 23.416) * CHOOSE(CONTROL!$C$21, $C$9, 100%, $E$9)</f>
        <v>23.416</v>
      </c>
      <c r="L461" s="17">
        <f>CHOOSE(CONTROL!$C$42, 24.1874, 24.1874) * CHOOSE(CONTROL!$C$21, $C$9, 100%, $E$9)</f>
        <v>24.1874</v>
      </c>
      <c r="M461" s="17">
        <f>CHOOSE(CONTROL!$C$42, 23.1287, 23.1287) * CHOOSE(CONTROL!$C$21, $C$9, 100%, $E$9)</f>
        <v>23.128699999999998</v>
      </c>
      <c r="N461" s="17">
        <f>CHOOSE(CONTROL!$C$42, 23.1448, 23.1448) * CHOOSE(CONTROL!$C$21, $C$9, 100%, $E$9)</f>
        <v>23.1448</v>
      </c>
      <c r="O461" s="17">
        <f>CHOOSE(CONTROL!$C$42, 23.3951, 23.3951) * CHOOSE(CONTROL!$C$21, $C$9, 100%, $E$9)</f>
        <v>23.395099999999999</v>
      </c>
      <c r="P461" s="17">
        <f>CHOOSE(CONTROL!$C$42, 23.2178, 23.2178) * CHOOSE(CONTROL!$C$21, $C$9, 100%, $E$9)</f>
        <v>23.2178</v>
      </c>
      <c r="Q461" s="17">
        <f>CHOOSE(CONTROL!$C$42, 23.9898, 23.9898) * CHOOSE(CONTROL!$C$21, $C$9, 100%, $E$9)</f>
        <v>23.989799999999999</v>
      </c>
      <c r="R461" s="17">
        <f>CHOOSE(CONTROL!$C$42, 24.6368, 24.6368) * CHOOSE(CONTROL!$C$21, $C$9, 100%, $E$9)</f>
        <v>24.636800000000001</v>
      </c>
      <c r="S461" s="17">
        <f>CHOOSE(CONTROL!$C$42, 22.61, 22.61) * CHOOSE(CONTROL!$C$21, $C$9, 100%, $E$9)</f>
        <v>22.61</v>
      </c>
      <c r="T46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61" s="56">
        <f>(1000*CHOOSE(CONTROL!$C$42, 695, 695)*CHOOSE(CONTROL!$C$42, 0.5599, 0.5599)*CHOOSE(CONTROL!$C$42, 31, 31))/1000000</f>
        <v>12.063045499999998</v>
      </c>
      <c r="V461" s="56">
        <f>(1000*CHOOSE(CONTROL!$C$42, 500, 500)*CHOOSE(CONTROL!$C$42, 0.275, 0.275)*CHOOSE(CONTROL!$C$42, 31, 31))/1000000</f>
        <v>4.2625000000000002</v>
      </c>
      <c r="W461" s="56">
        <f>(1000*CHOOSE(CONTROL!$C$42, 0.0916, 0.0916)*CHOOSE(CONTROL!$C$42, 121.5, 121.5)*CHOOSE(CONTROL!$C$42, 31, 31))/1000000</f>
        <v>0.34501139999999997</v>
      </c>
      <c r="X461" s="56">
        <f>(31*0.1790888*145000/1000000)+(31*0.2374*100000/1000000)</f>
        <v>1.5409441560000001</v>
      </c>
      <c r="Y461" s="56"/>
      <c r="Z461" s="17"/>
      <c r="AA461" s="55"/>
      <c r="AB461" s="48">
        <f>(B461*194.205+C461*267.466+D461*133.845+E461*153.484+F461*40+G461*85+H461*0+I461*100+J461*300)/(194.205+267.466+133.845+153.484+0+40+85+100+300)</f>
        <v>23.401002553296706</v>
      </c>
      <c r="AC461" s="45">
        <f>(M461*'RAP TEMPLATE-GAS AVAILABILITY'!O460+N461*'RAP TEMPLATE-GAS AVAILABILITY'!P460+O461*'RAP TEMPLATE-GAS AVAILABILITY'!Q460+P461*'RAP TEMPLATE-GAS AVAILABILITY'!R460)/('RAP TEMPLATE-GAS AVAILABILITY'!O460+'RAP TEMPLATE-GAS AVAILABILITY'!P460+'RAP TEMPLATE-GAS AVAILABILITY'!Q460+'RAP TEMPLATE-GAS AVAILABILITY'!R460)</f>
        <v>23.219971942446044</v>
      </c>
    </row>
    <row r="462" spans="1:29" ht="15.75" x14ac:dyDescent="0.25">
      <c r="A462" s="14">
        <v>54969</v>
      </c>
      <c r="B462" s="17">
        <f>CHOOSE(CONTROL!$C$42, 23.9898, 23.9898) * CHOOSE(CONTROL!$C$21, $C$9, 100%, $E$9)</f>
        <v>23.989799999999999</v>
      </c>
      <c r="C462" s="17">
        <f>CHOOSE(CONTROL!$C$42, 23.9978, 23.9978) * CHOOSE(CONTROL!$C$21, $C$9, 100%, $E$9)</f>
        <v>23.997800000000002</v>
      </c>
      <c r="D462" s="17">
        <f>CHOOSE(CONTROL!$C$42, 24.2422, 24.2422) * CHOOSE(CONTROL!$C$21, $C$9, 100%, $E$9)</f>
        <v>24.2422</v>
      </c>
      <c r="E462" s="17">
        <f>CHOOSE(CONTROL!$C$42, 24.2734, 24.2734) * CHOOSE(CONTROL!$C$21, $C$9, 100%, $E$9)</f>
        <v>24.273399999999999</v>
      </c>
      <c r="F462" s="17">
        <f>CHOOSE(CONTROL!$C$42, 24.0007, 24.0007)*CHOOSE(CONTROL!$C$21, $C$9, 100%, $E$9)</f>
        <v>24.000699999999998</v>
      </c>
      <c r="G462" s="17">
        <f>CHOOSE(CONTROL!$C$42, 24.017, 24.017)*CHOOSE(CONTROL!$C$21, $C$9, 100%, $E$9)</f>
        <v>24.016999999999999</v>
      </c>
      <c r="H462" s="17">
        <f>CHOOSE(CONTROL!$C$42, 24.2617, 24.2617) * CHOOSE(CONTROL!$C$21, $C$9, 100%, $E$9)</f>
        <v>24.261700000000001</v>
      </c>
      <c r="I462" s="17">
        <f>CHOOSE(CONTROL!$C$42, 24.0855, 24.0855)* CHOOSE(CONTROL!$C$21, $C$9, 100%, $E$9)</f>
        <v>24.0855</v>
      </c>
      <c r="J462" s="17">
        <f>CHOOSE(CONTROL!$C$42, 23.9933, 23.9933)* CHOOSE(CONTROL!$C$21, $C$9, 100%, $E$9)</f>
        <v>23.993300000000001</v>
      </c>
      <c r="K462" s="52">
        <f>CHOOSE(CONTROL!$C$42, 24.0795, 24.0795) * CHOOSE(CONTROL!$C$21, $C$9, 100%, $E$9)</f>
        <v>24.079499999999999</v>
      </c>
      <c r="L462" s="17">
        <f>CHOOSE(CONTROL!$C$42, 24.8487, 24.8487) * CHOOSE(CONTROL!$C$21, $C$9, 100%, $E$9)</f>
        <v>24.848700000000001</v>
      </c>
      <c r="M462" s="17">
        <f>CHOOSE(CONTROL!$C$42, 23.7845, 23.7845) * CHOOSE(CONTROL!$C$21, $C$9, 100%, $E$9)</f>
        <v>23.784500000000001</v>
      </c>
      <c r="N462" s="17">
        <f>CHOOSE(CONTROL!$C$42, 23.8007, 23.8007) * CHOOSE(CONTROL!$C$21, $C$9, 100%, $E$9)</f>
        <v>23.800699999999999</v>
      </c>
      <c r="O462" s="17">
        <f>CHOOSE(CONTROL!$C$42, 24.0506, 24.0506) * CHOOSE(CONTROL!$C$21, $C$9, 100%, $E$9)</f>
        <v>24.050599999999999</v>
      </c>
      <c r="P462" s="17">
        <f>CHOOSE(CONTROL!$C$42, 23.8753, 23.8753) * CHOOSE(CONTROL!$C$21, $C$9, 100%, $E$9)</f>
        <v>23.875299999999999</v>
      </c>
      <c r="Q462" s="17">
        <f>CHOOSE(CONTROL!$C$42, 24.6453, 24.6453) * CHOOSE(CONTROL!$C$21, $C$9, 100%, $E$9)</f>
        <v>24.645299999999999</v>
      </c>
      <c r="R462" s="17">
        <f>CHOOSE(CONTROL!$C$42, 25.2939, 25.2939) * CHOOSE(CONTROL!$C$21, $C$9, 100%, $E$9)</f>
        <v>25.293900000000001</v>
      </c>
      <c r="S462" s="17">
        <f>CHOOSE(CONTROL!$C$42, 23.2513, 23.2513) * CHOOSE(CONTROL!$C$21, $C$9, 100%, $E$9)</f>
        <v>23.251300000000001</v>
      </c>
      <c r="T46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62" s="56">
        <f>(1000*CHOOSE(CONTROL!$C$42, 695, 695)*CHOOSE(CONTROL!$C$42, 0.5599, 0.5599)*CHOOSE(CONTROL!$C$42, 30, 30))/1000000</f>
        <v>11.673914999999997</v>
      </c>
      <c r="V462" s="56">
        <f>(1000*CHOOSE(CONTROL!$C$42, 500, 500)*CHOOSE(CONTROL!$C$42, 0.275, 0.275)*CHOOSE(CONTROL!$C$42, 30, 30))/1000000</f>
        <v>4.125</v>
      </c>
      <c r="W462" s="56">
        <f>(1000*CHOOSE(CONTROL!$C$42, 0.0916, 0.0916)*CHOOSE(CONTROL!$C$42, 121.5, 121.5)*CHOOSE(CONTROL!$C$42, 30, 30))/1000000</f>
        <v>0.33388200000000001</v>
      </c>
      <c r="X462" s="56">
        <f>(30*0.1790888*145000/1000000)+(30*0.2374*100000/1000000)</f>
        <v>1.4912362799999999</v>
      </c>
      <c r="Y462" s="56"/>
      <c r="Z462" s="17"/>
      <c r="AA462" s="55"/>
      <c r="AB462" s="48">
        <f>(B462*194.205+C462*267.466+D462*133.845+E462*153.484+F462*40+G462*85+H462*0+I462*100+J462*300)/(194.205+267.466+133.845+153.484+0+40+85+100+300)</f>
        <v>24.062655783673467</v>
      </c>
      <c r="AC462" s="45">
        <f>(M462*'RAP TEMPLATE-GAS AVAILABILITY'!O461+N462*'RAP TEMPLATE-GAS AVAILABILITY'!P461+O462*'RAP TEMPLATE-GAS AVAILABILITY'!Q461+P462*'RAP TEMPLATE-GAS AVAILABILITY'!R461)/('RAP TEMPLATE-GAS AVAILABILITY'!O461+'RAP TEMPLATE-GAS AVAILABILITY'!P461+'RAP TEMPLATE-GAS AVAILABILITY'!Q461+'RAP TEMPLATE-GAS AVAILABILITY'!R461)</f>
        <v>23.875955395683455</v>
      </c>
    </row>
    <row r="463" spans="1:29" ht="15.75" x14ac:dyDescent="0.25">
      <c r="A463" s="14">
        <v>55000</v>
      </c>
      <c r="B463" s="17">
        <f>CHOOSE(CONTROL!$C$42, 23.5298, 23.5298) * CHOOSE(CONTROL!$C$21, $C$9, 100%, $E$9)</f>
        <v>23.529800000000002</v>
      </c>
      <c r="C463" s="17">
        <f>CHOOSE(CONTROL!$C$42, 23.5378, 23.5378) * CHOOSE(CONTROL!$C$21, $C$9, 100%, $E$9)</f>
        <v>23.537800000000001</v>
      </c>
      <c r="D463" s="17">
        <f>CHOOSE(CONTROL!$C$42, 23.7823, 23.7823) * CHOOSE(CONTROL!$C$21, $C$9, 100%, $E$9)</f>
        <v>23.782299999999999</v>
      </c>
      <c r="E463" s="17">
        <f>CHOOSE(CONTROL!$C$42, 23.8134, 23.8134) * CHOOSE(CONTROL!$C$21, $C$9, 100%, $E$9)</f>
        <v>23.813400000000001</v>
      </c>
      <c r="F463" s="17">
        <f>CHOOSE(CONTROL!$C$42, 23.5411, 23.5411)*CHOOSE(CONTROL!$C$21, $C$9, 100%, $E$9)</f>
        <v>23.5411</v>
      </c>
      <c r="G463" s="17">
        <f>CHOOSE(CONTROL!$C$42, 23.5576, 23.5576)*CHOOSE(CONTROL!$C$21, $C$9, 100%, $E$9)</f>
        <v>23.557600000000001</v>
      </c>
      <c r="H463" s="17">
        <f>CHOOSE(CONTROL!$C$42, 23.8018, 23.8018) * CHOOSE(CONTROL!$C$21, $C$9, 100%, $E$9)</f>
        <v>23.8018</v>
      </c>
      <c r="I463" s="17">
        <f>CHOOSE(CONTROL!$C$42, 23.6241, 23.6241)* CHOOSE(CONTROL!$C$21, $C$9, 100%, $E$9)</f>
        <v>23.624099999999999</v>
      </c>
      <c r="J463" s="17">
        <f>CHOOSE(CONTROL!$C$42, 23.5337, 23.5337)* CHOOSE(CONTROL!$C$21, $C$9, 100%, $E$9)</f>
        <v>23.5337</v>
      </c>
      <c r="K463" s="52">
        <f>CHOOSE(CONTROL!$C$42, 23.618, 23.618) * CHOOSE(CONTROL!$C$21, $C$9, 100%, $E$9)</f>
        <v>23.617999999999999</v>
      </c>
      <c r="L463" s="17">
        <f>CHOOSE(CONTROL!$C$42, 24.3888, 24.3888) * CHOOSE(CONTROL!$C$21, $C$9, 100%, $E$9)</f>
        <v>24.3888</v>
      </c>
      <c r="M463" s="17">
        <f>CHOOSE(CONTROL!$C$42, 23.3291, 23.3291) * CHOOSE(CONTROL!$C$21, $C$9, 100%, $E$9)</f>
        <v>23.3291</v>
      </c>
      <c r="N463" s="17">
        <f>CHOOSE(CONTROL!$C$42, 23.3454, 23.3454) * CHOOSE(CONTROL!$C$21, $C$9, 100%, $E$9)</f>
        <v>23.345400000000001</v>
      </c>
      <c r="O463" s="17">
        <f>CHOOSE(CONTROL!$C$42, 23.5947, 23.5947) * CHOOSE(CONTROL!$C$21, $C$9, 100%, $E$9)</f>
        <v>23.5947</v>
      </c>
      <c r="P463" s="17">
        <f>CHOOSE(CONTROL!$C$42, 23.418, 23.418) * CHOOSE(CONTROL!$C$21, $C$9, 100%, $E$9)</f>
        <v>23.417999999999999</v>
      </c>
      <c r="Q463" s="17">
        <f>CHOOSE(CONTROL!$C$42, 24.1894, 24.1894) * CHOOSE(CONTROL!$C$21, $C$9, 100%, $E$9)</f>
        <v>24.189399999999999</v>
      </c>
      <c r="R463" s="17">
        <f>CHOOSE(CONTROL!$C$42, 24.8369, 24.8369) * CHOOSE(CONTROL!$C$21, $C$9, 100%, $E$9)</f>
        <v>24.8369</v>
      </c>
      <c r="S463" s="17">
        <f>CHOOSE(CONTROL!$C$42, 22.8053, 22.8053) * CHOOSE(CONTROL!$C$21, $C$9, 100%, $E$9)</f>
        <v>22.805299999999999</v>
      </c>
      <c r="T46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63" s="56">
        <f>(1000*CHOOSE(CONTROL!$C$42, 695, 695)*CHOOSE(CONTROL!$C$42, 0.5599, 0.5599)*CHOOSE(CONTROL!$C$42, 31, 31))/1000000</f>
        <v>12.063045499999998</v>
      </c>
      <c r="V463" s="56">
        <f>(1000*CHOOSE(CONTROL!$C$42, 500, 500)*CHOOSE(CONTROL!$C$42, 0.275, 0.275)*CHOOSE(CONTROL!$C$42, 31, 31))/1000000</f>
        <v>4.2625000000000002</v>
      </c>
      <c r="W463" s="56">
        <f>(1000*CHOOSE(CONTROL!$C$42, 0.0916, 0.0916)*CHOOSE(CONTROL!$C$42, 121.5, 121.5)*CHOOSE(CONTROL!$C$42, 31, 31))/1000000</f>
        <v>0.34501139999999997</v>
      </c>
      <c r="X463" s="56">
        <f>(31*0.1790888*145000/1000000)+(31*0.2374*100000/1000000)</f>
        <v>1.5409441560000001</v>
      </c>
      <c r="Y463" s="56"/>
      <c r="Z463" s="17"/>
      <c r="AA463" s="55"/>
      <c r="AB463" s="48">
        <f>(B463*194.205+C463*267.466+D463*133.845+E463*153.484+F463*40+G463*85+H463*0+I463*100+J463*300)/(194.205+267.466+133.845+153.484+0+40+85+100+300)</f>
        <v>23.602703181240191</v>
      </c>
      <c r="AC463" s="45">
        <f>(M463*'RAP TEMPLATE-GAS AVAILABILITY'!O462+N463*'RAP TEMPLATE-GAS AVAILABILITY'!P462+O463*'RAP TEMPLATE-GAS AVAILABILITY'!Q462+P463*'RAP TEMPLATE-GAS AVAILABILITY'!R462)/('RAP TEMPLATE-GAS AVAILABILITY'!O462+'RAP TEMPLATE-GAS AVAILABILITY'!P462+'RAP TEMPLATE-GAS AVAILABILITY'!Q462+'RAP TEMPLATE-GAS AVAILABILITY'!R462)</f>
        <v>23.420164748201437</v>
      </c>
    </row>
    <row r="464" spans="1:29" ht="15.75" x14ac:dyDescent="0.25">
      <c r="A464" s="14">
        <v>55031</v>
      </c>
      <c r="B464" s="17">
        <f>CHOOSE(CONTROL!$C$42, 22.3682, 22.3682) * CHOOSE(CONTROL!$C$21, $C$9, 100%, $E$9)</f>
        <v>22.368200000000002</v>
      </c>
      <c r="C464" s="17">
        <f>CHOOSE(CONTROL!$C$42, 22.3762, 22.3762) * CHOOSE(CONTROL!$C$21, $C$9, 100%, $E$9)</f>
        <v>22.376200000000001</v>
      </c>
      <c r="D464" s="17">
        <f>CHOOSE(CONTROL!$C$42, 22.6206, 22.6206) * CHOOSE(CONTROL!$C$21, $C$9, 100%, $E$9)</f>
        <v>22.6206</v>
      </c>
      <c r="E464" s="17">
        <f>CHOOSE(CONTROL!$C$42, 22.6518, 22.6518) * CHOOSE(CONTROL!$C$21, $C$9, 100%, $E$9)</f>
        <v>22.651800000000001</v>
      </c>
      <c r="F464" s="17">
        <f>CHOOSE(CONTROL!$C$42, 22.3797, 22.3797)*CHOOSE(CONTROL!$C$21, $C$9, 100%, $E$9)</f>
        <v>22.3797</v>
      </c>
      <c r="G464" s="17">
        <f>CHOOSE(CONTROL!$C$42, 22.3962, 22.3962)*CHOOSE(CONTROL!$C$21, $C$9, 100%, $E$9)</f>
        <v>22.3962</v>
      </c>
      <c r="H464" s="17">
        <f>CHOOSE(CONTROL!$C$42, 22.6401, 22.6401) * CHOOSE(CONTROL!$C$21, $C$9, 100%, $E$9)</f>
        <v>22.6401</v>
      </c>
      <c r="I464" s="17">
        <f>CHOOSE(CONTROL!$C$42, 22.4588, 22.4588)* CHOOSE(CONTROL!$C$21, $C$9, 100%, $E$9)</f>
        <v>22.4588</v>
      </c>
      <c r="J464" s="17">
        <f>CHOOSE(CONTROL!$C$42, 22.3723, 22.3723)* CHOOSE(CONTROL!$C$21, $C$9, 100%, $E$9)</f>
        <v>22.372299999999999</v>
      </c>
      <c r="K464" s="52">
        <f>CHOOSE(CONTROL!$C$42, 22.4528, 22.4528) * CHOOSE(CONTROL!$C$21, $C$9, 100%, $E$9)</f>
        <v>22.4528</v>
      </c>
      <c r="L464" s="17">
        <f>CHOOSE(CONTROL!$C$42, 23.2271, 23.2271) * CHOOSE(CONTROL!$C$21, $C$9, 100%, $E$9)</f>
        <v>23.2271</v>
      </c>
      <c r="M464" s="17">
        <f>CHOOSE(CONTROL!$C$42, 22.1781, 22.1781) * CHOOSE(CONTROL!$C$21, $C$9, 100%, $E$9)</f>
        <v>22.178100000000001</v>
      </c>
      <c r="N464" s="17">
        <f>CHOOSE(CONTROL!$C$42, 22.1945, 22.1945) * CHOOSE(CONTROL!$C$21, $C$9, 100%, $E$9)</f>
        <v>22.194500000000001</v>
      </c>
      <c r="O464" s="17">
        <f>CHOOSE(CONTROL!$C$42, 22.4435, 22.4435) * CHOOSE(CONTROL!$C$21, $C$9, 100%, $E$9)</f>
        <v>22.4435</v>
      </c>
      <c r="P464" s="17">
        <f>CHOOSE(CONTROL!$C$42, 22.2633, 22.2633) * CHOOSE(CONTROL!$C$21, $C$9, 100%, $E$9)</f>
        <v>22.263300000000001</v>
      </c>
      <c r="Q464" s="17">
        <f>CHOOSE(CONTROL!$C$42, 23.0382, 23.0382) * CHOOSE(CONTROL!$C$21, $C$9, 100%, $E$9)</f>
        <v>23.0382</v>
      </c>
      <c r="R464" s="17">
        <f>CHOOSE(CONTROL!$C$42, 23.6828, 23.6828) * CHOOSE(CONTROL!$C$21, $C$9, 100%, $E$9)</f>
        <v>23.6828</v>
      </c>
      <c r="S464" s="17">
        <f>CHOOSE(CONTROL!$C$42, 21.6788, 21.6788) * CHOOSE(CONTROL!$C$21, $C$9, 100%, $E$9)</f>
        <v>21.678799999999999</v>
      </c>
      <c r="T46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64" s="56">
        <f>(1000*CHOOSE(CONTROL!$C$42, 695, 695)*CHOOSE(CONTROL!$C$42, 0.5599, 0.5599)*CHOOSE(CONTROL!$C$42, 31, 31))/1000000</f>
        <v>12.063045499999998</v>
      </c>
      <c r="V464" s="56">
        <f>(1000*CHOOSE(CONTROL!$C$42, 500, 500)*CHOOSE(CONTROL!$C$42, 0.275, 0.275)*CHOOSE(CONTROL!$C$42, 31, 31))/1000000</f>
        <v>4.2625000000000002</v>
      </c>
      <c r="W464" s="56">
        <f>(1000*CHOOSE(CONTROL!$C$42, 0.0916, 0.0916)*CHOOSE(CONTROL!$C$42, 121.5, 121.5)*CHOOSE(CONTROL!$C$42, 31, 31))/1000000</f>
        <v>0.34501139999999997</v>
      </c>
      <c r="X464" s="56">
        <f>(31*0.1790888*145000/1000000)+(31*0.2374*100000/1000000)</f>
        <v>1.5409441560000001</v>
      </c>
      <c r="Y464" s="56"/>
      <c r="Z464" s="17"/>
      <c r="AA464" s="55"/>
      <c r="AB464" s="48">
        <f>(B464*194.205+C464*267.466+D464*133.845+E464*153.484+F464*40+G464*85+H464*0+I464*100+J464*300)/(194.205+267.466+133.845+153.484+0+40+85+100+300)</f>
        <v>22.440868970486655</v>
      </c>
      <c r="AC464" s="45">
        <f>(M464*'RAP TEMPLATE-GAS AVAILABILITY'!O463+N464*'RAP TEMPLATE-GAS AVAILABILITY'!P463+O464*'RAP TEMPLATE-GAS AVAILABILITY'!Q463+P464*'RAP TEMPLATE-GAS AVAILABILITY'!R463)/('RAP TEMPLATE-GAS AVAILABILITY'!O463+'RAP TEMPLATE-GAS AVAILABILITY'!P463+'RAP TEMPLATE-GAS AVAILABILITY'!Q463+'RAP TEMPLATE-GAS AVAILABILITY'!R463)</f>
        <v>22.268599280575543</v>
      </c>
    </row>
    <row r="465" spans="1:29" ht="15.75" x14ac:dyDescent="0.25">
      <c r="A465" s="14">
        <v>55061</v>
      </c>
      <c r="B465" s="17">
        <f>CHOOSE(CONTROL!$C$42, 20.9487, 20.9487) * CHOOSE(CONTROL!$C$21, $C$9, 100%, $E$9)</f>
        <v>20.948699999999999</v>
      </c>
      <c r="C465" s="17">
        <f>CHOOSE(CONTROL!$C$42, 20.9566, 20.9566) * CHOOSE(CONTROL!$C$21, $C$9, 100%, $E$9)</f>
        <v>20.956600000000002</v>
      </c>
      <c r="D465" s="17">
        <f>CHOOSE(CONTROL!$C$42, 21.2011, 21.2011) * CHOOSE(CONTROL!$C$21, $C$9, 100%, $E$9)</f>
        <v>21.2011</v>
      </c>
      <c r="E465" s="17">
        <f>CHOOSE(CONTROL!$C$42, 21.2323, 21.2323) * CHOOSE(CONTROL!$C$21, $C$9, 100%, $E$9)</f>
        <v>21.232299999999999</v>
      </c>
      <c r="F465" s="17">
        <f>CHOOSE(CONTROL!$C$42, 20.9603, 20.9603)*CHOOSE(CONTROL!$C$21, $C$9, 100%, $E$9)</f>
        <v>20.9603</v>
      </c>
      <c r="G465" s="17">
        <f>CHOOSE(CONTROL!$C$42, 20.9768, 20.9768)*CHOOSE(CONTROL!$C$21, $C$9, 100%, $E$9)</f>
        <v>20.976800000000001</v>
      </c>
      <c r="H465" s="17">
        <f>CHOOSE(CONTROL!$C$42, 21.2206, 21.2206) * CHOOSE(CONTROL!$C$21, $C$9, 100%, $E$9)</f>
        <v>21.220600000000001</v>
      </c>
      <c r="I465" s="17">
        <f>CHOOSE(CONTROL!$C$42, 21.0349, 21.0349)* CHOOSE(CONTROL!$C$21, $C$9, 100%, $E$9)</f>
        <v>21.0349</v>
      </c>
      <c r="J465" s="17">
        <f>CHOOSE(CONTROL!$C$42, 20.9529, 20.9529)* CHOOSE(CONTROL!$C$21, $C$9, 100%, $E$9)</f>
        <v>20.9529</v>
      </c>
      <c r="K465" s="52">
        <f>CHOOSE(CONTROL!$C$42, 21.0289, 21.0289) * CHOOSE(CONTROL!$C$21, $C$9, 100%, $E$9)</f>
        <v>21.0289</v>
      </c>
      <c r="L465" s="17">
        <f>CHOOSE(CONTROL!$C$42, 21.8076, 21.8076) * CHOOSE(CONTROL!$C$21, $C$9, 100%, $E$9)</f>
        <v>21.807600000000001</v>
      </c>
      <c r="M465" s="17">
        <f>CHOOSE(CONTROL!$C$42, 20.7714, 20.7714) * CHOOSE(CONTROL!$C$21, $C$9, 100%, $E$9)</f>
        <v>20.7714</v>
      </c>
      <c r="N465" s="17">
        <f>CHOOSE(CONTROL!$C$42, 20.7878, 20.7878) * CHOOSE(CONTROL!$C$21, $C$9, 100%, $E$9)</f>
        <v>20.787800000000001</v>
      </c>
      <c r="O465" s="17">
        <f>CHOOSE(CONTROL!$C$42, 21.0368, 21.0368) * CHOOSE(CONTROL!$C$21, $C$9, 100%, $E$9)</f>
        <v>21.036799999999999</v>
      </c>
      <c r="P465" s="17">
        <f>CHOOSE(CONTROL!$C$42, 20.8522, 20.8522) * CHOOSE(CONTROL!$C$21, $C$9, 100%, $E$9)</f>
        <v>20.8522</v>
      </c>
      <c r="Q465" s="17">
        <f>CHOOSE(CONTROL!$C$42, 21.6315, 21.6315) * CHOOSE(CONTROL!$C$21, $C$9, 100%, $E$9)</f>
        <v>21.631499999999999</v>
      </c>
      <c r="R465" s="17">
        <f>CHOOSE(CONTROL!$C$42, 22.2725, 22.2725) * CHOOSE(CONTROL!$C$21, $C$9, 100%, $E$9)</f>
        <v>22.272500000000001</v>
      </c>
      <c r="S465" s="17">
        <f>CHOOSE(CONTROL!$C$42, 20.3023, 20.3023) * CHOOSE(CONTROL!$C$21, $C$9, 100%, $E$9)</f>
        <v>20.302299999999999</v>
      </c>
      <c r="T46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65" s="56">
        <f>(1000*CHOOSE(CONTROL!$C$42, 695, 695)*CHOOSE(CONTROL!$C$42, 0.5599, 0.5599)*CHOOSE(CONTROL!$C$42, 30, 30))/1000000</f>
        <v>11.673914999999997</v>
      </c>
      <c r="V465" s="56">
        <f>(1000*CHOOSE(CONTROL!$C$42, 500, 500)*CHOOSE(CONTROL!$C$42, 0.275, 0.275)*CHOOSE(CONTROL!$C$42, 30, 30))/1000000</f>
        <v>4.125</v>
      </c>
      <c r="W465" s="56">
        <f>(1000*CHOOSE(CONTROL!$C$42, 0.0916, 0.0916)*CHOOSE(CONTROL!$C$42, 121.5, 121.5)*CHOOSE(CONTROL!$C$42, 30, 30))/1000000</f>
        <v>0.33388200000000001</v>
      </c>
      <c r="X465" s="56">
        <f>(30*0.1790888*145000/1000000)+(30*0.2374*100000/1000000)</f>
        <v>1.4912362799999999</v>
      </c>
      <c r="Y465" s="56"/>
      <c r="Z465" s="17"/>
      <c r="AA465" s="55"/>
      <c r="AB465" s="48">
        <f>(B465*194.205+C465*267.466+D465*133.845+E465*153.484+F465*40+G465*85+H465*0+I465*100+J465*300)/(194.205+267.466+133.845+153.484+0+40+85+100+300)</f>
        <v>21.021035966875981</v>
      </c>
      <c r="AC465" s="45">
        <f>(M465*'RAP TEMPLATE-GAS AVAILABILITY'!O464+N465*'RAP TEMPLATE-GAS AVAILABILITY'!P464+O465*'RAP TEMPLATE-GAS AVAILABILITY'!Q464+P465*'RAP TEMPLATE-GAS AVAILABILITY'!R464)/('RAP TEMPLATE-GAS AVAILABILITY'!O464+'RAP TEMPLATE-GAS AVAILABILITY'!P464+'RAP TEMPLATE-GAS AVAILABILITY'!Q464+'RAP TEMPLATE-GAS AVAILABILITY'!R464)</f>
        <v>20.861266187050358</v>
      </c>
    </row>
    <row r="466" spans="1:29" ht="15.75" x14ac:dyDescent="0.25">
      <c r="A466" s="14">
        <v>55092</v>
      </c>
      <c r="B466" s="17">
        <f>CHOOSE(CONTROL!$C$42, 20.5218, 20.5218) * CHOOSE(CONTROL!$C$21, $C$9, 100%, $E$9)</f>
        <v>20.521799999999999</v>
      </c>
      <c r="C466" s="17">
        <f>CHOOSE(CONTROL!$C$42, 20.5272, 20.5272) * CHOOSE(CONTROL!$C$21, $C$9, 100%, $E$9)</f>
        <v>20.527200000000001</v>
      </c>
      <c r="D466" s="17">
        <f>CHOOSE(CONTROL!$C$42, 20.7765, 20.7765) * CHOOSE(CONTROL!$C$21, $C$9, 100%, $E$9)</f>
        <v>20.776499999999999</v>
      </c>
      <c r="E466" s="17">
        <f>CHOOSE(CONTROL!$C$42, 20.8054, 20.8054) * CHOOSE(CONTROL!$C$21, $C$9, 100%, $E$9)</f>
        <v>20.805399999999999</v>
      </c>
      <c r="F466" s="17">
        <f>CHOOSE(CONTROL!$C$42, 20.5356, 20.5356)*CHOOSE(CONTROL!$C$21, $C$9, 100%, $E$9)</f>
        <v>20.535599999999999</v>
      </c>
      <c r="G466" s="17">
        <f>CHOOSE(CONTROL!$C$42, 20.5521, 20.5521)*CHOOSE(CONTROL!$C$21, $C$9, 100%, $E$9)</f>
        <v>20.552099999999999</v>
      </c>
      <c r="H466" s="17">
        <f>CHOOSE(CONTROL!$C$42, 20.7955, 20.7955) * CHOOSE(CONTROL!$C$21, $C$9, 100%, $E$9)</f>
        <v>20.795500000000001</v>
      </c>
      <c r="I466" s="17">
        <f>CHOOSE(CONTROL!$C$42, 20.6085, 20.6085)* CHOOSE(CONTROL!$C$21, $C$9, 100%, $E$9)</f>
        <v>20.608499999999999</v>
      </c>
      <c r="J466" s="17">
        <f>CHOOSE(CONTROL!$C$42, 20.5282, 20.5282)* CHOOSE(CONTROL!$C$21, $C$9, 100%, $E$9)</f>
        <v>20.528199999999998</v>
      </c>
      <c r="K466" s="52">
        <f>CHOOSE(CONTROL!$C$42, 20.6025, 20.6025) * CHOOSE(CONTROL!$C$21, $C$9, 100%, $E$9)</f>
        <v>20.602499999999999</v>
      </c>
      <c r="L466" s="17">
        <f>CHOOSE(CONTROL!$C$42, 21.3825, 21.3825) * CHOOSE(CONTROL!$C$21, $C$9, 100%, $E$9)</f>
        <v>21.3825</v>
      </c>
      <c r="M466" s="17">
        <f>CHOOSE(CONTROL!$C$42, 20.3506, 20.3506) * CHOOSE(CONTROL!$C$21, $C$9, 100%, $E$9)</f>
        <v>20.3506</v>
      </c>
      <c r="N466" s="17">
        <f>CHOOSE(CONTROL!$C$42, 20.3669, 20.3669) * CHOOSE(CONTROL!$C$21, $C$9, 100%, $E$9)</f>
        <v>20.366900000000001</v>
      </c>
      <c r="O466" s="17">
        <f>CHOOSE(CONTROL!$C$42, 20.6155, 20.6155) * CHOOSE(CONTROL!$C$21, $C$9, 100%, $E$9)</f>
        <v>20.615500000000001</v>
      </c>
      <c r="P466" s="17">
        <f>CHOOSE(CONTROL!$C$42, 20.4297, 20.4297) * CHOOSE(CONTROL!$C$21, $C$9, 100%, $E$9)</f>
        <v>20.4297</v>
      </c>
      <c r="Q466" s="17">
        <f>CHOOSE(CONTROL!$C$42, 21.2102, 21.2102) * CHOOSE(CONTROL!$C$21, $C$9, 100%, $E$9)</f>
        <v>21.2102</v>
      </c>
      <c r="R466" s="17">
        <f>CHOOSE(CONTROL!$C$42, 21.8502, 21.8502) * CHOOSE(CONTROL!$C$21, $C$9, 100%, $E$9)</f>
        <v>21.850200000000001</v>
      </c>
      <c r="S466" s="17">
        <f>CHOOSE(CONTROL!$C$42, 19.8901, 19.8901) * CHOOSE(CONTROL!$C$21, $C$9, 100%, $E$9)</f>
        <v>19.8901</v>
      </c>
      <c r="T46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66" s="56">
        <f>(1000*CHOOSE(CONTROL!$C$42, 695, 695)*CHOOSE(CONTROL!$C$42, 0.5599, 0.5599)*CHOOSE(CONTROL!$C$42, 31, 31))/1000000</f>
        <v>12.063045499999998</v>
      </c>
      <c r="V466" s="56">
        <f>(1000*CHOOSE(CONTROL!$C$42, 500, 500)*CHOOSE(CONTROL!$C$42, 0.275, 0.275)*CHOOSE(CONTROL!$C$42, 31, 31))/1000000</f>
        <v>4.2625000000000002</v>
      </c>
      <c r="W466" s="56">
        <f>(1000*CHOOSE(CONTROL!$C$42, 0.0916, 0.0916)*CHOOSE(CONTROL!$C$42, 121.5, 121.5)*CHOOSE(CONTROL!$C$42, 31, 31))/1000000</f>
        <v>0.34501139999999997</v>
      </c>
      <c r="X466" s="56">
        <f>(31*0.1790888*145000/1000000)+(31*0.2374*100000/1000000)</f>
        <v>1.5409441560000001</v>
      </c>
      <c r="Y466" s="56"/>
      <c r="Z466" s="17"/>
      <c r="AA466" s="55"/>
      <c r="AB466" s="48">
        <f>(B466*131.881+C466*277.167+D466*79.08+E466*225.872+F466*40+G466*85+H466*0+I466*100+J466*300)/(131.881+277.167+79.08+225.872+0+40+85+100+300)</f>
        <v>20.602036623890232</v>
      </c>
      <c r="AC466" s="45">
        <f>(M466*'RAP TEMPLATE-GAS AVAILABILITY'!O465+N466*'RAP TEMPLATE-GAS AVAILABILITY'!P465+O466*'RAP TEMPLATE-GAS AVAILABILITY'!Q465+P466*'RAP TEMPLATE-GAS AVAILABILITY'!R465)/('RAP TEMPLATE-GAS AVAILABILITY'!O465+'RAP TEMPLATE-GAS AVAILABILITY'!P465+'RAP TEMPLATE-GAS AVAILABILITY'!Q465+'RAP TEMPLATE-GAS AVAILABILITY'!R465)</f>
        <v>20.440058273381297</v>
      </c>
    </row>
    <row r="467" spans="1:29" ht="15.75" x14ac:dyDescent="0.25">
      <c r="A467" s="14">
        <v>55122</v>
      </c>
      <c r="B467" s="17">
        <f>CHOOSE(CONTROL!$C$42, 21.0618, 21.0618) * CHOOSE(CONTROL!$C$21, $C$9, 100%, $E$9)</f>
        <v>21.061800000000002</v>
      </c>
      <c r="C467" s="17">
        <f>CHOOSE(CONTROL!$C$42, 21.0669, 21.0669) * CHOOSE(CONTROL!$C$21, $C$9, 100%, $E$9)</f>
        <v>21.0669</v>
      </c>
      <c r="D467" s="17">
        <f>CHOOSE(CONTROL!$C$42, 21.1482, 21.1482) * CHOOSE(CONTROL!$C$21, $C$9, 100%, $E$9)</f>
        <v>21.148199999999999</v>
      </c>
      <c r="E467" s="17">
        <f>CHOOSE(CONTROL!$C$42, 21.182, 21.182) * CHOOSE(CONTROL!$C$21, $C$9, 100%, $E$9)</f>
        <v>21.181999999999999</v>
      </c>
      <c r="F467" s="17">
        <f>CHOOSE(CONTROL!$C$42, 21.0797, 21.0797)*CHOOSE(CONTROL!$C$21, $C$9, 100%, $E$9)</f>
        <v>21.079699999999999</v>
      </c>
      <c r="G467" s="17">
        <f>CHOOSE(CONTROL!$C$42, 21.0965, 21.0965)*CHOOSE(CONTROL!$C$21, $C$9, 100%, $E$9)</f>
        <v>21.096499999999999</v>
      </c>
      <c r="H467" s="17">
        <f>CHOOSE(CONTROL!$C$42, 21.1709, 21.1709) * CHOOSE(CONTROL!$C$21, $C$9, 100%, $E$9)</f>
        <v>21.1709</v>
      </c>
      <c r="I467" s="17">
        <f>CHOOSE(CONTROL!$C$42, 21.1521, 21.1521)* CHOOSE(CONTROL!$C$21, $C$9, 100%, $E$9)</f>
        <v>21.152100000000001</v>
      </c>
      <c r="J467" s="17">
        <f>CHOOSE(CONTROL!$C$42, 21.0723, 21.0723)* CHOOSE(CONTROL!$C$21, $C$9, 100%, $E$9)</f>
        <v>21.072299999999998</v>
      </c>
      <c r="K467" s="52">
        <f>CHOOSE(CONTROL!$C$42, 21.1461, 21.1461) * CHOOSE(CONTROL!$C$21, $C$9, 100%, $E$9)</f>
        <v>21.146100000000001</v>
      </c>
      <c r="L467" s="17">
        <f>CHOOSE(CONTROL!$C$42, 21.7579, 21.7579) * CHOOSE(CONTROL!$C$21, $C$9, 100%, $E$9)</f>
        <v>21.757899999999999</v>
      </c>
      <c r="M467" s="17">
        <f>CHOOSE(CONTROL!$C$42, 20.8898, 20.8898) * CHOOSE(CONTROL!$C$21, $C$9, 100%, $E$9)</f>
        <v>20.889800000000001</v>
      </c>
      <c r="N467" s="17">
        <f>CHOOSE(CONTROL!$C$42, 20.9064, 20.9064) * CHOOSE(CONTROL!$C$21, $C$9, 100%, $E$9)</f>
        <v>20.906400000000001</v>
      </c>
      <c r="O467" s="17">
        <f>CHOOSE(CONTROL!$C$42, 20.9875, 20.9875) * CHOOSE(CONTROL!$C$21, $C$9, 100%, $E$9)</f>
        <v>20.987500000000001</v>
      </c>
      <c r="P467" s="17">
        <f>CHOOSE(CONTROL!$C$42, 20.9683, 20.9683) * CHOOSE(CONTROL!$C$21, $C$9, 100%, $E$9)</f>
        <v>20.968299999999999</v>
      </c>
      <c r="Q467" s="17">
        <f>CHOOSE(CONTROL!$C$42, 21.5822, 21.5822) * CHOOSE(CONTROL!$C$21, $C$9, 100%, $E$9)</f>
        <v>21.5822</v>
      </c>
      <c r="R467" s="17">
        <f>CHOOSE(CONTROL!$C$42, 22.2231, 22.2231) * CHOOSE(CONTROL!$C$21, $C$9, 100%, $E$9)</f>
        <v>22.223099999999999</v>
      </c>
      <c r="S467" s="17">
        <f>CHOOSE(CONTROL!$C$42, 20.4141, 20.4141) * CHOOSE(CONTROL!$C$21, $C$9, 100%, $E$9)</f>
        <v>20.414100000000001</v>
      </c>
      <c r="T46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67" s="56">
        <f>(1000*CHOOSE(CONTROL!$C$42, 695, 695)*CHOOSE(CONTROL!$C$42, 0.5599, 0.5599)*CHOOSE(CONTROL!$C$42, 30, 30))/1000000</f>
        <v>11.673914999999997</v>
      </c>
      <c r="V467" s="56">
        <f>(1000*CHOOSE(CONTROL!$C$42, 500, 500)*CHOOSE(CONTROL!$C$42, 0.275, 0.275)*CHOOSE(CONTROL!$C$42, 30, 30))/1000000</f>
        <v>4.125</v>
      </c>
      <c r="W467" s="56">
        <f>(1000*CHOOSE(CONTROL!$C$42, 0.0916, 0.0916)*CHOOSE(CONTROL!$C$42, 121.5, 121.5)*CHOOSE(CONTROL!$C$42, 30, 30))/1000000</f>
        <v>0.33388200000000001</v>
      </c>
      <c r="X467" s="56">
        <f>(30*0.2374*100000/1000000)</f>
        <v>0.71220000000000006</v>
      </c>
      <c r="Y467" s="56"/>
      <c r="Z467" s="17"/>
      <c r="AA467" s="55"/>
      <c r="AB467" s="48">
        <f>(B467*122.58+C467*297.941+D467*89.177+E467*140.302+F467*40+G467*60+H467*0+I467*100+J467*300)/(122.58+297.941+89.177+140.302+0+40+60+100+300)</f>
        <v>21.097510167217386</v>
      </c>
      <c r="AC467" s="45">
        <f>(M467*'RAP TEMPLATE-GAS AVAILABILITY'!O466+N467*'RAP TEMPLATE-GAS AVAILABILITY'!P466+O467*'RAP TEMPLATE-GAS AVAILABILITY'!Q466+P467*'RAP TEMPLATE-GAS AVAILABILITY'!R466)/('RAP TEMPLATE-GAS AVAILABILITY'!O466+'RAP TEMPLATE-GAS AVAILABILITY'!P466+'RAP TEMPLATE-GAS AVAILABILITY'!Q466+'RAP TEMPLATE-GAS AVAILABILITY'!R466)</f>
        <v>20.946331654676261</v>
      </c>
    </row>
    <row r="468" spans="1:29" ht="15.75" x14ac:dyDescent="0.25">
      <c r="A468" s="14">
        <v>55153</v>
      </c>
      <c r="B468" s="17">
        <f>CHOOSE(CONTROL!$C$42, 22.4971, 22.4971) * CHOOSE(CONTROL!$C$21, $C$9, 100%, $E$9)</f>
        <v>22.4971</v>
      </c>
      <c r="C468" s="17">
        <f>CHOOSE(CONTROL!$C$42, 22.5021, 22.5021) * CHOOSE(CONTROL!$C$21, $C$9, 100%, $E$9)</f>
        <v>22.502099999999999</v>
      </c>
      <c r="D468" s="17">
        <f>CHOOSE(CONTROL!$C$42, 22.5835, 22.5835) * CHOOSE(CONTROL!$C$21, $C$9, 100%, $E$9)</f>
        <v>22.583500000000001</v>
      </c>
      <c r="E468" s="17">
        <f>CHOOSE(CONTROL!$C$42, 22.6173, 22.6173) * CHOOSE(CONTROL!$C$21, $C$9, 100%, $E$9)</f>
        <v>22.6173</v>
      </c>
      <c r="F468" s="17">
        <f>CHOOSE(CONTROL!$C$42, 22.5174, 22.5174)*CHOOSE(CONTROL!$C$21, $C$9, 100%, $E$9)</f>
        <v>22.517399999999999</v>
      </c>
      <c r="G468" s="17">
        <f>CHOOSE(CONTROL!$C$42, 22.5347, 22.5347)*CHOOSE(CONTROL!$C$21, $C$9, 100%, $E$9)</f>
        <v>22.534700000000001</v>
      </c>
      <c r="H468" s="17">
        <f>CHOOSE(CONTROL!$C$42, 22.6061, 22.6061) * CHOOSE(CONTROL!$C$21, $C$9, 100%, $E$9)</f>
        <v>22.606100000000001</v>
      </c>
      <c r="I468" s="17">
        <f>CHOOSE(CONTROL!$C$42, 22.5918, 22.5918)* CHOOSE(CONTROL!$C$21, $C$9, 100%, $E$9)</f>
        <v>22.591799999999999</v>
      </c>
      <c r="J468" s="17">
        <f>CHOOSE(CONTROL!$C$42, 22.51, 22.51)* CHOOSE(CONTROL!$C$21, $C$9, 100%, $E$9)</f>
        <v>22.51</v>
      </c>
      <c r="K468" s="52">
        <f>CHOOSE(CONTROL!$C$42, 22.5858, 22.5858) * CHOOSE(CONTROL!$C$21, $C$9, 100%, $E$9)</f>
        <v>22.585799999999999</v>
      </c>
      <c r="L468" s="17">
        <f>CHOOSE(CONTROL!$C$42, 23.1931, 23.1931) * CHOOSE(CONTROL!$C$21, $C$9, 100%, $E$9)</f>
        <v>23.193100000000001</v>
      </c>
      <c r="M468" s="17">
        <f>CHOOSE(CONTROL!$C$42, 22.3145, 22.3145) * CHOOSE(CONTROL!$C$21, $C$9, 100%, $E$9)</f>
        <v>22.314499999999999</v>
      </c>
      <c r="N468" s="17">
        <f>CHOOSE(CONTROL!$C$42, 22.3317, 22.3317) * CHOOSE(CONTROL!$C$21, $C$9, 100%, $E$9)</f>
        <v>22.331700000000001</v>
      </c>
      <c r="O468" s="17">
        <f>CHOOSE(CONTROL!$C$42, 22.4098, 22.4098) * CHOOSE(CONTROL!$C$21, $C$9, 100%, $E$9)</f>
        <v>22.409800000000001</v>
      </c>
      <c r="P468" s="17">
        <f>CHOOSE(CONTROL!$C$42, 22.3951, 22.3951) * CHOOSE(CONTROL!$C$21, $C$9, 100%, $E$9)</f>
        <v>22.395099999999999</v>
      </c>
      <c r="Q468" s="17">
        <f>CHOOSE(CONTROL!$C$42, 23.0045, 23.0045) * CHOOSE(CONTROL!$C$21, $C$9, 100%, $E$9)</f>
        <v>23.0045</v>
      </c>
      <c r="R468" s="17">
        <f>CHOOSE(CONTROL!$C$42, 23.6491, 23.6491) * CHOOSE(CONTROL!$C$21, $C$9, 100%, $E$9)</f>
        <v>23.649100000000001</v>
      </c>
      <c r="S468" s="17">
        <f>CHOOSE(CONTROL!$C$42, 21.8059, 21.8059) * CHOOSE(CONTROL!$C$21, $C$9, 100%, $E$9)</f>
        <v>21.805900000000001</v>
      </c>
      <c r="T46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68" s="56">
        <f>(1000*CHOOSE(CONTROL!$C$42, 695, 695)*CHOOSE(CONTROL!$C$42, 0.5599, 0.5599)*CHOOSE(CONTROL!$C$42, 31, 31))/1000000</f>
        <v>12.063045499999998</v>
      </c>
      <c r="V468" s="56">
        <f>(1000*CHOOSE(CONTROL!$C$42, 500, 500)*CHOOSE(CONTROL!$C$42, 0.275, 0.275)*CHOOSE(CONTROL!$C$42, 31, 31))/1000000</f>
        <v>4.2625000000000002</v>
      </c>
      <c r="W468" s="56">
        <f>(1000*CHOOSE(CONTROL!$C$42, 0.0916, 0.0916)*CHOOSE(CONTROL!$C$42, 121.5, 121.5)*CHOOSE(CONTROL!$C$42, 31, 31))/1000000</f>
        <v>0.34501139999999997</v>
      </c>
      <c r="X468" s="56">
        <f>(31*0.2374*100000/1000000)</f>
        <v>0.73594000000000004</v>
      </c>
      <c r="Y468" s="56"/>
      <c r="Z468" s="17"/>
      <c r="AA468" s="55"/>
      <c r="AB468" s="48">
        <f>(B468*122.58+C468*297.941+D468*89.177+E468*140.302+F468*40+G468*60+H468*0+I468*100+J468*300)/(122.58+297.941+89.177+140.302+0+40+60+100+300)</f>
        <v>22.534027737565214</v>
      </c>
      <c r="AC468" s="45">
        <f>(M468*'RAP TEMPLATE-GAS AVAILABILITY'!O467+N468*'RAP TEMPLATE-GAS AVAILABILITY'!P467+O468*'RAP TEMPLATE-GAS AVAILABILITY'!Q467+P468*'RAP TEMPLATE-GAS AVAILABILITY'!R467)/('RAP TEMPLATE-GAS AVAILABILITY'!O467+'RAP TEMPLATE-GAS AVAILABILITY'!P467+'RAP TEMPLATE-GAS AVAILABILITY'!Q467+'RAP TEMPLATE-GAS AVAILABILITY'!R467)</f>
        <v>22.370280575539567</v>
      </c>
    </row>
    <row r="469" spans="1:29" ht="15.75" x14ac:dyDescent="0.25">
      <c r="A469" s="14">
        <v>55184</v>
      </c>
      <c r="B469" s="17">
        <f>CHOOSE(CONTROL!$C$42, 24.3612, 24.3612) * CHOOSE(CONTROL!$C$21, $C$9, 100%, $E$9)</f>
        <v>24.3612</v>
      </c>
      <c r="C469" s="17">
        <f>CHOOSE(CONTROL!$C$42, 24.3663, 24.3663) * CHOOSE(CONTROL!$C$21, $C$9, 100%, $E$9)</f>
        <v>24.366299999999999</v>
      </c>
      <c r="D469" s="17">
        <f>CHOOSE(CONTROL!$C$42, 24.4631, 24.4631) * CHOOSE(CONTROL!$C$21, $C$9, 100%, $E$9)</f>
        <v>24.463100000000001</v>
      </c>
      <c r="E469" s="17">
        <f>CHOOSE(CONTROL!$C$42, 24.4969, 24.4969) * CHOOSE(CONTROL!$C$21, $C$9, 100%, $E$9)</f>
        <v>24.4969</v>
      </c>
      <c r="F469" s="17">
        <f>CHOOSE(CONTROL!$C$42, 24.3755, 24.3755)*CHOOSE(CONTROL!$C$21, $C$9, 100%, $E$9)</f>
        <v>24.375499999999999</v>
      </c>
      <c r="G469" s="17">
        <f>CHOOSE(CONTROL!$C$42, 24.3919, 24.3919)*CHOOSE(CONTROL!$C$21, $C$9, 100%, $E$9)</f>
        <v>24.3919</v>
      </c>
      <c r="H469" s="17">
        <f>CHOOSE(CONTROL!$C$42, 24.4858, 24.4858) * CHOOSE(CONTROL!$C$21, $C$9, 100%, $E$9)</f>
        <v>24.485800000000001</v>
      </c>
      <c r="I469" s="17">
        <f>CHOOSE(CONTROL!$C$42, 24.4618, 24.4618)* CHOOSE(CONTROL!$C$21, $C$9, 100%, $E$9)</f>
        <v>24.4618</v>
      </c>
      <c r="J469" s="17">
        <f>CHOOSE(CONTROL!$C$42, 24.3681, 24.3681)* CHOOSE(CONTROL!$C$21, $C$9, 100%, $E$9)</f>
        <v>24.368099999999998</v>
      </c>
      <c r="K469" s="52">
        <f>CHOOSE(CONTROL!$C$42, 24.4557, 24.4557) * CHOOSE(CONTROL!$C$21, $C$9, 100%, $E$9)</f>
        <v>24.4557</v>
      </c>
      <c r="L469" s="17">
        <f>CHOOSE(CONTROL!$C$42, 25.0728, 25.0728) * CHOOSE(CONTROL!$C$21, $C$9, 100%, $E$9)</f>
        <v>25.072800000000001</v>
      </c>
      <c r="M469" s="17">
        <f>CHOOSE(CONTROL!$C$42, 24.1559, 24.1559) * CHOOSE(CONTROL!$C$21, $C$9, 100%, $E$9)</f>
        <v>24.155899999999999</v>
      </c>
      <c r="N469" s="17">
        <f>CHOOSE(CONTROL!$C$42, 24.1722, 24.1722) * CHOOSE(CONTROL!$C$21, $C$9, 100%, $E$9)</f>
        <v>24.1722</v>
      </c>
      <c r="O469" s="17">
        <f>CHOOSE(CONTROL!$C$42, 24.2726, 24.2726) * CHOOSE(CONTROL!$C$21, $C$9, 100%, $E$9)</f>
        <v>24.272600000000001</v>
      </c>
      <c r="P469" s="17">
        <f>CHOOSE(CONTROL!$C$42, 24.2481, 24.2481) * CHOOSE(CONTROL!$C$21, $C$9, 100%, $E$9)</f>
        <v>24.248100000000001</v>
      </c>
      <c r="Q469" s="17">
        <f>CHOOSE(CONTROL!$C$42, 24.8673, 24.8673) * CHOOSE(CONTROL!$C$21, $C$9, 100%, $E$9)</f>
        <v>24.8673</v>
      </c>
      <c r="R469" s="17">
        <f>CHOOSE(CONTROL!$C$42, 25.5164, 25.5164) * CHOOSE(CONTROL!$C$21, $C$9, 100%, $E$9)</f>
        <v>25.516400000000001</v>
      </c>
      <c r="S469" s="17">
        <f>CHOOSE(CONTROL!$C$42, 23.6136, 23.6136) * CHOOSE(CONTROL!$C$21, $C$9, 100%, $E$9)</f>
        <v>23.613600000000002</v>
      </c>
      <c r="T46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69" s="56">
        <f>(1000*CHOOSE(CONTROL!$C$42, 695, 695)*CHOOSE(CONTROL!$C$42, 0.5599, 0.5599)*CHOOSE(CONTROL!$C$42, 31, 31))/1000000</f>
        <v>12.063045499999998</v>
      </c>
      <c r="V469" s="56">
        <f>(1000*CHOOSE(CONTROL!$C$42, 500, 500)*CHOOSE(CONTROL!$C$42, 0.275, 0.275)*CHOOSE(CONTROL!$C$42, 31, 31))/1000000</f>
        <v>4.2625000000000002</v>
      </c>
      <c r="W469" s="56">
        <f>(1000*CHOOSE(CONTROL!$C$42, 0.0916, 0.0916)*CHOOSE(CONTROL!$C$42, 121.5, 121.5)*CHOOSE(CONTROL!$C$42, 31, 31))/1000000</f>
        <v>0.34501139999999997</v>
      </c>
      <c r="X469" s="56">
        <f>(31*0.2374*100000/1000000)</f>
        <v>0.73594000000000004</v>
      </c>
      <c r="Y469" s="56"/>
      <c r="Z469" s="17"/>
      <c r="AA469" s="55"/>
      <c r="AB469" s="48">
        <f>(B469*122.58+C469*297.941+D469*89.177+E469*140.302+F469*40+G469*60+H469*0+I469*100+J469*300)/(122.58+297.941+89.177+140.302+0+40+60+100+300)</f>
        <v>24.399625753739127</v>
      </c>
      <c r="AC469" s="45">
        <f>(M469*'RAP TEMPLATE-GAS AVAILABILITY'!O468+N469*'RAP TEMPLATE-GAS AVAILABILITY'!P468+O469*'RAP TEMPLATE-GAS AVAILABILITY'!Q468+P469*'RAP TEMPLATE-GAS AVAILABILITY'!R468)/('RAP TEMPLATE-GAS AVAILABILITY'!O468+'RAP TEMPLATE-GAS AVAILABILITY'!P468+'RAP TEMPLATE-GAS AVAILABILITY'!Q468+'RAP TEMPLATE-GAS AVAILABILITY'!R468)</f>
        <v>24.222997122302157</v>
      </c>
    </row>
    <row r="470" spans="1:29" ht="15.75" x14ac:dyDescent="0.25">
      <c r="A470" s="14">
        <v>55212</v>
      </c>
      <c r="B470" s="17">
        <f>CHOOSE(CONTROL!$C$42, 24.7947, 24.7947) * CHOOSE(CONTROL!$C$21, $C$9, 100%, $E$9)</f>
        <v>24.794699999999999</v>
      </c>
      <c r="C470" s="17">
        <f>CHOOSE(CONTROL!$C$42, 24.7998, 24.7998) * CHOOSE(CONTROL!$C$21, $C$9, 100%, $E$9)</f>
        <v>24.799800000000001</v>
      </c>
      <c r="D470" s="17">
        <f>CHOOSE(CONTROL!$C$42, 24.8966, 24.8966) * CHOOSE(CONTROL!$C$21, $C$9, 100%, $E$9)</f>
        <v>24.896599999999999</v>
      </c>
      <c r="E470" s="17">
        <f>CHOOSE(CONTROL!$C$42, 24.9304, 24.9304) * CHOOSE(CONTROL!$C$21, $C$9, 100%, $E$9)</f>
        <v>24.930399999999999</v>
      </c>
      <c r="F470" s="17">
        <f>CHOOSE(CONTROL!$C$42, 24.8089, 24.8089)*CHOOSE(CONTROL!$C$21, $C$9, 100%, $E$9)</f>
        <v>24.808900000000001</v>
      </c>
      <c r="G470" s="17">
        <f>CHOOSE(CONTROL!$C$42, 24.8254, 24.8254)*CHOOSE(CONTROL!$C$21, $C$9, 100%, $E$9)</f>
        <v>24.825399999999998</v>
      </c>
      <c r="H470" s="17">
        <f>CHOOSE(CONTROL!$C$42, 24.9192, 24.9192) * CHOOSE(CONTROL!$C$21, $C$9, 100%, $E$9)</f>
        <v>24.9192</v>
      </c>
      <c r="I470" s="17">
        <f>CHOOSE(CONTROL!$C$42, 24.8966, 24.8966)* CHOOSE(CONTROL!$C$21, $C$9, 100%, $E$9)</f>
        <v>24.896599999999999</v>
      </c>
      <c r="J470" s="17">
        <f>CHOOSE(CONTROL!$C$42, 24.8015, 24.8015)* CHOOSE(CONTROL!$C$21, $C$9, 100%, $E$9)</f>
        <v>24.801500000000001</v>
      </c>
      <c r="K470" s="52">
        <f>CHOOSE(CONTROL!$C$42, 24.8905, 24.8905) * CHOOSE(CONTROL!$C$21, $C$9, 100%, $E$9)</f>
        <v>24.890499999999999</v>
      </c>
      <c r="L470" s="17">
        <f>CHOOSE(CONTROL!$C$42, 25.5062, 25.5062) * CHOOSE(CONTROL!$C$21, $C$9, 100%, $E$9)</f>
        <v>25.5062</v>
      </c>
      <c r="M470" s="17">
        <f>CHOOSE(CONTROL!$C$42, 24.5855, 24.5855) * CHOOSE(CONTROL!$C$21, $C$9, 100%, $E$9)</f>
        <v>24.5855</v>
      </c>
      <c r="N470" s="17">
        <f>CHOOSE(CONTROL!$C$42, 24.6018, 24.6018) * CHOOSE(CONTROL!$C$21, $C$9, 100%, $E$9)</f>
        <v>24.601800000000001</v>
      </c>
      <c r="O470" s="17">
        <f>CHOOSE(CONTROL!$C$42, 24.7021, 24.7021) * CHOOSE(CONTROL!$C$21, $C$9, 100%, $E$9)</f>
        <v>24.702100000000002</v>
      </c>
      <c r="P470" s="17">
        <f>CHOOSE(CONTROL!$C$42, 24.679, 24.679) * CHOOSE(CONTROL!$C$21, $C$9, 100%, $E$9)</f>
        <v>24.678999999999998</v>
      </c>
      <c r="Q470" s="17">
        <f>CHOOSE(CONTROL!$C$42, 25.2968, 25.2968) * CHOOSE(CONTROL!$C$21, $C$9, 100%, $E$9)</f>
        <v>25.296800000000001</v>
      </c>
      <c r="R470" s="17">
        <f>CHOOSE(CONTROL!$C$42, 25.9471, 25.9471) * CHOOSE(CONTROL!$C$21, $C$9, 100%, $E$9)</f>
        <v>25.947099999999999</v>
      </c>
      <c r="S470" s="17">
        <f>CHOOSE(CONTROL!$C$42, 24.0339, 24.0339) * CHOOSE(CONTROL!$C$21, $C$9, 100%, $E$9)</f>
        <v>24.033899999999999</v>
      </c>
      <c r="T47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70" s="56">
        <f>(1000*CHOOSE(CONTROL!$C$42, 695, 695)*CHOOSE(CONTROL!$C$42, 0.5599, 0.5599)*CHOOSE(CONTROL!$C$42, 28, 28))/1000000</f>
        <v>10.895653999999999</v>
      </c>
      <c r="V470" s="56">
        <f>(1000*CHOOSE(CONTROL!$C$42, 500, 500)*CHOOSE(CONTROL!$C$42, 0.275, 0.275)*CHOOSE(CONTROL!$C$42, 28, 28))/1000000</f>
        <v>3.85</v>
      </c>
      <c r="W470" s="56">
        <f>(1000*CHOOSE(CONTROL!$C$42, 0.0916, 0.0916)*CHOOSE(CONTROL!$C$42, 121.5, 121.5)*CHOOSE(CONTROL!$C$42, 28, 28))/1000000</f>
        <v>0.31162319999999999</v>
      </c>
      <c r="X470" s="56">
        <f>(28*0.2374*100000/1000000)</f>
        <v>0.66471999999999998</v>
      </c>
      <c r="Y470" s="56"/>
      <c r="Z470" s="17"/>
      <c r="AA470" s="55"/>
      <c r="AB470" s="48">
        <f>(B470*122.58+C470*297.941+D470*89.177+E470*140.302+F470*40+G470*60+H470*0+I470*100+J470*300)/(122.58+297.941+89.177+140.302+0+40+60+100+300)</f>
        <v>24.833209232000002</v>
      </c>
      <c r="AC470" s="45">
        <f>(M470*'RAP TEMPLATE-GAS AVAILABILITY'!O469+N470*'RAP TEMPLATE-GAS AVAILABILITY'!P469+O470*'RAP TEMPLATE-GAS AVAILABILITY'!Q469+P470*'RAP TEMPLATE-GAS AVAILABILITY'!R469)/('RAP TEMPLATE-GAS AVAILABILITY'!O469+'RAP TEMPLATE-GAS AVAILABILITY'!P469+'RAP TEMPLATE-GAS AVAILABILITY'!Q469+'RAP TEMPLATE-GAS AVAILABILITY'!R469)</f>
        <v>24.652738848920865</v>
      </c>
    </row>
    <row r="471" spans="1:29" ht="15.75" x14ac:dyDescent="0.25">
      <c r="A471" s="14">
        <v>55243</v>
      </c>
      <c r="B471" s="17">
        <f>CHOOSE(CONTROL!$C$42, 24.0911, 24.0911) * CHOOSE(CONTROL!$C$21, $C$9, 100%, $E$9)</f>
        <v>24.091100000000001</v>
      </c>
      <c r="C471" s="17">
        <f>CHOOSE(CONTROL!$C$42, 24.0961, 24.0961) * CHOOSE(CONTROL!$C$21, $C$9, 100%, $E$9)</f>
        <v>24.0961</v>
      </c>
      <c r="D471" s="17">
        <f>CHOOSE(CONTROL!$C$42, 24.193, 24.193) * CHOOSE(CONTROL!$C$21, $C$9, 100%, $E$9)</f>
        <v>24.193000000000001</v>
      </c>
      <c r="E471" s="17">
        <f>CHOOSE(CONTROL!$C$42, 24.2267, 24.2267) * CHOOSE(CONTROL!$C$21, $C$9, 100%, $E$9)</f>
        <v>24.226700000000001</v>
      </c>
      <c r="F471" s="17">
        <f>CHOOSE(CONTROL!$C$42, 24.1047, 24.1047)*CHOOSE(CONTROL!$C$21, $C$9, 100%, $E$9)</f>
        <v>24.104700000000001</v>
      </c>
      <c r="G471" s="17">
        <f>CHOOSE(CONTROL!$C$42, 24.1209, 24.1209)*CHOOSE(CONTROL!$C$21, $C$9, 100%, $E$9)</f>
        <v>24.120899999999999</v>
      </c>
      <c r="H471" s="17">
        <f>CHOOSE(CONTROL!$C$42, 24.2156, 24.2156) * CHOOSE(CONTROL!$C$21, $C$9, 100%, $E$9)</f>
        <v>24.215599999999998</v>
      </c>
      <c r="I471" s="17">
        <f>CHOOSE(CONTROL!$C$42, 24.1908, 24.1908)* CHOOSE(CONTROL!$C$21, $C$9, 100%, $E$9)</f>
        <v>24.190799999999999</v>
      </c>
      <c r="J471" s="17">
        <f>CHOOSE(CONTROL!$C$42, 24.0973, 24.0973)* CHOOSE(CONTROL!$C$21, $C$9, 100%, $E$9)</f>
        <v>24.097300000000001</v>
      </c>
      <c r="K471" s="52">
        <f>CHOOSE(CONTROL!$C$42, 24.1847, 24.1847) * CHOOSE(CONTROL!$C$21, $C$9, 100%, $E$9)</f>
        <v>24.184699999999999</v>
      </c>
      <c r="L471" s="17">
        <f>CHOOSE(CONTROL!$C$42, 24.8026, 24.8026) * CHOOSE(CONTROL!$C$21, $C$9, 100%, $E$9)</f>
        <v>24.802600000000002</v>
      </c>
      <c r="M471" s="17">
        <f>CHOOSE(CONTROL!$C$42, 23.8875, 23.8875) * CHOOSE(CONTROL!$C$21, $C$9, 100%, $E$9)</f>
        <v>23.887499999999999</v>
      </c>
      <c r="N471" s="17">
        <f>CHOOSE(CONTROL!$C$42, 23.9037, 23.9037) * CHOOSE(CONTROL!$C$21, $C$9, 100%, $E$9)</f>
        <v>23.903700000000001</v>
      </c>
      <c r="O471" s="17">
        <f>CHOOSE(CONTROL!$C$42, 24.0048, 24.0048) * CHOOSE(CONTROL!$C$21, $C$9, 100%, $E$9)</f>
        <v>24.004799999999999</v>
      </c>
      <c r="P471" s="17">
        <f>CHOOSE(CONTROL!$C$42, 23.9796, 23.9796) * CHOOSE(CONTROL!$C$21, $C$9, 100%, $E$9)</f>
        <v>23.979600000000001</v>
      </c>
      <c r="Q471" s="17">
        <f>CHOOSE(CONTROL!$C$42, 24.5995, 24.5995) * CHOOSE(CONTROL!$C$21, $C$9, 100%, $E$9)</f>
        <v>24.599499999999999</v>
      </c>
      <c r="R471" s="17">
        <f>CHOOSE(CONTROL!$C$42, 25.248, 25.248) * CHOOSE(CONTROL!$C$21, $C$9, 100%, $E$9)</f>
        <v>25.248000000000001</v>
      </c>
      <c r="S471" s="17">
        <f>CHOOSE(CONTROL!$C$42, 23.3516, 23.3516) * CHOOSE(CONTROL!$C$21, $C$9, 100%, $E$9)</f>
        <v>23.351600000000001</v>
      </c>
      <c r="T47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71" s="56">
        <f>(1000*CHOOSE(CONTROL!$C$42, 695, 695)*CHOOSE(CONTROL!$C$42, 0.5599, 0.5599)*CHOOSE(CONTROL!$C$42, 31, 31))/1000000</f>
        <v>12.063045499999998</v>
      </c>
      <c r="V471" s="56">
        <f>(1000*CHOOSE(CONTROL!$C$42, 500, 500)*CHOOSE(CONTROL!$C$42, 0.275, 0.275)*CHOOSE(CONTROL!$C$42, 31, 31))/1000000</f>
        <v>4.2625000000000002</v>
      </c>
      <c r="W471" s="56">
        <f>(1000*CHOOSE(CONTROL!$C$42, 0.0916, 0.0916)*CHOOSE(CONTROL!$C$42, 121.5, 121.5)*CHOOSE(CONTROL!$C$42, 31, 31))/1000000</f>
        <v>0.34501139999999997</v>
      </c>
      <c r="X471" s="56">
        <f>(31*0.2374*100000/1000000)</f>
        <v>0.73594000000000004</v>
      </c>
      <c r="Y471" s="56"/>
      <c r="Z471" s="17"/>
      <c r="AA471" s="55"/>
      <c r="AB471" s="48">
        <f>(B471*122.58+C471*297.941+D471*89.177+E471*140.302+F471*40+G471*60+H471*0+I471*100+J471*300)/(122.58+297.941+89.177+140.302+0+40+60+100+300)</f>
        <v>24.129155471739132</v>
      </c>
      <c r="AC471" s="45">
        <f>(M471*'RAP TEMPLATE-GAS AVAILABILITY'!O470+N471*'RAP TEMPLATE-GAS AVAILABILITY'!P470+O471*'RAP TEMPLATE-GAS AVAILABILITY'!Q470+P471*'RAP TEMPLATE-GAS AVAILABILITY'!R470)/('RAP TEMPLATE-GAS AVAILABILITY'!O470+'RAP TEMPLATE-GAS AVAILABILITY'!P470+'RAP TEMPLATE-GAS AVAILABILITY'!Q470+'RAP TEMPLATE-GAS AVAILABILITY'!R470)</f>
        <v>23.954848920863309</v>
      </c>
    </row>
    <row r="472" spans="1:29" ht="15.75" x14ac:dyDescent="0.25">
      <c r="A472" s="14">
        <v>55273</v>
      </c>
      <c r="B472" s="17">
        <f>CHOOSE(CONTROL!$C$42, 24.0199, 24.0199) * CHOOSE(CONTROL!$C$21, $C$9, 100%, $E$9)</f>
        <v>24.0199</v>
      </c>
      <c r="C472" s="17">
        <f>CHOOSE(CONTROL!$C$42, 24.0245, 24.0245) * CHOOSE(CONTROL!$C$21, $C$9, 100%, $E$9)</f>
        <v>24.0245</v>
      </c>
      <c r="D472" s="17">
        <f>CHOOSE(CONTROL!$C$42, 24.272, 24.272) * CHOOSE(CONTROL!$C$21, $C$9, 100%, $E$9)</f>
        <v>24.271999999999998</v>
      </c>
      <c r="E472" s="17">
        <f>CHOOSE(CONTROL!$C$42, 24.3038, 24.3038) * CHOOSE(CONTROL!$C$21, $C$9, 100%, $E$9)</f>
        <v>24.303799999999999</v>
      </c>
      <c r="F472" s="17">
        <f>CHOOSE(CONTROL!$C$42, 24.0316, 24.0316)*CHOOSE(CONTROL!$C$21, $C$9, 100%, $E$9)</f>
        <v>24.031600000000001</v>
      </c>
      <c r="G472" s="17">
        <f>CHOOSE(CONTROL!$C$42, 24.0475, 24.0475)*CHOOSE(CONTROL!$C$21, $C$9, 100%, $E$9)</f>
        <v>24.047499999999999</v>
      </c>
      <c r="H472" s="17">
        <f>CHOOSE(CONTROL!$C$42, 24.2933, 24.2933) * CHOOSE(CONTROL!$C$21, $C$9, 100%, $E$9)</f>
        <v>24.293299999999999</v>
      </c>
      <c r="I472" s="17">
        <f>CHOOSE(CONTROL!$C$42, 24.1171, 24.1171)* CHOOSE(CONTROL!$C$21, $C$9, 100%, $E$9)</f>
        <v>24.117100000000001</v>
      </c>
      <c r="J472" s="17">
        <f>CHOOSE(CONTROL!$C$42, 24.0242, 24.0242)* CHOOSE(CONTROL!$C$21, $C$9, 100%, $E$9)</f>
        <v>24.0242</v>
      </c>
      <c r="K472" s="52">
        <f>CHOOSE(CONTROL!$C$42, 24.1111, 24.1111) * CHOOSE(CONTROL!$C$21, $C$9, 100%, $E$9)</f>
        <v>24.1111</v>
      </c>
      <c r="L472" s="17">
        <f>CHOOSE(CONTROL!$C$42, 24.8803, 24.8803) * CHOOSE(CONTROL!$C$21, $C$9, 100%, $E$9)</f>
        <v>24.880299999999998</v>
      </c>
      <c r="M472" s="17">
        <f>CHOOSE(CONTROL!$C$42, 23.8151, 23.8151) * CHOOSE(CONTROL!$C$21, $C$9, 100%, $E$9)</f>
        <v>23.815100000000001</v>
      </c>
      <c r="N472" s="17">
        <f>CHOOSE(CONTROL!$C$42, 23.8309, 23.8309) * CHOOSE(CONTROL!$C$21, $C$9, 100%, $E$9)</f>
        <v>23.8309</v>
      </c>
      <c r="O472" s="17">
        <f>CHOOSE(CONTROL!$C$42, 24.0818, 24.0818) * CHOOSE(CONTROL!$C$21, $C$9, 100%, $E$9)</f>
        <v>24.081800000000001</v>
      </c>
      <c r="P472" s="17">
        <f>CHOOSE(CONTROL!$C$42, 23.9066, 23.9066) * CHOOSE(CONTROL!$C$21, $C$9, 100%, $E$9)</f>
        <v>23.906600000000001</v>
      </c>
      <c r="Q472" s="17">
        <f>CHOOSE(CONTROL!$C$42, 24.6765, 24.6765) * CHOOSE(CONTROL!$C$21, $C$9, 100%, $E$9)</f>
        <v>24.676500000000001</v>
      </c>
      <c r="R472" s="17">
        <f>CHOOSE(CONTROL!$C$42, 25.3252, 25.3252) * CHOOSE(CONTROL!$C$21, $C$9, 100%, $E$9)</f>
        <v>25.325199999999999</v>
      </c>
      <c r="S472" s="17">
        <f>CHOOSE(CONTROL!$C$42, 23.2819, 23.2819) * CHOOSE(CONTROL!$C$21, $C$9, 100%, $E$9)</f>
        <v>23.2819</v>
      </c>
      <c r="T47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72" s="56">
        <f>(1000*CHOOSE(CONTROL!$C$42, 695, 695)*CHOOSE(CONTROL!$C$42, 0.5599, 0.5599)*CHOOSE(CONTROL!$C$42, 30, 30))/1000000</f>
        <v>11.673914999999997</v>
      </c>
      <c r="V472" s="56">
        <f>(1000*CHOOSE(CONTROL!$C$42, 500, 500)*CHOOSE(CONTROL!$C$42, 0.275, 0.275)*CHOOSE(CONTROL!$C$42, 30, 30))/1000000</f>
        <v>4.125</v>
      </c>
      <c r="W472" s="56">
        <f>(1000*CHOOSE(CONTROL!$C$42, 0.0916, 0.0916)*CHOOSE(CONTROL!$C$42, 121.5, 121.5)*CHOOSE(CONTROL!$C$42, 30, 30))/1000000</f>
        <v>0.33388200000000001</v>
      </c>
      <c r="X472" s="56">
        <f>(30*0.1790888*145000/1000000)+(30*0.2374*100000/1000000)</f>
        <v>1.4912362799999999</v>
      </c>
      <c r="Y472" s="56"/>
      <c r="Z472" s="17"/>
      <c r="AA472" s="55"/>
      <c r="AB472" s="48">
        <f>(B472*141.293+C472*267.993+D472*115.016+E472*189.698+F472*40+G472*85+H472*0+I472*100+J472*300)/(141.293+267.993+115.016+189.698+0+40+85+100+300)</f>
        <v>24.098921439548022</v>
      </c>
      <c r="AC472" s="45">
        <f>(M472*'RAP TEMPLATE-GAS AVAILABILITY'!O471+N472*'RAP TEMPLATE-GAS AVAILABILITY'!P471+O472*'RAP TEMPLATE-GAS AVAILABILITY'!Q471+P472*'RAP TEMPLATE-GAS AVAILABILITY'!R471)/('RAP TEMPLATE-GAS AVAILABILITY'!O471+'RAP TEMPLATE-GAS AVAILABILITY'!P471+'RAP TEMPLATE-GAS AVAILABILITY'!Q471+'RAP TEMPLATE-GAS AVAILABILITY'!R471)</f>
        <v>23.90673237410072</v>
      </c>
    </row>
    <row r="473" spans="1:29" ht="15.75" x14ac:dyDescent="0.25">
      <c r="A473" s="14">
        <v>55304</v>
      </c>
      <c r="B473" s="17">
        <f>CHOOSE(CONTROL!$C$42, 24.2332, 24.2332) * CHOOSE(CONTROL!$C$21, $C$9, 100%, $E$9)</f>
        <v>24.2332</v>
      </c>
      <c r="C473" s="17">
        <f>CHOOSE(CONTROL!$C$42, 24.2412, 24.2412) * CHOOSE(CONTROL!$C$21, $C$9, 100%, $E$9)</f>
        <v>24.241199999999999</v>
      </c>
      <c r="D473" s="17">
        <f>CHOOSE(CONTROL!$C$42, 24.4857, 24.4857) * CHOOSE(CONTROL!$C$21, $C$9, 100%, $E$9)</f>
        <v>24.485700000000001</v>
      </c>
      <c r="E473" s="17">
        <f>CHOOSE(CONTROL!$C$42, 24.5168, 24.5168) * CHOOSE(CONTROL!$C$21, $C$9, 100%, $E$9)</f>
        <v>24.5168</v>
      </c>
      <c r="F473" s="17">
        <f>CHOOSE(CONTROL!$C$42, 24.2437, 24.2437)*CHOOSE(CONTROL!$C$21, $C$9, 100%, $E$9)</f>
        <v>24.2437</v>
      </c>
      <c r="G473" s="17">
        <f>CHOOSE(CONTROL!$C$42, 24.26, 24.26)*CHOOSE(CONTROL!$C$21, $C$9, 100%, $E$9)</f>
        <v>24.26</v>
      </c>
      <c r="H473" s="17">
        <f>CHOOSE(CONTROL!$C$42, 24.5052, 24.5052) * CHOOSE(CONTROL!$C$21, $C$9, 100%, $E$9)</f>
        <v>24.505199999999999</v>
      </c>
      <c r="I473" s="17">
        <f>CHOOSE(CONTROL!$C$42, 24.3297, 24.3297)* CHOOSE(CONTROL!$C$21, $C$9, 100%, $E$9)</f>
        <v>24.329699999999999</v>
      </c>
      <c r="J473" s="17">
        <f>CHOOSE(CONTROL!$C$42, 24.2363, 24.2363)* CHOOSE(CONTROL!$C$21, $C$9, 100%, $E$9)</f>
        <v>24.2363</v>
      </c>
      <c r="K473" s="52">
        <f>CHOOSE(CONTROL!$C$42, 24.3236, 24.3236) * CHOOSE(CONTROL!$C$21, $C$9, 100%, $E$9)</f>
        <v>24.323599999999999</v>
      </c>
      <c r="L473" s="17">
        <f>CHOOSE(CONTROL!$C$42, 25.0922, 25.0922) * CHOOSE(CONTROL!$C$21, $C$9, 100%, $E$9)</f>
        <v>25.092199999999998</v>
      </c>
      <c r="M473" s="17">
        <f>CHOOSE(CONTROL!$C$42, 24.0254, 24.0254) * CHOOSE(CONTROL!$C$21, $C$9, 100%, $E$9)</f>
        <v>24.025400000000001</v>
      </c>
      <c r="N473" s="17">
        <f>CHOOSE(CONTROL!$C$42, 24.0415, 24.0415) * CHOOSE(CONTROL!$C$21, $C$9, 100%, $E$9)</f>
        <v>24.041499999999999</v>
      </c>
      <c r="O473" s="17">
        <f>CHOOSE(CONTROL!$C$42, 24.2918, 24.2918) * CHOOSE(CONTROL!$C$21, $C$9, 100%, $E$9)</f>
        <v>24.291799999999999</v>
      </c>
      <c r="P473" s="17">
        <f>CHOOSE(CONTROL!$C$42, 24.1172, 24.1172) * CHOOSE(CONTROL!$C$21, $C$9, 100%, $E$9)</f>
        <v>24.1172</v>
      </c>
      <c r="Q473" s="17">
        <f>CHOOSE(CONTROL!$C$42, 24.8865, 24.8865) * CHOOSE(CONTROL!$C$21, $C$9, 100%, $E$9)</f>
        <v>24.886500000000002</v>
      </c>
      <c r="R473" s="17">
        <f>CHOOSE(CONTROL!$C$42, 25.5357, 25.5357) * CHOOSE(CONTROL!$C$21, $C$9, 100%, $E$9)</f>
        <v>25.535699999999999</v>
      </c>
      <c r="S473" s="17">
        <f>CHOOSE(CONTROL!$C$42, 23.4874, 23.4874) * CHOOSE(CONTROL!$C$21, $C$9, 100%, $E$9)</f>
        <v>23.487400000000001</v>
      </c>
      <c r="T47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73" s="56">
        <f>(1000*CHOOSE(CONTROL!$C$42, 695, 695)*CHOOSE(CONTROL!$C$42, 0.5599, 0.5599)*CHOOSE(CONTROL!$C$42, 31, 31))/1000000</f>
        <v>12.063045499999998</v>
      </c>
      <c r="V473" s="56">
        <f>(1000*CHOOSE(CONTROL!$C$42, 500, 500)*CHOOSE(CONTROL!$C$42, 0.275, 0.275)*CHOOSE(CONTROL!$C$42, 31, 31))/1000000</f>
        <v>4.2625000000000002</v>
      </c>
      <c r="W473" s="56">
        <f>(1000*CHOOSE(CONTROL!$C$42, 0.0916, 0.0916)*CHOOSE(CONTROL!$C$42, 121.5, 121.5)*CHOOSE(CONTROL!$C$42, 31, 31))/1000000</f>
        <v>0.34501139999999997</v>
      </c>
      <c r="X473" s="56">
        <f>(31*0.1790888*145000/1000000)+(31*0.2374*100000/1000000)</f>
        <v>1.5409441560000001</v>
      </c>
      <c r="Y473" s="56"/>
      <c r="Z473" s="17"/>
      <c r="AA473" s="55"/>
      <c r="AB473" s="48">
        <f>(B473*194.205+C473*267.466+D473*133.845+E473*153.484+F473*40+G473*85+H473*0+I473*100+J473*300)/(194.205+267.466+133.845+153.484+0+40+85+100+300)</f>
        <v>24.305995645918365</v>
      </c>
      <c r="AC473" s="45">
        <f>(M473*'RAP TEMPLATE-GAS AVAILABILITY'!O472+N473*'RAP TEMPLATE-GAS AVAILABILITY'!P472+O473*'RAP TEMPLATE-GAS AVAILABILITY'!Q472+P473*'RAP TEMPLATE-GAS AVAILABILITY'!R472)/('RAP TEMPLATE-GAS AVAILABILITY'!O472+'RAP TEMPLATE-GAS AVAILABILITY'!P472+'RAP TEMPLATE-GAS AVAILABILITY'!Q472+'RAP TEMPLATE-GAS AVAILABILITY'!R472)</f>
        <v>24.117060431654675</v>
      </c>
    </row>
    <row r="474" spans="1:29" ht="15.75" x14ac:dyDescent="0.25">
      <c r="A474" s="14">
        <v>55334</v>
      </c>
      <c r="B474" s="17">
        <f>CHOOSE(CONTROL!$C$42, 24.9203, 24.9203) * CHOOSE(CONTROL!$C$21, $C$9, 100%, $E$9)</f>
        <v>24.920300000000001</v>
      </c>
      <c r="C474" s="17">
        <f>CHOOSE(CONTROL!$C$42, 24.9282, 24.9282) * CHOOSE(CONTROL!$C$21, $C$9, 100%, $E$9)</f>
        <v>24.9282</v>
      </c>
      <c r="D474" s="17">
        <f>CHOOSE(CONTROL!$C$42, 25.1727, 25.1727) * CHOOSE(CONTROL!$C$21, $C$9, 100%, $E$9)</f>
        <v>25.172699999999999</v>
      </c>
      <c r="E474" s="17">
        <f>CHOOSE(CONTROL!$C$42, 25.2039, 25.2039) * CHOOSE(CONTROL!$C$21, $C$9, 100%, $E$9)</f>
        <v>25.203900000000001</v>
      </c>
      <c r="F474" s="17">
        <f>CHOOSE(CONTROL!$C$42, 24.9311, 24.9311)*CHOOSE(CONTROL!$C$21, $C$9, 100%, $E$9)</f>
        <v>24.931100000000001</v>
      </c>
      <c r="G474" s="17">
        <f>CHOOSE(CONTROL!$C$42, 24.9474, 24.9474)*CHOOSE(CONTROL!$C$21, $C$9, 100%, $E$9)</f>
        <v>24.947399999999998</v>
      </c>
      <c r="H474" s="17">
        <f>CHOOSE(CONTROL!$C$42, 25.1922, 25.1922) * CHOOSE(CONTROL!$C$21, $C$9, 100%, $E$9)</f>
        <v>25.1922</v>
      </c>
      <c r="I474" s="17">
        <f>CHOOSE(CONTROL!$C$42, 25.0188, 25.0188)* CHOOSE(CONTROL!$C$21, $C$9, 100%, $E$9)</f>
        <v>25.018799999999999</v>
      </c>
      <c r="J474" s="17">
        <f>CHOOSE(CONTROL!$C$42, 24.9237, 24.9237)* CHOOSE(CONTROL!$C$21, $C$9, 100%, $E$9)</f>
        <v>24.9237</v>
      </c>
      <c r="K474" s="52">
        <f>CHOOSE(CONTROL!$C$42, 25.0128, 25.0128) * CHOOSE(CONTROL!$C$21, $C$9, 100%, $E$9)</f>
        <v>25.012799999999999</v>
      </c>
      <c r="L474" s="17">
        <f>CHOOSE(CONTROL!$C$42, 25.7792, 25.7792) * CHOOSE(CONTROL!$C$21, $C$9, 100%, $E$9)</f>
        <v>25.779199999999999</v>
      </c>
      <c r="M474" s="17">
        <f>CHOOSE(CONTROL!$C$42, 24.7066, 24.7066) * CHOOSE(CONTROL!$C$21, $C$9, 100%, $E$9)</f>
        <v>24.706600000000002</v>
      </c>
      <c r="N474" s="17">
        <f>CHOOSE(CONTROL!$C$42, 24.7228, 24.7228) * CHOOSE(CONTROL!$C$21, $C$9, 100%, $E$9)</f>
        <v>24.722799999999999</v>
      </c>
      <c r="O474" s="17">
        <f>CHOOSE(CONTROL!$C$42, 24.9726, 24.9726) * CHOOSE(CONTROL!$C$21, $C$9, 100%, $E$9)</f>
        <v>24.9726</v>
      </c>
      <c r="P474" s="17">
        <f>CHOOSE(CONTROL!$C$42, 24.8002, 24.8002) * CHOOSE(CONTROL!$C$21, $C$9, 100%, $E$9)</f>
        <v>24.8002</v>
      </c>
      <c r="Q474" s="17">
        <f>CHOOSE(CONTROL!$C$42, 25.5673, 25.5673) * CHOOSE(CONTROL!$C$21, $C$9, 100%, $E$9)</f>
        <v>25.567299999999999</v>
      </c>
      <c r="R474" s="17">
        <f>CHOOSE(CONTROL!$C$42, 26.2183, 26.2183) * CHOOSE(CONTROL!$C$21, $C$9, 100%, $E$9)</f>
        <v>26.218299999999999</v>
      </c>
      <c r="S474" s="17">
        <f>CHOOSE(CONTROL!$C$42, 24.1536, 24.1536) * CHOOSE(CONTROL!$C$21, $C$9, 100%, $E$9)</f>
        <v>24.153600000000001</v>
      </c>
      <c r="T47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74" s="56">
        <f>(1000*CHOOSE(CONTROL!$C$42, 695, 695)*CHOOSE(CONTROL!$C$42, 0.5599, 0.5599)*CHOOSE(CONTROL!$C$42, 30, 30))/1000000</f>
        <v>11.673914999999997</v>
      </c>
      <c r="V474" s="56">
        <f>(1000*CHOOSE(CONTROL!$C$42, 500, 500)*CHOOSE(CONTROL!$C$42, 0.275, 0.275)*CHOOSE(CONTROL!$C$42, 30, 30))/1000000</f>
        <v>4.125</v>
      </c>
      <c r="W474" s="56">
        <f>(1000*CHOOSE(CONTROL!$C$42, 0.0916, 0.0916)*CHOOSE(CONTROL!$C$42, 121.5, 121.5)*CHOOSE(CONTROL!$C$42, 30, 30))/1000000</f>
        <v>0.33388200000000001</v>
      </c>
      <c r="X474" s="56">
        <f>(30*0.1790888*145000/1000000)+(30*0.2374*100000/1000000)</f>
        <v>1.4912362799999999</v>
      </c>
      <c r="Y474" s="56"/>
      <c r="Z474" s="17"/>
      <c r="AA474" s="55"/>
      <c r="AB474" s="48">
        <f>(B474*194.205+C474*267.466+D474*133.845+E474*153.484+F474*40+G474*85+H474*0+I474*100+J474*300)/(194.205+267.466+133.845+153.484+0+40+85+100+300)</f>
        <v>24.99332121020408</v>
      </c>
      <c r="AC474" s="45">
        <f>(M474*'RAP TEMPLATE-GAS AVAILABILITY'!O473+N474*'RAP TEMPLATE-GAS AVAILABILITY'!P473+O474*'RAP TEMPLATE-GAS AVAILABILITY'!Q473+P474*'RAP TEMPLATE-GAS AVAILABILITY'!R473)/('RAP TEMPLATE-GAS AVAILABILITY'!O473+'RAP TEMPLATE-GAS AVAILABILITY'!P473+'RAP TEMPLATE-GAS AVAILABILITY'!Q473+'RAP TEMPLATE-GAS AVAILABILITY'!R473)</f>
        <v>24.798430215827338</v>
      </c>
    </row>
    <row r="475" spans="1:29" ht="15.75" x14ac:dyDescent="0.25">
      <c r="A475" s="14">
        <v>55365</v>
      </c>
      <c r="B475" s="17">
        <f>CHOOSE(CONTROL!$C$42, 24.4424, 24.4424) * CHOOSE(CONTROL!$C$21, $C$9, 100%, $E$9)</f>
        <v>24.442399999999999</v>
      </c>
      <c r="C475" s="17">
        <f>CHOOSE(CONTROL!$C$42, 24.4504, 24.4504) * CHOOSE(CONTROL!$C$21, $C$9, 100%, $E$9)</f>
        <v>24.450399999999998</v>
      </c>
      <c r="D475" s="17">
        <f>CHOOSE(CONTROL!$C$42, 24.6949, 24.6949) * CHOOSE(CONTROL!$C$21, $C$9, 100%, $E$9)</f>
        <v>24.694900000000001</v>
      </c>
      <c r="E475" s="17">
        <f>CHOOSE(CONTROL!$C$42, 24.726, 24.726) * CHOOSE(CONTROL!$C$21, $C$9, 100%, $E$9)</f>
        <v>24.725999999999999</v>
      </c>
      <c r="F475" s="17">
        <f>CHOOSE(CONTROL!$C$42, 24.4537, 24.4537)*CHOOSE(CONTROL!$C$21, $C$9, 100%, $E$9)</f>
        <v>24.453700000000001</v>
      </c>
      <c r="G475" s="17">
        <f>CHOOSE(CONTROL!$C$42, 24.4702, 24.4702)*CHOOSE(CONTROL!$C$21, $C$9, 100%, $E$9)</f>
        <v>24.470199999999998</v>
      </c>
      <c r="H475" s="17">
        <f>CHOOSE(CONTROL!$C$42, 24.7144, 24.7144) * CHOOSE(CONTROL!$C$21, $C$9, 100%, $E$9)</f>
        <v>24.714400000000001</v>
      </c>
      <c r="I475" s="17">
        <f>CHOOSE(CONTROL!$C$42, 24.5395, 24.5395)* CHOOSE(CONTROL!$C$21, $C$9, 100%, $E$9)</f>
        <v>24.5395</v>
      </c>
      <c r="J475" s="17">
        <f>CHOOSE(CONTROL!$C$42, 24.4463, 24.4463)* CHOOSE(CONTROL!$C$21, $C$9, 100%, $E$9)</f>
        <v>24.446300000000001</v>
      </c>
      <c r="K475" s="52">
        <f>CHOOSE(CONTROL!$C$42, 24.5335, 24.5335) * CHOOSE(CONTROL!$C$21, $C$9, 100%, $E$9)</f>
        <v>24.5335</v>
      </c>
      <c r="L475" s="17">
        <f>CHOOSE(CONTROL!$C$42, 25.3014, 25.3014) * CHOOSE(CONTROL!$C$21, $C$9, 100%, $E$9)</f>
        <v>25.301400000000001</v>
      </c>
      <c r="M475" s="17">
        <f>CHOOSE(CONTROL!$C$42, 24.2335, 24.2335) * CHOOSE(CONTROL!$C$21, $C$9, 100%, $E$9)</f>
        <v>24.233499999999999</v>
      </c>
      <c r="N475" s="17">
        <f>CHOOSE(CONTROL!$C$42, 24.2498, 24.2498) * CHOOSE(CONTROL!$C$21, $C$9, 100%, $E$9)</f>
        <v>24.2498</v>
      </c>
      <c r="O475" s="17">
        <f>CHOOSE(CONTROL!$C$42, 24.4991, 24.4991) * CHOOSE(CONTROL!$C$21, $C$9, 100%, $E$9)</f>
        <v>24.499099999999999</v>
      </c>
      <c r="P475" s="17">
        <f>CHOOSE(CONTROL!$C$42, 24.3252, 24.3252) * CHOOSE(CONTROL!$C$21, $C$9, 100%, $E$9)</f>
        <v>24.325199999999999</v>
      </c>
      <c r="Q475" s="17">
        <f>CHOOSE(CONTROL!$C$42, 25.0938, 25.0938) * CHOOSE(CONTROL!$C$21, $C$9, 100%, $E$9)</f>
        <v>25.093800000000002</v>
      </c>
      <c r="R475" s="17">
        <f>CHOOSE(CONTROL!$C$42, 25.7435, 25.7435) * CHOOSE(CONTROL!$C$21, $C$9, 100%, $E$9)</f>
        <v>25.743500000000001</v>
      </c>
      <c r="S475" s="17">
        <f>CHOOSE(CONTROL!$C$42, 23.6902, 23.6902) * CHOOSE(CONTROL!$C$21, $C$9, 100%, $E$9)</f>
        <v>23.690200000000001</v>
      </c>
      <c r="T47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75" s="56">
        <f>(1000*CHOOSE(CONTROL!$C$42, 695, 695)*CHOOSE(CONTROL!$C$42, 0.5599, 0.5599)*CHOOSE(CONTROL!$C$42, 31, 31))/1000000</f>
        <v>12.063045499999998</v>
      </c>
      <c r="V475" s="56">
        <f>(1000*CHOOSE(CONTROL!$C$42, 500, 500)*CHOOSE(CONTROL!$C$42, 0.275, 0.275)*CHOOSE(CONTROL!$C$42, 31, 31))/1000000</f>
        <v>4.2625000000000002</v>
      </c>
      <c r="W475" s="56">
        <f>(1000*CHOOSE(CONTROL!$C$42, 0.0916, 0.0916)*CHOOSE(CONTROL!$C$42, 121.5, 121.5)*CHOOSE(CONTROL!$C$42, 31, 31))/1000000</f>
        <v>0.34501139999999997</v>
      </c>
      <c r="X475" s="56">
        <f>(31*0.1790888*145000/1000000)+(31*0.2374*100000/1000000)</f>
        <v>1.5409441560000001</v>
      </c>
      <c r="Y475" s="56"/>
      <c r="Z475" s="17"/>
      <c r="AA475" s="55"/>
      <c r="AB475" s="48">
        <f>(B475*194.205+C475*267.466+D475*133.845+E475*153.484+F475*40+G475*85+H475*0+I475*100+J475*300)/(194.205+267.466+133.845+153.484+0+40+85+100+300)</f>
        <v>24.515522961459972</v>
      </c>
      <c r="AC475" s="45">
        <f>(M475*'RAP TEMPLATE-GAS AVAILABILITY'!O474+N475*'RAP TEMPLATE-GAS AVAILABILITY'!P474+O475*'RAP TEMPLATE-GAS AVAILABILITY'!Q474+P475*'RAP TEMPLATE-GAS AVAILABILITY'!R474)/('RAP TEMPLATE-GAS AVAILABILITY'!O474+'RAP TEMPLATE-GAS AVAILABILITY'!P474+'RAP TEMPLATE-GAS AVAILABILITY'!Q474+'RAP TEMPLATE-GAS AVAILABILITY'!R474)</f>
        <v>24.324967625899284</v>
      </c>
    </row>
    <row r="476" spans="1:29" ht="15.75" x14ac:dyDescent="0.25">
      <c r="A476" s="14">
        <v>55396</v>
      </c>
      <c r="B476" s="17">
        <f>CHOOSE(CONTROL!$C$42, 23.2357, 23.2357) * CHOOSE(CONTROL!$C$21, $C$9, 100%, $E$9)</f>
        <v>23.235700000000001</v>
      </c>
      <c r="C476" s="17">
        <f>CHOOSE(CONTROL!$C$42, 23.2437, 23.2437) * CHOOSE(CONTROL!$C$21, $C$9, 100%, $E$9)</f>
        <v>23.2437</v>
      </c>
      <c r="D476" s="17">
        <f>CHOOSE(CONTROL!$C$42, 23.4882, 23.4882) * CHOOSE(CONTROL!$C$21, $C$9, 100%, $E$9)</f>
        <v>23.488199999999999</v>
      </c>
      <c r="E476" s="17">
        <f>CHOOSE(CONTROL!$C$42, 23.5193, 23.5193) * CHOOSE(CONTROL!$C$21, $C$9, 100%, $E$9)</f>
        <v>23.519300000000001</v>
      </c>
      <c r="F476" s="17">
        <f>CHOOSE(CONTROL!$C$42, 23.2473, 23.2473)*CHOOSE(CONTROL!$C$21, $C$9, 100%, $E$9)</f>
        <v>23.247299999999999</v>
      </c>
      <c r="G476" s="17">
        <f>CHOOSE(CONTROL!$C$42, 23.2638, 23.2638)*CHOOSE(CONTROL!$C$21, $C$9, 100%, $E$9)</f>
        <v>23.2638</v>
      </c>
      <c r="H476" s="17">
        <f>CHOOSE(CONTROL!$C$42, 23.5077, 23.5077) * CHOOSE(CONTROL!$C$21, $C$9, 100%, $E$9)</f>
        <v>23.5077</v>
      </c>
      <c r="I476" s="17">
        <f>CHOOSE(CONTROL!$C$42, 23.3291, 23.3291)* CHOOSE(CONTROL!$C$21, $C$9, 100%, $E$9)</f>
        <v>23.3291</v>
      </c>
      <c r="J476" s="17">
        <f>CHOOSE(CONTROL!$C$42, 23.2399, 23.2399)* CHOOSE(CONTROL!$C$21, $C$9, 100%, $E$9)</f>
        <v>23.239899999999999</v>
      </c>
      <c r="K476" s="52">
        <f>CHOOSE(CONTROL!$C$42, 23.323, 23.323) * CHOOSE(CONTROL!$C$21, $C$9, 100%, $E$9)</f>
        <v>23.323</v>
      </c>
      <c r="L476" s="17">
        <f>CHOOSE(CONTROL!$C$42, 24.0947, 24.0947) * CHOOSE(CONTROL!$C$21, $C$9, 100%, $E$9)</f>
        <v>24.0947</v>
      </c>
      <c r="M476" s="17">
        <f>CHOOSE(CONTROL!$C$42, 23.0379, 23.0379) * CHOOSE(CONTROL!$C$21, $C$9, 100%, $E$9)</f>
        <v>23.0379</v>
      </c>
      <c r="N476" s="17">
        <f>CHOOSE(CONTROL!$C$42, 23.0542, 23.0542) * CHOOSE(CONTROL!$C$21, $C$9, 100%, $E$9)</f>
        <v>23.054200000000002</v>
      </c>
      <c r="O476" s="17">
        <f>CHOOSE(CONTROL!$C$42, 23.3032, 23.3032) * CHOOSE(CONTROL!$C$21, $C$9, 100%, $E$9)</f>
        <v>23.3032</v>
      </c>
      <c r="P476" s="17">
        <f>CHOOSE(CONTROL!$C$42, 23.1257, 23.1257) * CHOOSE(CONTROL!$C$21, $C$9, 100%, $E$9)</f>
        <v>23.125699999999998</v>
      </c>
      <c r="Q476" s="17">
        <f>CHOOSE(CONTROL!$C$42, 23.8979, 23.8979) * CHOOSE(CONTROL!$C$21, $C$9, 100%, $E$9)</f>
        <v>23.8979</v>
      </c>
      <c r="R476" s="17">
        <f>CHOOSE(CONTROL!$C$42, 24.5447, 24.5447) * CHOOSE(CONTROL!$C$21, $C$9, 100%, $E$9)</f>
        <v>24.544699999999999</v>
      </c>
      <c r="S476" s="17">
        <f>CHOOSE(CONTROL!$C$42, 22.5201, 22.5201) * CHOOSE(CONTROL!$C$21, $C$9, 100%, $E$9)</f>
        <v>22.520099999999999</v>
      </c>
      <c r="T47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76" s="56">
        <f>(1000*CHOOSE(CONTROL!$C$42, 695, 695)*CHOOSE(CONTROL!$C$42, 0.5599, 0.5599)*CHOOSE(CONTROL!$C$42, 31, 31))/1000000</f>
        <v>12.063045499999998</v>
      </c>
      <c r="V476" s="56">
        <f>(1000*CHOOSE(CONTROL!$C$42, 500, 500)*CHOOSE(CONTROL!$C$42, 0.275, 0.275)*CHOOSE(CONTROL!$C$42, 31, 31))/1000000</f>
        <v>4.2625000000000002</v>
      </c>
      <c r="W476" s="56">
        <f>(1000*CHOOSE(CONTROL!$C$42, 0.0916, 0.0916)*CHOOSE(CONTROL!$C$42, 121.5, 121.5)*CHOOSE(CONTROL!$C$42, 31, 31))/1000000</f>
        <v>0.34501139999999997</v>
      </c>
      <c r="X476" s="56">
        <f>(31*0.1790888*145000/1000000)+(31*0.2374*100000/1000000)</f>
        <v>1.5409441560000001</v>
      </c>
      <c r="Y476" s="56"/>
      <c r="Z476" s="17"/>
      <c r="AA476" s="55"/>
      <c r="AB476" s="48">
        <f>(B476*194.205+C476*267.466+D476*133.845+E476*153.484+F476*40+G476*85+H476*0+I476*100+J476*300)/(194.205+267.466+133.845+153.484+0+40+85+100+300)</f>
        <v>23.308632616091053</v>
      </c>
      <c r="AC476" s="45">
        <f>(M476*'RAP TEMPLATE-GAS AVAILABILITY'!O475+N476*'RAP TEMPLATE-GAS AVAILABILITY'!P475+O476*'RAP TEMPLATE-GAS AVAILABILITY'!Q475+P476*'RAP TEMPLATE-GAS AVAILABILITY'!R475)/('RAP TEMPLATE-GAS AVAILABILITY'!O475+'RAP TEMPLATE-GAS AVAILABILITY'!P475+'RAP TEMPLATE-GAS AVAILABILITY'!Q475+'RAP TEMPLATE-GAS AVAILABILITY'!R475)</f>
        <v>23.128722302158273</v>
      </c>
    </row>
    <row r="477" spans="1:29" ht="15.75" x14ac:dyDescent="0.25">
      <c r="A477" s="14">
        <v>55426</v>
      </c>
      <c r="B477" s="17">
        <f>CHOOSE(CONTROL!$C$42, 21.7611, 21.7611) * CHOOSE(CONTROL!$C$21, $C$9, 100%, $E$9)</f>
        <v>21.761099999999999</v>
      </c>
      <c r="C477" s="17">
        <f>CHOOSE(CONTROL!$C$42, 21.7691, 21.7691) * CHOOSE(CONTROL!$C$21, $C$9, 100%, $E$9)</f>
        <v>21.769100000000002</v>
      </c>
      <c r="D477" s="17">
        <f>CHOOSE(CONTROL!$C$42, 22.0136, 22.0136) * CHOOSE(CONTROL!$C$21, $C$9, 100%, $E$9)</f>
        <v>22.0136</v>
      </c>
      <c r="E477" s="17">
        <f>CHOOSE(CONTROL!$C$42, 22.0447, 22.0447) * CHOOSE(CONTROL!$C$21, $C$9, 100%, $E$9)</f>
        <v>22.044699999999999</v>
      </c>
      <c r="F477" s="17">
        <f>CHOOSE(CONTROL!$C$42, 21.7727, 21.7727)*CHOOSE(CONTROL!$C$21, $C$9, 100%, $E$9)</f>
        <v>21.7727</v>
      </c>
      <c r="G477" s="17">
        <f>CHOOSE(CONTROL!$C$42, 21.7892, 21.7892)*CHOOSE(CONTROL!$C$21, $C$9, 100%, $E$9)</f>
        <v>21.789200000000001</v>
      </c>
      <c r="H477" s="17">
        <f>CHOOSE(CONTROL!$C$42, 22.0331, 22.0331) * CHOOSE(CONTROL!$C$21, $C$9, 100%, $E$9)</f>
        <v>22.033100000000001</v>
      </c>
      <c r="I477" s="17">
        <f>CHOOSE(CONTROL!$C$42, 21.8499, 21.8499)* CHOOSE(CONTROL!$C$21, $C$9, 100%, $E$9)</f>
        <v>21.849900000000002</v>
      </c>
      <c r="J477" s="17">
        <f>CHOOSE(CONTROL!$C$42, 21.7653, 21.7653)* CHOOSE(CONTROL!$C$21, $C$9, 100%, $E$9)</f>
        <v>21.7653</v>
      </c>
      <c r="K477" s="52">
        <f>CHOOSE(CONTROL!$C$42, 21.8439, 21.8439) * CHOOSE(CONTROL!$C$21, $C$9, 100%, $E$9)</f>
        <v>21.843900000000001</v>
      </c>
      <c r="L477" s="17">
        <f>CHOOSE(CONTROL!$C$42, 22.6201, 22.6201) * CHOOSE(CONTROL!$C$21, $C$9, 100%, $E$9)</f>
        <v>22.620100000000001</v>
      </c>
      <c r="M477" s="17">
        <f>CHOOSE(CONTROL!$C$42, 21.5766, 21.5766) * CHOOSE(CONTROL!$C$21, $C$9, 100%, $E$9)</f>
        <v>21.576599999999999</v>
      </c>
      <c r="N477" s="17">
        <f>CHOOSE(CONTROL!$C$42, 21.5929, 21.5929) * CHOOSE(CONTROL!$C$21, $C$9, 100%, $E$9)</f>
        <v>21.5929</v>
      </c>
      <c r="O477" s="17">
        <f>CHOOSE(CONTROL!$C$42, 21.8419, 21.8419) * CHOOSE(CONTROL!$C$21, $C$9, 100%, $E$9)</f>
        <v>21.841899999999999</v>
      </c>
      <c r="P477" s="17">
        <f>CHOOSE(CONTROL!$C$42, 21.6598, 21.6598) * CHOOSE(CONTROL!$C$21, $C$9, 100%, $E$9)</f>
        <v>21.659800000000001</v>
      </c>
      <c r="Q477" s="17">
        <f>CHOOSE(CONTROL!$C$42, 22.4366, 22.4366) * CHOOSE(CONTROL!$C$21, $C$9, 100%, $E$9)</f>
        <v>22.436599999999999</v>
      </c>
      <c r="R477" s="17">
        <f>CHOOSE(CONTROL!$C$42, 23.0797, 23.0797) * CHOOSE(CONTROL!$C$21, $C$9, 100%, $E$9)</f>
        <v>23.079699999999999</v>
      </c>
      <c r="S477" s="17">
        <f>CHOOSE(CONTROL!$C$42, 21.0902, 21.0902) * CHOOSE(CONTROL!$C$21, $C$9, 100%, $E$9)</f>
        <v>21.090199999999999</v>
      </c>
      <c r="T47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77" s="56">
        <f>(1000*CHOOSE(CONTROL!$C$42, 695, 695)*CHOOSE(CONTROL!$C$42, 0.5599, 0.5599)*CHOOSE(CONTROL!$C$42, 30, 30))/1000000</f>
        <v>11.673914999999997</v>
      </c>
      <c r="V477" s="56">
        <f>(1000*CHOOSE(CONTROL!$C$42, 500, 500)*CHOOSE(CONTROL!$C$42, 0.275, 0.275)*CHOOSE(CONTROL!$C$42, 30, 30))/1000000</f>
        <v>4.125</v>
      </c>
      <c r="W477" s="56">
        <f>(1000*CHOOSE(CONTROL!$C$42, 0.0916, 0.0916)*CHOOSE(CONTROL!$C$42, 121.5, 121.5)*CHOOSE(CONTROL!$C$42, 30, 30))/1000000</f>
        <v>0.33388200000000001</v>
      </c>
      <c r="X477" s="56">
        <f>(30*0.1790888*145000/1000000)+(30*0.2374*100000/1000000)</f>
        <v>1.4912362799999999</v>
      </c>
      <c r="Y477" s="56"/>
      <c r="Z477" s="17"/>
      <c r="AA477" s="55"/>
      <c r="AB477" s="48">
        <f>(B477*194.205+C477*267.466+D477*133.845+E477*153.484+F477*40+G477*85+H477*0+I477*100+J477*300)/(194.205+267.466+133.845+153.484+0+40+85+100+300)</f>
        <v>21.83367154858713</v>
      </c>
      <c r="AC477" s="45">
        <f>(M477*'RAP TEMPLATE-GAS AVAILABILITY'!O476+N477*'RAP TEMPLATE-GAS AVAILABILITY'!P476+O477*'RAP TEMPLATE-GAS AVAILABILITY'!Q476+P477*'RAP TEMPLATE-GAS AVAILABILITY'!R476)/('RAP TEMPLATE-GAS AVAILABILITY'!O476+'RAP TEMPLATE-GAS AVAILABILITY'!P476+'RAP TEMPLATE-GAS AVAILABILITY'!Q476+'RAP TEMPLATE-GAS AVAILABILITY'!R476)</f>
        <v>21.666760431654676</v>
      </c>
    </row>
    <row r="478" spans="1:29" ht="15.75" x14ac:dyDescent="0.25">
      <c r="A478" s="14">
        <v>55457</v>
      </c>
      <c r="B478" s="17">
        <f>CHOOSE(CONTROL!$C$42, 21.3178, 21.3178) * CHOOSE(CONTROL!$C$21, $C$9, 100%, $E$9)</f>
        <v>21.317799999999998</v>
      </c>
      <c r="C478" s="17">
        <f>CHOOSE(CONTROL!$C$42, 21.3231, 21.3231) * CHOOSE(CONTROL!$C$21, $C$9, 100%, $E$9)</f>
        <v>21.3231</v>
      </c>
      <c r="D478" s="17">
        <f>CHOOSE(CONTROL!$C$42, 21.5725, 21.5725) * CHOOSE(CONTROL!$C$21, $C$9, 100%, $E$9)</f>
        <v>21.572500000000002</v>
      </c>
      <c r="E478" s="17">
        <f>CHOOSE(CONTROL!$C$42, 21.6014, 21.6014) * CHOOSE(CONTROL!$C$21, $C$9, 100%, $E$9)</f>
        <v>21.601400000000002</v>
      </c>
      <c r="F478" s="17">
        <f>CHOOSE(CONTROL!$C$42, 21.3316, 21.3316)*CHOOSE(CONTROL!$C$21, $C$9, 100%, $E$9)</f>
        <v>21.331600000000002</v>
      </c>
      <c r="G478" s="17">
        <f>CHOOSE(CONTROL!$C$42, 21.348, 21.348)*CHOOSE(CONTROL!$C$21, $C$9, 100%, $E$9)</f>
        <v>21.347999999999999</v>
      </c>
      <c r="H478" s="17">
        <f>CHOOSE(CONTROL!$C$42, 21.5915, 21.5915) * CHOOSE(CONTROL!$C$21, $C$9, 100%, $E$9)</f>
        <v>21.5915</v>
      </c>
      <c r="I478" s="17">
        <f>CHOOSE(CONTROL!$C$42, 21.4069, 21.4069)* CHOOSE(CONTROL!$C$21, $C$9, 100%, $E$9)</f>
        <v>21.4069</v>
      </c>
      <c r="J478" s="17">
        <f>CHOOSE(CONTROL!$C$42, 21.3242, 21.3242)* CHOOSE(CONTROL!$C$21, $C$9, 100%, $E$9)</f>
        <v>21.324200000000001</v>
      </c>
      <c r="K478" s="52">
        <f>CHOOSE(CONTROL!$C$42, 21.4009, 21.4009) * CHOOSE(CONTROL!$C$21, $C$9, 100%, $E$9)</f>
        <v>21.4009</v>
      </c>
      <c r="L478" s="17">
        <f>CHOOSE(CONTROL!$C$42, 22.1785, 22.1785) * CHOOSE(CONTROL!$C$21, $C$9, 100%, $E$9)</f>
        <v>22.1785</v>
      </c>
      <c r="M478" s="17">
        <f>CHOOSE(CONTROL!$C$42, 21.1394, 21.1394) * CHOOSE(CONTROL!$C$21, $C$9, 100%, $E$9)</f>
        <v>21.139399999999998</v>
      </c>
      <c r="N478" s="17">
        <f>CHOOSE(CONTROL!$C$42, 21.1557, 21.1557) * CHOOSE(CONTROL!$C$21, $C$9, 100%, $E$9)</f>
        <v>21.1557</v>
      </c>
      <c r="O478" s="17">
        <f>CHOOSE(CONTROL!$C$42, 21.4043, 21.4043) * CHOOSE(CONTROL!$C$21, $C$9, 100%, $E$9)</f>
        <v>21.404299999999999</v>
      </c>
      <c r="P478" s="17">
        <f>CHOOSE(CONTROL!$C$42, 21.2209, 21.2209) * CHOOSE(CONTROL!$C$21, $C$9, 100%, $E$9)</f>
        <v>21.2209</v>
      </c>
      <c r="Q478" s="17">
        <f>CHOOSE(CONTROL!$C$42, 21.999, 21.999) * CHOOSE(CONTROL!$C$21, $C$9, 100%, $E$9)</f>
        <v>21.998999999999999</v>
      </c>
      <c r="R478" s="17">
        <f>CHOOSE(CONTROL!$C$42, 22.641, 22.641) * CHOOSE(CONTROL!$C$21, $C$9, 100%, $E$9)</f>
        <v>22.640999999999998</v>
      </c>
      <c r="S478" s="17">
        <f>CHOOSE(CONTROL!$C$42, 20.662, 20.662) * CHOOSE(CONTROL!$C$21, $C$9, 100%, $E$9)</f>
        <v>20.661999999999999</v>
      </c>
      <c r="T47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78" s="56">
        <f>(1000*CHOOSE(CONTROL!$C$42, 695, 695)*CHOOSE(CONTROL!$C$42, 0.5599, 0.5599)*CHOOSE(CONTROL!$C$42, 31, 31))/1000000</f>
        <v>12.063045499999998</v>
      </c>
      <c r="V478" s="56">
        <f>(1000*CHOOSE(CONTROL!$C$42, 500, 500)*CHOOSE(CONTROL!$C$42, 0.275, 0.275)*CHOOSE(CONTROL!$C$42, 31, 31))/1000000</f>
        <v>4.2625000000000002</v>
      </c>
      <c r="W478" s="56">
        <f>(1000*CHOOSE(CONTROL!$C$42, 0.0916, 0.0916)*CHOOSE(CONTROL!$C$42, 121.5, 121.5)*CHOOSE(CONTROL!$C$42, 31, 31))/1000000</f>
        <v>0.34501139999999997</v>
      </c>
      <c r="X478" s="56">
        <f>(31*0.1790888*145000/1000000)+(31*0.2374*100000/1000000)</f>
        <v>1.5409441560000001</v>
      </c>
      <c r="Y478" s="56"/>
      <c r="Z478" s="17"/>
      <c r="AA478" s="55"/>
      <c r="AB478" s="48">
        <f>(B478*131.881+C478*277.167+D478*79.08+E478*225.872+F478*40+G478*85+H478*0+I478*100+J478*300)/(131.881+277.167+79.08+225.872+0+40+85+100+300)</f>
        <v>21.398201097901531</v>
      </c>
      <c r="AC478" s="45">
        <f>(M478*'RAP TEMPLATE-GAS AVAILABILITY'!O477+N478*'RAP TEMPLATE-GAS AVAILABILITY'!P477+O478*'RAP TEMPLATE-GAS AVAILABILITY'!Q477+P478*'RAP TEMPLATE-GAS AVAILABILITY'!R477)/('RAP TEMPLATE-GAS AVAILABILITY'!O477+'RAP TEMPLATE-GAS AVAILABILITY'!P477+'RAP TEMPLATE-GAS AVAILABILITY'!Q477+'RAP TEMPLATE-GAS AVAILABILITY'!R477)</f>
        <v>21.2292035971223</v>
      </c>
    </row>
    <row r="479" spans="1:29" ht="15.75" x14ac:dyDescent="0.25">
      <c r="A479" s="14">
        <v>55487</v>
      </c>
      <c r="B479" s="17">
        <f>CHOOSE(CONTROL!$C$42, 21.8787, 21.8787) * CHOOSE(CONTROL!$C$21, $C$9, 100%, $E$9)</f>
        <v>21.878699999999998</v>
      </c>
      <c r="C479" s="17">
        <f>CHOOSE(CONTROL!$C$42, 21.8838, 21.8838) * CHOOSE(CONTROL!$C$21, $C$9, 100%, $E$9)</f>
        <v>21.883800000000001</v>
      </c>
      <c r="D479" s="17">
        <f>CHOOSE(CONTROL!$C$42, 21.9652, 21.9652) * CHOOSE(CONTROL!$C$21, $C$9, 100%, $E$9)</f>
        <v>21.965199999999999</v>
      </c>
      <c r="E479" s="17">
        <f>CHOOSE(CONTROL!$C$42, 21.9989, 21.9989) * CHOOSE(CONTROL!$C$21, $C$9, 100%, $E$9)</f>
        <v>21.998899999999999</v>
      </c>
      <c r="F479" s="17">
        <f>CHOOSE(CONTROL!$C$42, 21.8967, 21.8967)*CHOOSE(CONTROL!$C$21, $C$9, 100%, $E$9)</f>
        <v>21.896699999999999</v>
      </c>
      <c r="G479" s="17">
        <f>CHOOSE(CONTROL!$C$42, 21.9134, 21.9134)*CHOOSE(CONTROL!$C$21, $C$9, 100%, $E$9)</f>
        <v>21.913399999999999</v>
      </c>
      <c r="H479" s="17">
        <f>CHOOSE(CONTROL!$C$42, 21.9878, 21.9878) * CHOOSE(CONTROL!$C$21, $C$9, 100%, $E$9)</f>
        <v>21.9878</v>
      </c>
      <c r="I479" s="17">
        <f>CHOOSE(CONTROL!$C$42, 21.9716, 21.9716)* CHOOSE(CONTROL!$C$21, $C$9, 100%, $E$9)</f>
        <v>21.971599999999999</v>
      </c>
      <c r="J479" s="17">
        <f>CHOOSE(CONTROL!$C$42, 21.8893, 21.8893)* CHOOSE(CONTROL!$C$21, $C$9, 100%, $E$9)</f>
        <v>21.889299999999999</v>
      </c>
      <c r="K479" s="52">
        <f>CHOOSE(CONTROL!$C$42, 21.9655, 21.9655) * CHOOSE(CONTROL!$C$21, $C$9, 100%, $E$9)</f>
        <v>21.965499999999999</v>
      </c>
      <c r="L479" s="17">
        <f>CHOOSE(CONTROL!$C$42, 22.5748, 22.5748) * CHOOSE(CONTROL!$C$21, $C$9, 100%, $E$9)</f>
        <v>22.5748</v>
      </c>
      <c r="M479" s="17">
        <f>CHOOSE(CONTROL!$C$42, 21.6994, 21.6994) * CHOOSE(CONTROL!$C$21, $C$9, 100%, $E$9)</f>
        <v>21.699400000000001</v>
      </c>
      <c r="N479" s="17">
        <f>CHOOSE(CONTROL!$C$42, 21.716, 21.716) * CHOOSE(CONTROL!$C$21, $C$9, 100%, $E$9)</f>
        <v>21.716000000000001</v>
      </c>
      <c r="O479" s="17">
        <f>CHOOSE(CONTROL!$C$42, 21.7971, 21.7971) * CHOOSE(CONTROL!$C$21, $C$9, 100%, $E$9)</f>
        <v>21.7971</v>
      </c>
      <c r="P479" s="17">
        <f>CHOOSE(CONTROL!$C$42, 21.7804, 21.7804) * CHOOSE(CONTROL!$C$21, $C$9, 100%, $E$9)</f>
        <v>21.7804</v>
      </c>
      <c r="Q479" s="17">
        <f>CHOOSE(CONTROL!$C$42, 22.3918, 22.3918) * CHOOSE(CONTROL!$C$21, $C$9, 100%, $E$9)</f>
        <v>22.3918</v>
      </c>
      <c r="R479" s="17">
        <f>CHOOSE(CONTROL!$C$42, 23.0347, 23.0347) * CHOOSE(CONTROL!$C$21, $C$9, 100%, $E$9)</f>
        <v>23.034700000000001</v>
      </c>
      <c r="S479" s="17">
        <f>CHOOSE(CONTROL!$C$42, 21.2063, 21.2063) * CHOOSE(CONTROL!$C$21, $C$9, 100%, $E$9)</f>
        <v>21.206299999999999</v>
      </c>
      <c r="T47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79" s="56">
        <f>(1000*CHOOSE(CONTROL!$C$42, 695, 695)*CHOOSE(CONTROL!$C$42, 0.5599, 0.5599)*CHOOSE(CONTROL!$C$42, 30, 30))/1000000</f>
        <v>11.673914999999997</v>
      </c>
      <c r="V479" s="56">
        <f>(1000*CHOOSE(CONTROL!$C$42, 500, 500)*CHOOSE(CONTROL!$C$42, 0.275, 0.275)*CHOOSE(CONTROL!$C$42, 30, 30))/1000000</f>
        <v>4.125</v>
      </c>
      <c r="W479" s="56">
        <f>(1000*CHOOSE(CONTROL!$C$42, 0.0916, 0.0916)*CHOOSE(CONTROL!$C$42, 121.5, 121.5)*CHOOSE(CONTROL!$C$42, 30, 30))/1000000</f>
        <v>0.33388200000000001</v>
      </c>
      <c r="X479" s="56">
        <f>(30*0.2374*100000/1000000)</f>
        <v>0.71220000000000006</v>
      </c>
      <c r="Y479" s="56"/>
      <c r="Z479" s="17"/>
      <c r="AA479" s="55"/>
      <c r="AB479" s="48">
        <f>(B479*122.58+C479*297.941+D479*89.177+E479*140.302+F479*40+G479*60+H479*0+I479*100+J479*300)/(122.58+297.941+89.177+140.302+0+40+60+100+300)</f>
        <v>21.914673573913042</v>
      </c>
      <c r="AC479" s="45">
        <f>(M479*'RAP TEMPLATE-GAS AVAILABILITY'!O478+N479*'RAP TEMPLATE-GAS AVAILABILITY'!P478+O479*'RAP TEMPLATE-GAS AVAILABILITY'!Q478+P479*'RAP TEMPLATE-GAS AVAILABILITY'!R478)/('RAP TEMPLATE-GAS AVAILABILITY'!O478+'RAP TEMPLATE-GAS AVAILABILITY'!P478+'RAP TEMPLATE-GAS AVAILABILITY'!Q478+'RAP TEMPLATE-GAS AVAILABILITY'!R478)</f>
        <v>21.756291366906478</v>
      </c>
    </row>
    <row r="480" spans="1:29" ht="15.75" x14ac:dyDescent="0.25">
      <c r="A480" s="14">
        <v>55518</v>
      </c>
      <c r="B480" s="17">
        <f>CHOOSE(CONTROL!$C$42, 23.3697, 23.3697) * CHOOSE(CONTROL!$C$21, $C$9, 100%, $E$9)</f>
        <v>23.369700000000002</v>
      </c>
      <c r="C480" s="17">
        <f>CHOOSE(CONTROL!$C$42, 23.3748, 23.3748) * CHOOSE(CONTROL!$C$21, $C$9, 100%, $E$9)</f>
        <v>23.3748</v>
      </c>
      <c r="D480" s="17">
        <f>CHOOSE(CONTROL!$C$42, 23.4561, 23.4561) * CHOOSE(CONTROL!$C$21, $C$9, 100%, $E$9)</f>
        <v>23.456099999999999</v>
      </c>
      <c r="E480" s="17">
        <f>CHOOSE(CONTROL!$C$42, 23.4899, 23.4899) * CHOOSE(CONTROL!$C$21, $C$9, 100%, $E$9)</f>
        <v>23.489899999999999</v>
      </c>
      <c r="F480" s="17">
        <f>CHOOSE(CONTROL!$C$42, 23.39, 23.39)*CHOOSE(CONTROL!$C$21, $C$9, 100%, $E$9)</f>
        <v>23.39</v>
      </c>
      <c r="G480" s="17">
        <f>CHOOSE(CONTROL!$C$42, 23.4073, 23.4073)*CHOOSE(CONTROL!$C$21, $C$9, 100%, $E$9)</f>
        <v>23.407299999999999</v>
      </c>
      <c r="H480" s="17">
        <f>CHOOSE(CONTROL!$C$42, 23.4788, 23.4788) * CHOOSE(CONTROL!$C$21, $C$9, 100%, $E$9)</f>
        <v>23.4788</v>
      </c>
      <c r="I480" s="17">
        <f>CHOOSE(CONTROL!$C$42, 23.4672, 23.4672)* CHOOSE(CONTROL!$C$21, $C$9, 100%, $E$9)</f>
        <v>23.467199999999998</v>
      </c>
      <c r="J480" s="17">
        <f>CHOOSE(CONTROL!$C$42, 23.3826, 23.3826)* CHOOSE(CONTROL!$C$21, $C$9, 100%, $E$9)</f>
        <v>23.3826</v>
      </c>
      <c r="K480" s="52">
        <f>CHOOSE(CONTROL!$C$42, 23.4611, 23.4611) * CHOOSE(CONTROL!$C$21, $C$9, 100%, $E$9)</f>
        <v>23.461099999999998</v>
      </c>
      <c r="L480" s="17">
        <f>CHOOSE(CONTROL!$C$42, 24.0658, 24.0658) * CHOOSE(CONTROL!$C$21, $C$9, 100%, $E$9)</f>
        <v>24.065799999999999</v>
      </c>
      <c r="M480" s="17">
        <f>CHOOSE(CONTROL!$C$42, 23.1793, 23.1793) * CHOOSE(CONTROL!$C$21, $C$9, 100%, $E$9)</f>
        <v>23.179300000000001</v>
      </c>
      <c r="N480" s="17">
        <f>CHOOSE(CONTROL!$C$42, 23.1965, 23.1965) * CHOOSE(CONTROL!$C$21, $C$9, 100%, $E$9)</f>
        <v>23.1965</v>
      </c>
      <c r="O480" s="17">
        <f>CHOOSE(CONTROL!$C$42, 23.2746, 23.2746) * CHOOSE(CONTROL!$C$21, $C$9, 100%, $E$9)</f>
        <v>23.2746</v>
      </c>
      <c r="P480" s="17">
        <f>CHOOSE(CONTROL!$C$42, 23.2625, 23.2625) * CHOOSE(CONTROL!$C$21, $C$9, 100%, $E$9)</f>
        <v>23.262499999999999</v>
      </c>
      <c r="Q480" s="17">
        <f>CHOOSE(CONTROL!$C$42, 23.8693, 23.8693) * CHOOSE(CONTROL!$C$21, $C$9, 100%, $E$9)</f>
        <v>23.869299999999999</v>
      </c>
      <c r="R480" s="17">
        <f>CHOOSE(CONTROL!$C$42, 24.516, 24.516) * CHOOSE(CONTROL!$C$21, $C$9, 100%, $E$9)</f>
        <v>24.515999999999998</v>
      </c>
      <c r="S480" s="17">
        <f>CHOOSE(CONTROL!$C$42, 22.6521, 22.6521) * CHOOSE(CONTROL!$C$21, $C$9, 100%, $E$9)</f>
        <v>22.652100000000001</v>
      </c>
      <c r="T48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80" s="56">
        <f>(1000*CHOOSE(CONTROL!$C$42, 695, 695)*CHOOSE(CONTROL!$C$42, 0.5599, 0.5599)*CHOOSE(CONTROL!$C$42, 31, 31))/1000000</f>
        <v>12.063045499999998</v>
      </c>
      <c r="V480" s="56">
        <f>(1000*CHOOSE(CONTROL!$C$42, 500, 500)*CHOOSE(CONTROL!$C$42, 0.275, 0.275)*CHOOSE(CONTROL!$C$42, 31, 31))/1000000</f>
        <v>4.2625000000000002</v>
      </c>
      <c r="W480" s="56">
        <f>(1000*CHOOSE(CONTROL!$C$42, 0.0916, 0.0916)*CHOOSE(CONTROL!$C$42, 121.5, 121.5)*CHOOSE(CONTROL!$C$42, 31, 31))/1000000</f>
        <v>0.34501139999999997</v>
      </c>
      <c r="X480" s="56">
        <f>(31*0.2374*100000/1000000)</f>
        <v>0.73594000000000004</v>
      </c>
      <c r="Y480" s="56"/>
      <c r="Z480" s="17"/>
      <c r="AA480" s="55"/>
      <c r="AB480" s="48">
        <f>(B480*122.58+C480*297.941+D480*89.177+E480*140.302+F480*40+G480*60+H480*0+I480*100+J480*300)/(122.58+297.941+89.177+140.302+0+40+60+100+300)</f>
        <v>23.406897123739132</v>
      </c>
      <c r="AC480" s="45">
        <f>(M480*'RAP TEMPLATE-GAS AVAILABILITY'!O479+N480*'RAP TEMPLATE-GAS AVAILABILITY'!P479+O480*'RAP TEMPLATE-GAS AVAILABILITY'!Q479+P480*'RAP TEMPLATE-GAS AVAILABILITY'!R479)/('RAP TEMPLATE-GAS AVAILABILITY'!O479+'RAP TEMPLATE-GAS AVAILABILITY'!P479+'RAP TEMPLATE-GAS AVAILABILITY'!Q479+'RAP TEMPLATE-GAS AVAILABILITY'!R479)</f>
        <v>23.235454676258993</v>
      </c>
    </row>
    <row r="481" spans="1:29" ht="15.75" x14ac:dyDescent="0.25">
      <c r="A481" s="14">
        <v>55549</v>
      </c>
      <c r="B481" s="17">
        <f>CHOOSE(CONTROL!$C$42, 25.3062, 25.3062) * CHOOSE(CONTROL!$C$21, $C$9, 100%, $E$9)</f>
        <v>25.3062</v>
      </c>
      <c r="C481" s="17">
        <f>CHOOSE(CONTROL!$C$42, 25.3113, 25.3113) * CHOOSE(CONTROL!$C$21, $C$9, 100%, $E$9)</f>
        <v>25.311299999999999</v>
      </c>
      <c r="D481" s="17">
        <f>CHOOSE(CONTROL!$C$42, 25.4081, 25.4081) * CHOOSE(CONTROL!$C$21, $C$9, 100%, $E$9)</f>
        <v>25.408100000000001</v>
      </c>
      <c r="E481" s="17">
        <f>CHOOSE(CONTROL!$C$42, 25.4419, 25.4419) * CHOOSE(CONTROL!$C$21, $C$9, 100%, $E$9)</f>
        <v>25.4419</v>
      </c>
      <c r="F481" s="17">
        <f>CHOOSE(CONTROL!$C$42, 25.3204, 25.3204)*CHOOSE(CONTROL!$C$21, $C$9, 100%, $E$9)</f>
        <v>25.320399999999999</v>
      </c>
      <c r="G481" s="17">
        <f>CHOOSE(CONTROL!$C$42, 25.3369, 25.3369)*CHOOSE(CONTROL!$C$21, $C$9, 100%, $E$9)</f>
        <v>25.3369</v>
      </c>
      <c r="H481" s="17">
        <f>CHOOSE(CONTROL!$C$42, 25.4307, 25.4307) * CHOOSE(CONTROL!$C$21, $C$9, 100%, $E$9)</f>
        <v>25.430700000000002</v>
      </c>
      <c r="I481" s="17">
        <f>CHOOSE(CONTROL!$C$42, 25.4097, 25.4097)* CHOOSE(CONTROL!$C$21, $C$9, 100%, $E$9)</f>
        <v>25.409700000000001</v>
      </c>
      <c r="J481" s="17">
        <f>CHOOSE(CONTROL!$C$42, 25.313, 25.313)* CHOOSE(CONTROL!$C$21, $C$9, 100%, $E$9)</f>
        <v>25.312999999999999</v>
      </c>
      <c r="K481" s="52">
        <f>CHOOSE(CONTROL!$C$42, 25.4036, 25.4036) * CHOOSE(CONTROL!$C$21, $C$9, 100%, $E$9)</f>
        <v>25.403600000000001</v>
      </c>
      <c r="L481" s="17">
        <f>CHOOSE(CONTROL!$C$42, 26.0177, 26.0177) * CHOOSE(CONTROL!$C$21, $C$9, 100%, $E$9)</f>
        <v>26.017700000000001</v>
      </c>
      <c r="M481" s="17">
        <f>CHOOSE(CONTROL!$C$42, 25.0924, 25.0924) * CHOOSE(CONTROL!$C$21, $C$9, 100%, $E$9)</f>
        <v>25.092400000000001</v>
      </c>
      <c r="N481" s="17">
        <f>CHOOSE(CONTROL!$C$42, 25.1087, 25.1087) * CHOOSE(CONTROL!$C$21, $C$9, 100%, $E$9)</f>
        <v>25.108699999999999</v>
      </c>
      <c r="O481" s="17">
        <f>CHOOSE(CONTROL!$C$42, 25.209, 25.209) * CHOOSE(CONTROL!$C$21, $C$9, 100%, $E$9)</f>
        <v>25.209</v>
      </c>
      <c r="P481" s="17">
        <f>CHOOSE(CONTROL!$C$42, 25.1875, 25.1875) * CHOOSE(CONTROL!$C$21, $C$9, 100%, $E$9)</f>
        <v>25.1875</v>
      </c>
      <c r="Q481" s="17">
        <f>CHOOSE(CONTROL!$C$42, 25.8037, 25.8037) * CHOOSE(CONTROL!$C$21, $C$9, 100%, $E$9)</f>
        <v>25.803699999999999</v>
      </c>
      <c r="R481" s="17">
        <f>CHOOSE(CONTROL!$C$42, 26.4552, 26.4552) * CHOOSE(CONTROL!$C$21, $C$9, 100%, $E$9)</f>
        <v>26.455200000000001</v>
      </c>
      <c r="S481" s="17">
        <f>CHOOSE(CONTROL!$C$42, 24.5299, 24.5299) * CHOOSE(CONTROL!$C$21, $C$9, 100%, $E$9)</f>
        <v>24.529900000000001</v>
      </c>
      <c r="T48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81" s="56">
        <f>(1000*CHOOSE(CONTROL!$C$42, 695, 695)*CHOOSE(CONTROL!$C$42, 0.5599, 0.5599)*CHOOSE(CONTROL!$C$42, 31, 31))/1000000</f>
        <v>12.063045499999998</v>
      </c>
      <c r="V481" s="56">
        <f>(1000*CHOOSE(CONTROL!$C$42, 500, 500)*CHOOSE(CONTROL!$C$42, 0.275, 0.275)*CHOOSE(CONTROL!$C$42, 31, 31))/1000000</f>
        <v>4.2625000000000002</v>
      </c>
      <c r="W481" s="56">
        <f>(1000*CHOOSE(CONTROL!$C$42, 0.0916, 0.0916)*CHOOSE(CONTROL!$C$42, 121.5, 121.5)*CHOOSE(CONTROL!$C$42, 31, 31))/1000000</f>
        <v>0.34501139999999997</v>
      </c>
      <c r="X481" s="56">
        <f>(31*0.2374*100000/1000000)</f>
        <v>0.73594000000000004</v>
      </c>
      <c r="Y481" s="56"/>
      <c r="Z481" s="17"/>
      <c r="AA481" s="55"/>
      <c r="AB481" s="48">
        <f>(B481*122.58+C481*297.941+D481*89.177+E481*140.302+F481*40+G481*60+H481*0+I481*100+J481*300)/(122.58+297.941+89.177+140.302+0+40+60+100+300)</f>
        <v>25.344848362434782</v>
      </c>
      <c r="AC481" s="45">
        <f>(M481*'RAP TEMPLATE-GAS AVAILABILITY'!O480+N481*'RAP TEMPLATE-GAS AVAILABILITY'!P480+O481*'RAP TEMPLATE-GAS AVAILABILITY'!Q480+P481*'RAP TEMPLATE-GAS AVAILABILITY'!R480)/('RAP TEMPLATE-GAS AVAILABILITY'!O480+'RAP TEMPLATE-GAS AVAILABILITY'!P480+'RAP TEMPLATE-GAS AVAILABILITY'!Q480+'RAP TEMPLATE-GAS AVAILABILITY'!R480)</f>
        <v>25.159869064748204</v>
      </c>
    </row>
    <row r="482" spans="1:29" ht="15.75" x14ac:dyDescent="0.25">
      <c r="A482" s="14">
        <v>55577</v>
      </c>
      <c r="B482" s="17">
        <f>CHOOSE(CONTROL!$C$42, 25.7565, 25.7565) * CHOOSE(CONTROL!$C$21, $C$9, 100%, $E$9)</f>
        <v>25.756499999999999</v>
      </c>
      <c r="C482" s="17">
        <f>CHOOSE(CONTROL!$C$42, 25.7616, 25.7616) * CHOOSE(CONTROL!$C$21, $C$9, 100%, $E$9)</f>
        <v>25.761600000000001</v>
      </c>
      <c r="D482" s="17">
        <f>CHOOSE(CONTROL!$C$42, 25.8584, 25.8584) * CHOOSE(CONTROL!$C$21, $C$9, 100%, $E$9)</f>
        <v>25.8584</v>
      </c>
      <c r="E482" s="17">
        <f>CHOOSE(CONTROL!$C$42, 25.8922, 25.8922) * CHOOSE(CONTROL!$C$21, $C$9, 100%, $E$9)</f>
        <v>25.892199999999999</v>
      </c>
      <c r="F482" s="17">
        <f>CHOOSE(CONTROL!$C$42, 25.7707, 25.7707)*CHOOSE(CONTROL!$C$21, $C$9, 100%, $E$9)</f>
        <v>25.770700000000001</v>
      </c>
      <c r="G482" s="17">
        <f>CHOOSE(CONTROL!$C$42, 25.7871, 25.7871)*CHOOSE(CONTROL!$C$21, $C$9, 100%, $E$9)</f>
        <v>25.787099999999999</v>
      </c>
      <c r="H482" s="17">
        <f>CHOOSE(CONTROL!$C$42, 25.881, 25.881) * CHOOSE(CONTROL!$C$21, $C$9, 100%, $E$9)</f>
        <v>25.881</v>
      </c>
      <c r="I482" s="17">
        <f>CHOOSE(CONTROL!$C$42, 25.8614, 25.8614)* CHOOSE(CONTROL!$C$21, $C$9, 100%, $E$9)</f>
        <v>25.8614</v>
      </c>
      <c r="J482" s="17">
        <f>CHOOSE(CONTROL!$C$42, 25.7633, 25.7633)* CHOOSE(CONTROL!$C$21, $C$9, 100%, $E$9)</f>
        <v>25.763300000000001</v>
      </c>
      <c r="K482" s="52">
        <f>CHOOSE(CONTROL!$C$42, 25.8553, 25.8553) * CHOOSE(CONTROL!$C$21, $C$9, 100%, $E$9)</f>
        <v>25.8553</v>
      </c>
      <c r="L482" s="17">
        <f>CHOOSE(CONTROL!$C$42, 26.468, 26.468) * CHOOSE(CONTROL!$C$21, $C$9, 100%, $E$9)</f>
        <v>26.468</v>
      </c>
      <c r="M482" s="17">
        <f>CHOOSE(CONTROL!$C$42, 25.5386, 25.5386) * CHOOSE(CONTROL!$C$21, $C$9, 100%, $E$9)</f>
        <v>25.538599999999999</v>
      </c>
      <c r="N482" s="17">
        <f>CHOOSE(CONTROL!$C$42, 25.5549, 25.5549) * CHOOSE(CONTROL!$C$21, $C$9, 100%, $E$9)</f>
        <v>25.5549</v>
      </c>
      <c r="O482" s="17">
        <f>CHOOSE(CONTROL!$C$42, 25.6553, 25.6553) * CHOOSE(CONTROL!$C$21, $C$9, 100%, $E$9)</f>
        <v>25.6553</v>
      </c>
      <c r="P482" s="17">
        <f>CHOOSE(CONTROL!$C$42, 25.6351, 25.6351) * CHOOSE(CONTROL!$C$21, $C$9, 100%, $E$9)</f>
        <v>25.635100000000001</v>
      </c>
      <c r="Q482" s="17">
        <f>CHOOSE(CONTROL!$C$42, 26.25, 26.25) * CHOOSE(CONTROL!$C$21, $C$9, 100%, $E$9)</f>
        <v>26.25</v>
      </c>
      <c r="R482" s="17">
        <f>CHOOSE(CONTROL!$C$42, 26.9026, 26.9026) * CHOOSE(CONTROL!$C$21, $C$9, 100%, $E$9)</f>
        <v>26.9026</v>
      </c>
      <c r="S482" s="17">
        <f>CHOOSE(CONTROL!$C$42, 24.9665, 24.9665) * CHOOSE(CONTROL!$C$21, $C$9, 100%, $E$9)</f>
        <v>24.9665</v>
      </c>
      <c r="T482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482" s="56">
        <f>(1000*CHOOSE(CONTROL!$C$42, 695, 695)*CHOOSE(CONTROL!$C$42, 0.5599, 0.5599)*CHOOSE(CONTROL!$C$42, 29, 29))/1000000</f>
        <v>11.284784499999999</v>
      </c>
      <c r="V482" s="56">
        <f>(1000*CHOOSE(CONTROL!$C$42, 500, 500)*CHOOSE(CONTROL!$C$42, 0.275, 0.275)*CHOOSE(CONTROL!$C$42, 29, 29))/1000000</f>
        <v>3.9874999999999998</v>
      </c>
      <c r="W482" s="56">
        <f>(1000*CHOOSE(CONTROL!$C$42, 0.0916, 0.0916)*CHOOSE(CONTROL!$C$42, 121.5, 121.5)*CHOOSE(CONTROL!$C$42, 29, 29))/1000000</f>
        <v>0.3227526</v>
      </c>
      <c r="X482" s="56">
        <f>(29*0.2374*100000/1000000)</f>
        <v>0.68845999999999996</v>
      </c>
      <c r="Y482" s="56"/>
      <c r="Z482" s="17"/>
      <c r="AA482" s="55"/>
      <c r="AB482" s="48">
        <f>(B482*122.58+C482*297.941+D482*89.177+E482*140.302+F482*40+G482*60+H482*0+I482*100+J482*300)/(122.58+297.941+89.177+140.302+0+40+60+100+300)</f>
        <v>25.795264884173914</v>
      </c>
      <c r="AC482" s="45">
        <f>(M482*'RAP TEMPLATE-GAS AVAILABILITY'!O481+N482*'RAP TEMPLATE-GAS AVAILABILITY'!P481+O482*'RAP TEMPLATE-GAS AVAILABILITY'!Q481+P482*'RAP TEMPLATE-GAS AVAILABILITY'!R481)/('RAP TEMPLATE-GAS AVAILABILITY'!O481+'RAP TEMPLATE-GAS AVAILABILITY'!P481+'RAP TEMPLATE-GAS AVAILABILITY'!Q481+'RAP TEMPLATE-GAS AVAILABILITY'!R481)</f>
        <v>25.606315827338126</v>
      </c>
    </row>
    <row r="483" spans="1:29" ht="15.75" x14ac:dyDescent="0.25">
      <c r="A483" s="14">
        <v>55609</v>
      </c>
      <c r="B483" s="17">
        <f>CHOOSE(CONTROL!$C$42, 25.0255, 25.0255) * CHOOSE(CONTROL!$C$21, $C$9, 100%, $E$9)</f>
        <v>25.025500000000001</v>
      </c>
      <c r="C483" s="17">
        <f>CHOOSE(CONTROL!$C$42, 25.0306, 25.0306) * CHOOSE(CONTROL!$C$21, $C$9, 100%, $E$9)</f>
        <v>25.0306</v>
      </c>
      <c r="D483" s="17">
        <f>CHOOSE(CONTROL!$C$42, 25.1274, 25.1274) * CHOOSE(CONTROL!$C$21, $C$9, 100%, $E$9)</f>
        <v>25.127400000000002</v>
      </c>
      <c r="E483" s="17">
        <f>CHOOSE(CONTROL!$C$42, 25.1612, 25.1612) * CHOOSE(CONTROL!$C$21, $C$9, 100%, $E$9)</f>
        <v>25.161200000000001</v>
      </c>
      <c r="F483" s="17">
        <f>CHOOSE(CONTROL!$C$42, 25.0391, 25.0391)*CHOOSE(CONTROL!$C$21, $C$9, 100%, $E$9)</f>
        <v>25.039100000000001</v>
      </c>
      <c r="G483" s="17">
        <f>CHOOSE(CONTROL!$C$42, 25.0554, 25.0554)*CHOOSE(CONTROL!$C$21, $C$9, 100%, $E$9)</f>
        <v>25.055399999999999</v>
      </c>
      <c r="H483" s="17">
        <f>CHOOSE(CONTROL!$C$42, 25.1501, 25.1501) * CHOOSE(CONTROL!$C$21, $C$9, 100%, $E$9)</f>
        <v>25.150099999999998</v>
      </c>
      <c r="I483" s="17">
        <f>CHOOSE(CONTROL!$C$42, 25.1281, 25.1281)* CHOOSE(CONTROL!$C$21, $C$9, 100%, $E$9)</f>
        <v>25.1281</v>
      </c>
      <c r="J483" s="17">
        <f>CHOOSE(CONTROL!$C$42, 25.0317, 25.0317)* CHOOSE(CONTROL!$C$21, $C$9, 100%, $E$9)</f>
        <v>25.031700000000001</v>
      </c>
      <c r="K483" s="52">
        <f>CHOOSE(CONTROL!$C$42, 25.1221, 25.1221) * CHOOSE(CONTROL!$C$21, $C$9, 100%, $E$9)</f>
        <v>25.1221</v>
      </c>
      <c r="L483" s="17">
        <f>CHOOSE(CONTROL!$C$42, 25.7371, 25.7371) * CHOOSE(CONTROL!$C$21, $C$9, 100%, $E$9)</f>
        <v>25.737100000000002</v>
      </c>
      <c r="M483" s="17">
        <f>CHOOSE(CONTROL!$C$42, 24.8136, 24.8136) * CHOOSE(CONTROL!$C$21, $C$9, 100%, $E$9)</f>
        <v>24.813600000000001</v>
      </c>
      <c r="N483" s="17">
        <f>CHOOSE(CONTROL!$C$42, 24.8297, 24.8297) * CHOOSE(CONTROL!$C$21, $C$9, 100%, $E$9)</f>
        <v>24.829699999999999</v>
      </c>
      <c r="O483" s="17">
        <f>CHOOSE(CONTROL!$C$42, 24.9309, 24.9309) * CHOOSE(CONTROL!$C$21, $C$9, 100%, $E$9)</f>
        <v>24.930900000000001</v>
      </c>
      <c r="P483" s="17">
        <f>CHOOSE(CONTROL!$C$42, 24.9085, 24.9085) * CHOOSE(CONTROL!$C$21, $C$9, 100%, $E$9)</f>
        <v>24.9085</v>
      </c>
      <c r="Q483" s="17">
        <f>CHOOSE(CONTROL!$C$42, 25.5256, 25.5256) * CHOOSE(CONTROL!$C$21, $C$9, 100%, $E$9)</f>
        <v>25.525600000000001</v>
      </c>
      <c r="R483" s="17">
        <f>CHOOSE(CONTROL!$C$42, 26.1764, 26.1764) * CHOOSE(CONTROL!$C$21, $C$9, 100%, $E$9)</f>
        <v>26.176400000000001</v>
      </c>
      <c r="S483" s="17">
        <f>CHOOSE(CONTROL!$C$42, 24.2577, 24.2577) * CHOOSE(CONTROL!$C$21, $C$9, 100%, $E$9)</f>
        <v>24.2577</v>
      </c>
      <c r="T48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83" s="56">
        <f>(1000*CHOOSE(CONTROL!$C$42, 695, 695)*CHOOSE(CONTROL!$C$42, 0.5599, 0.5599)*CHOOSE(CONTROL!$C$42, 31, 31))/1000000</f>
        <v>12.063045499999998</v>
      </c>
      <c r="V483" s="56">
        <f>(1000*CHOOSE(CONTROL!$C$42, 500, 500)*CHOOSE(CONTROL!$C$42, 0.275, 0.275)*CHOOSE(CONTROL!$C$42, 31, 31))/1000000</f>
        <v>4.2625000000000002</v>
      </c>
      <c r="W483" s="56">
        <f>(1000*CHOOSE(CONTROL!$C$42, 0.0916, 0.0916)*CHOOSE(CONTROL!$C$42, 121.5, 121.5)*CHOOSE(CONTROL!$C$42, 31, 31))/1000000</f>
        <v>0.34501139999999997</v>
      </c>
      <c r="X483" s="56">
        <f>(31*0.2374*100000/1000000)</f>
        <v>0.73594000000000004</v>
      </c>
      <c r="Y483" s="56"/>
      <c r="Z483" s="17"/>
      <c r="AA483" s="55"/>
      <c r="AB483" s="48">
        <f>(B483*122.58+C483*297.941+D483*89.177+E483*140.302+F483*40+G483*60+H483*0+I483*100+J483*300)/(122.58+297.941+89.177+140.302+0+40+60+100+300)</f>
        <v>25.063850971130439</v>
      </c>
      <c r="AC483" s="45">
        <f>(M483*'RAP TEMPLATE-GAS AVAILABILITY'!O482+N483*'RAP TEMPLATE-GAS AVAILABILITY'!P482+O483*'RAP TEMPLATE-GAS AVAILABILITY'!Q482+P483*'RAP TEMPLATE-GAS AVAILABILITY'!R482)/('RAP TEMPLATE-GAS AVAILABILITY'!O482+'RAP TEMPLATE-GAS AVAILABILITY'!P482+'RAP TEMPLATE-GAS AVAILABILITY'!Q482+'RAP TEMPLATE-GAS AVAILABILITY'!R482)</f>
        <v>24.881346043165465</v>
      </c>
    </row>
    <row r="484" spans="1:29" ht="15.75" x14ac:dyDescent="0.25">
      <c r="A484" s="14">
        <v>55639</v>
      </c>
      <c r="B484" s="17">
        <f>CHOOSE(CONTROL!$C$42, 24.9516, 24.9516) * CHOOSE(CONTROL!$C$21, $C$9, 100%, $E$9)</f>
        <v>24.951599999999999</v>
      </c>
      <c r="C484" s="17">
        <f>CHOOSE(CONTROL!$C$42, 24.9561, 24.9561) * CHOOSE(CONTROL!$C$21, $C$9, 100%, $E$9)</f>
        <v>24.956099999999999</v>
      </c>
      <c r="D484" s="17">
        <f>CHOOSE(CONTROL!$C$42, 25.2037, 25.2037) * CHOOSE(CONTROL!$C$21, $C$9, 100%, $E$9)</f>
        <v>25.203700000000001</v>
      </c>
      <c r="E484" s="17">
        <f>CHOOSE(CONTROL!$C$42, 25.2355, 25.2355) * CHOOSE(CONTROL!$C$21, $C$9, 100%, $E$9)</f>
        <v>25.235499999999998</v>
      </c>
      <c r="F484" s="17">
        <f>CHOOSE(CONTROL!$C$42, 24.9633, 24.9633)*CHOOSE(CONTROL!$C$21, $C$9, 100%, $E$9)</f>
        <v>24.9633</v>
      </c>
      <c r="G484" s="17">
        <f>CHOOSE(CONTROL!$C$42, 24.9792, 24.9792)*CHOOSE(CONTROL!$C$21, $C$9, 100%, $E$9)</f>
        <v>24.979199999999999</v>
      </c>
      <c r="H484" s="17">
        <f>CHOOSE(CONTROL!$C$42, 25.2249, 25.2249) * CHOOSE(CONTROL!$C$21, $C$9, 100%, $E$9)</f>
        <v>25.224900000000002</v>
      </c>
      <c r="I484" s="17">
        <f>CHOOSE(CONTROL!$C$42, 25.0517, 25.0517)* CHOOSE(CONTROL!$C$21, $C$9, 100%, $E$9)</f>
        <v>25.0517</v>
      </c>
      <c r="J484" s="17">
        <f>CHOOSE(CONTROL!$C$42, 24.9559, 24.9559)* CHOOSE(CONTROL!$C$21, $C$9, 100%, $E$9)</f>
        <v>24.9559</v>
      </c>
      <c r="K484" s="52">
        <f>CHOOSE(CONTROL!$C$42, 25.0456, 25.0456) * CHOOSE(CONTROL!$C$21, $C$9, 100%, $E$9)</f>
        <v>25.0456</v>
      </c>
      <c r="L484" s="17">
        <f>CHOOSE(CONTROL!$C$42, 25.8119, 25.8119) * CHOOSE(CONTROL!$C$21, $C$9, 100%, $E$9)</f>
        <v>25.811900000000001</v>
      </c>
      <c r="M484" s="17">
        <f>CHOOSE(CONTROL!$C$42, 24.7384, 24.7384) * CHOOSE(CONTROL!$C$21, $C$9, 100%, $E$9)</f>
        <v>24.738399999999999</v>
      </c>
      <c r="N484" s="17">
        <f>CHOOSE(CONTROL!$C$42, 24.7542, 24.7542) * CHOOSE(CONTROL!$C$21, $C$9, 100%, $E$9)</f>
        <v>24.754200000000001</v>
      </c>
      <c r="O484" s="17">
        <f>CHOOSE(CONTROL!$C$42, 25.0051, 25.0051) * CHOOSE(CONTROL!$C$21, $C$9, 100%, $E$9)</f>
        <v>25.005099999999999</v>
      </c>
      <c r="P484" s="17">
        <f>CHOOSE(CONTROL!$C$42, 24.8327, 24.8327) * CHOOSE(CONTROL!$C$21, $C$9, 100%, $E$9)</f>
        <v>24.832699999999999</v>
      </c>
      <c r="Q484" s="17">
        <f>CHOOSE(CONTROL!$C$42, 25.5998, 25.5998) * CHOOSE(CONTROL!$C$21, $C$9, 100%, $E$9)</f>
        <v>25.599799999999998</v>
      </c>
      <c r="R484" s="17">
        <f>CHOOSE(CONTROL!$C$42, 26.2508, 26.2508) * CHOOSE(CONTROL!$C$21, $C$9, 100%, $E$9)</f>
        <v>26.250800000000002</v>
      </c>
      <c r="S484" s="17">
        <f>CHOOSE(CONTROL!$C$42, 24.1853, 24.1853) * CHOOSE(CONTROL!$C$21, $C$9, 100%, $E$9)</f>
        <v>24.185300000000002</v>
      </c>
      <c r="T48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84" s="56">
        <f>(1000*CHOOSE(CONTROL!$C$42, 695, 695)*CHOOSE(CONTROL!$C$42, 0.5599, 0.5599)*CHOOSE(CONTROL!$C$42, 30, 30))/1000000</f>
        <v>11.673914999999997</v>
      </c>
      <c r="V484" s="56">
        <f>(1000*CHOOSE(CONTROL!$C$42, 500, 500)*CHOOSE(CONTROL!$C$42, 0.275, 0.275)*CHOOSE(CONTROL!$C$42, 30, 30))/1000000</f>
        <v>4.125</v>
      </c>
      <c r="W484" s="56">
        <f>(1000*CHOOSE(CONTROL!$C$42, 0.0916, 0.0916)*CHOOSE(CONTROL!$C$42, 121.5, 121.5)*CHOOSE(CONTROL!$C$42, 30, 30))/1000000</f>
        <v>0.33388200000000001</v>
      </c>
      <c r="X484" s="56">
        <f>(30*0.1790888*145000/1000000)+(30*0.2374*100000/1000000)</f>
        <v>1.4912362799999999</v>
      </c>
      <c r="Y484" s="56"/>
      <c r="Z484" s="17"/>
      <c r="AA484" s="55"/>
      <c r="AB484" s="48">
        <f>(B484*141.293+C484*267.993+D484*115.016+E484*189.698+F484*40+G484*85+H484*0+I484*100+J484*300)/(141.293+267.993+115.016+189.698+0+40+85+100+300)</f>
        <v>25.030833869491524</v>
      </c>
      <c r="AC484" s="45">
        <f>(M484*'RAP TEMPLATE-GAS AVAILABILITY'!O483+N484*'RAP TEMPLATE-GAS AVAILABILITY'!P483+O484*'RAP TEMPLATE-GAS AVAILABILITY'!Q483+P484*'RAP TEMPLATE-GAS AVAILABILITY'!R483)/('RAP TEMPLATE-GAS AVAILABILITY'!O483+'RAP TEMPLATE-GAS AVAILABILITY'!P483+'RAP TEMPLATE-GAS AVAILABILITY'!Q483+'RAP TEMPLATE-GAS AVAILABILITY'!R483)</f>
        <v>24.830435251798562</v>
      </c>
    </row>
    <row r="485" spans="1:29" ht="15.75" x14ac:dyDescent="0.25">
      <c r="A485" s="14">
        <v>55670</v>
      </c>
      <c r="B485" s="17">
        <f>CHOOSE(CONTROL!$C$42, 25.1731, 25.1731) * CHOOSE(CONTROL!$C$21, $C$9, 100%, $E$9)</f>
        <v>25.173100000000002</v>
      </c>
      <c r="C485" s="17">
        <f>CHOOSE(CONTROL!$C$42, 25.1811, 25.1811) * CHOOSE(CONTROL!$C$21, $C$9, 100%, $E$9)</f>
        <v>25.181100000000001</v>
      </c>
      <c r="D485" s="17">
        <f>CHOOSE(CONTROL!$C$42, 25.4256, 25.4256) * CHOOSE(CONTROL!$C$21, $C$9, 100%, $E$9)</f>
        <v>25.425599999999999</v>
      </c>
      <c r="E485" s="17">
        <f>CHOOSE(CONTROL!$C$42, 25.4567, 25.4567) * CHOOSE(CONTROL!$C$21, $C$9, 100%, $E$9)</f>
        <v>25.456700000000001</v>
      </c>
      <c r="F485" s="17">
        <f>CHOOSE(CONTROL!$C$42, 25.1837, 25.1837)*CHOOSE(CONTROL!$C$21, $C$9, 100%, $E$9)</f>
        <v>25.183700000000002</v>
      </c>
      <c r="G485" s="17">
        <f>CHOOSE(CONTROL!$C$42, 25.1999, 25.1999)*CHOOSE(CONTROL!$C$21, $C$9, 100%, $E$9)</f>
        <v>25.1999</v>
      </c>
      <c r="H485" s="17">
        <f>CHOOSE(CONTROL!$C$42, 25.4451, 25.4451) * CHOOSE(CONTROL!$C$21, $C$9, 100%, $E$9)</f>
        <v>25.4451</v>
      </c>
      <c r="I485" s="17">
        <f>CHOOSE(CONTROL!$C$42, 25.2725, 25.2725)* CHOOSE(CONTROL!$C$21, $C$9, 100%, $E$9)</f>
        <v>25.272500000000001</v>
      </c>
      <c r="J485" s="17">
        <f>CHOOSE(CONTROL!$C$42, 25.1763, 25.1763)* CHOOSE(CONTROL!$C$21, $C$9, 100%, $E$9)</f>
        <v>25.176300000000001</v>
      </c>
      <c r="K485" s="52">
        <f>CHOOSE(CONTROL!$C$42, 25.2665, 25.2665) * CHOOSE(CONTROL!$C$21, $C$9, 100%, $E$9)</f>
        <v>25.266500000000001</v>
      </c>
      <c r="L485" s="17">
        <f>CHOOSE(CONTROL!$C$42, 26.0321, 26.0321) * CHOOSE(CONTROL!$C$21, $C$9, 100%, $E$9)</f>
        <v>26.0321</v>
      </c>
      <c r="M485" s="17">
        <f>CHOOSE(CONTROL!$C$42, 24.9568, 24.9568) * CHOOSE(CONTROL!$C$21, $C$9, 100%, $E$9)</f>
        <v>24.956800000000001</v>
      </c>
      <c r="N485" s="17">
        <f>CHOOSE(CONTROL!$C$42, 24.9729, 24.9729) * CHOOSE(CONTROL!$C$21, $C$9, 100%, $E$9)</f>
        <v>24.972899999999999</v>
      </c>
      <c r="O485" s="17">
        <f>CHOOSE(CONTROL!$C$42, 25.2232, 25.2232) * CHOOSE(CONTROL!$C$21, $C$9, 100%, $E$9)</f>
        <v>25.223199999999999</v>
      </c>
      <c r="P485" s="17">
        <f>CHOOSE(CONTROL!$C$42, 25.0516, 25.0516) * CHOOSE(CONTROL!$C$21, $C$9, 100%, $E$9)</f>
        <v>25.051600000000001</v>
      </c>
      <c r="Q485" s="17">
        <f>CHOOSE(CONTROL!$C$42, 25.8179, 25.8179) * CHOOSE(CONTROL!$C$21, $C$9, 100%, $E$9)</f>
        <v>25.817900000000002</v>
      </c>
      <c r="R485" s="17">
        <f>CHOOSE(CONTROL!$C$42, 26.4695, 26.4695) * CHOOSE(CONTROL!$C$21, $C$9, 100%, $E$9)</f>
        <v>26.4695</v>
      </c>
      <c r="S485" s="17">
        <f>CHOOSE(CONTROL!$C$42, 24.3988, 24.3988) * CHOOSE(CONTROL!$C$21, $C$9, 100%, $E$9)</f>
        <v>24.398800000000001</v>
      </c>
      <c r="T48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85" s="56">
        <f>(1000*CHOOSE(CONTROL!$C$42, 695, 695)*CHOOSE(CONTROL!$C$42, 0.5599, 0.5599)*CHOOSE(CONTROL!$C$42, 31, 31))/1000000</f>
        <v>12.063045499999998</v>
      </c>
      <c r="V485" s="56">
        <f>(1000*CHOOSE(CONTROL!$C$42, 500, 500)*CHOOSE(CONTROL!$C$42, 0.275, 0.275)*CHOOSE(CONTROL!$C$42, 31, 31))/1000000</f>
        <v>4.2625000000000002</v>
      </c>
      <c r="W485" s="56">
        <f>(1000*CHOOSE(CONTROL!$C$42, 0.0916, 0.0916)*CHOOSE(CONTROL!$C$42, 121.5, 121.5)*CHOOSE(CONTROL!$C$42, 31, 31))/1000000</f>
        <v>0.34501139999999997</v>
      </c>
      <c r="X485" s="56">
        <f>(31*0.1790888*145000/1000000)+(31*0.2374*100000/1000000)</f>
        <v>1.5409441560000001</v>
      </c>
      <c r="Y485" s="56"/>
      <c r="Z485" s="17"/>
      <c r="AA485" s="55"/>
      <c r="AB485" s="48">
        <f>(B485*194.205+C485*267.466+D485*133.845+E485*153.484+F485*40+G485*85+H485*0+I485*100+J485*300)/(194.205+267.466+133.845+153.484+0+40+85+100+300)</f>
        <v>25.246149963029829</v>
      </c>
      <c r="AC485" s="45">
        <f>(M485*'RAP TEMPLATE-GAS AVAILABILITY'!O484+N485*'RAP TEMPLATE-GAS AVAILABILITY'!P484+O485*'RAP TEMPLATE-GAS AVAILABILITY'!Q484+P485*'RAP TEMPLATE-GAS AVAILABILITY'!R484)/('RAP TEMPLATE-GAS AVAILABILITY'!O484+'RAP TEMPLATE-GAS AVAILABILITY'!P484+'RAP TEMPLATE-GAS AVAILABILITY'!Q484+'RAP TEMPLATE-GAS AVAILABILITY'!R484)</f>
        <v>25.048892086330934</v>
      </c>
    </row>
    <row r="486" spans="1:29" ht="15.75" x14ac:dyDescent="0.25">
      <c r="A486" s="14">
        <v>55700</v>
      </c>
      <c r="B486" s="17">
        <f>CHOOSE(CONTROL!$C$42, 25.8868, 25.8868) * CHOOSE(CONTROL!$C$21, $C$9, 100%, $E$9)</f>
        <v>25.886800000000001</v>
      </c>
      <c r="C486" s="17">
        <f>CHOOSE(CONTROL!$C$42, 25.8948, 25.8948) * CHOOSE(CONTROL!$C$21, $C$9, 100%, $E$9)</f>
        <v>25.8948</v>
      </c>
      <c r="D486" s="17">
        <f>CHOOSE(CONTROL!$C$42, 26.1393, 26.1393) * CHOOSE(CONTROL!$C$21, $C$9, 100%, $E$9)</f>
        <v>26.139299999999999</v>
      </c>
      <c r="E486" s="17">
        <f>CHOOSE(CONTROL!$C$42, 26.1704, 26.1704) * CHOOSE(CONTROL!$C$21, $C$9, 100%, $E$9)</f>
        <v>26.170400000000001</v>
      </c>
      <c r="F486" s="17">
        <f>CHOOSE(CONTROL!$C$42, 25.8977, 25.8977)*CHOOSE(CONTROL!$C$21, $C$9, 100%, $E$9)</f>
        <v>25.8977</v>
      </c>
      <c r="G486" s="17">
        <f>CHOOSE(CONTROL!$C$42, 25.914, 25.914)*CHOOSE(CONTROL!$C$21, $C$9, 100%, $E$9)</f>
        <v>25.914000000000001</v>
      </c>
      <c r="H486" s="17">
        <f>CHOOSE(CONTROL!$C$42, 26.1588, 26.1588) * CHOOSE(CONTROL!$C$21, $C$9, 100%, $E$9)</f>
        <v>26.158799999999999</v>
      </c>
      <c r="I486" s="17">
        <f>CHOOSE(CONTROL!$C$42, 25.9884, 25.9884)* CHOOSE(CONTROL!$C$21, $C$9, 100%, $E$9)</f>
        <v>25.988399999999999</v>
      </c>
      <c r="J486" s="17">
        <f>CHOOSE(CONTROL!$C$42, 25.8903, 25.8903)* CHOOSE(CONTROL!$C$21, $C$9, 100%, $E$9)</f>
        <v>25.8903</v>
      </c>
      <c r="K486" s="52">
        <f>CHOOSE(CONTROL!$C$42, 25.9824, 25.9824) * CHOOSE(CONTROL!$C$21, $C$9, 100%, $E$9)</f>
        <v>25.982399999999998</v>
      </c>
      <c r="L486" s="17">
        <f>CHOOSE(CONTROL!$C$42, 26.7458, 26.7458) * CHOOSE(CONTROL!$C$21, $C$9, 100%, $E$9)</f>
        <v>26.745799999999999</v>
      </c>
      <c r="M486" s="17">
        <f>CHOOSE(CONTROL!$C$42, 25.6645, 25.6645) * CHOOSE(CONTROL!$C$21, $C$9, 100%, $E$9)</f>
        <v>25.6645</v>
      </c>
      <c r="N486" s="17">
        <f>CHOOSE(CONTROL!$C$42, 25.6806, 25.6806) * CHOOSE(CONTROL!$C$21, $C$9, 100%, $E$9)</f>
        <v>25.680599999999998</v>
      </c>
      <c r="O486" s="17">
        <f>CHOOSE(CONTROL!$C$42, 25.9305, 25.9305) * CHOOSE(CONTROL!$C$21, $C$9, 100%, $E$9)</f>
        <v>25.930499999999999</v>
      </c>
      <c r="P486" s="17">
        <f>CHOOSE(CONTROL!$C$42, 25.761, 25.761) * CHOOSE(CONTROL!$C$21, $C$9, 100%, $E$9)</f>
        <v>25.760999999999999</v>
      </c>
      <c r="Q486" s="17">
        <f>CHOOSE(CONTROL!$C$42, 26.5252, 26.5252) * CHOOSE(CONTROL!$C$21, $C$9, 100%, $E$9)</f>
        <v>26.525200000000002</v>
      </c>
      <c r="R486" s="17">
        <f>CHOOSE(CONTROL!$C$42, 27.1785, 27.1785) * CHOOSE(CONTROL!$C$21, $C$9, 100%, $E$9)</f>
        <v>27.1785</v>
      </c>
      <c r="S486" s="17">
        <f>CHOOSE(CONTROL!$C$42, 25.0909, 25.0909) * CHOOSE(CONTROL!$C$21, $C$9, 100%, $E$9)</f>
        <v>25.090900000000001</v>
      </c>
      <c r="T48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86" s="56">
        <f>(1000*CHOOSE(CONTROL!$C$42, 695, 695)*CHOOSE(CONTROL!$C$42, 0.5599, 0.5599)*CHOOSE(CONTROL!$C$42, 30, 30))/1000000</f>
        <v>11.673914999999997</v>
      </c>
      <c r="V486" s="56">
        <f>(1000*CHOOSE(CONTROL!$C$42, 500, 500)*CHOOSE(CONTROL!$C$42, 0.275, 0.275)*CHOOSE(CONTROL!$C$42, 30, 30))/1000000</f>
        <v>4.125</v>
      </c>
      <c r="W486" s="56">
        <f>(1000*CHOOSE(CONTROL!$C$42, 0.0916, 0.0916)*CHOOSE(CONTROL!$C$42, 121.5, 121.5)*CHOOSE(CONTROL!$C$42, 30, 30))/1000000</f>
        <v>0.33388200000000001</v>
      </c>
      <c r="X486" s="56">
        <f>(30*0.1790888*145000/1000000)+(30*0.2374*100000/1000000)</f>
        <v>1.4912362799999999</v>
      </c>
      <c r="Y486" s="56"/>
      <c r="Z486" s="17"/>
      <c r="AA486" s="55"/>
      <c r="AB486" s="48">
        <f>(B486*194.205+C486*267.466+D486*133.845+E486*153.484+F486*40+G486*85+H486*0+I486*100+J486*300)/(194.205+267.466+133.845+153.484+0+40+85+100+300)</f>
        <v>25.960129397880692</v>
      </c>
      <c r="AC486" s="45">
        <f>(M486*'RAP TEMPLATE-GAS AVAILABILITY'!O485+N486*'RAP TEMPLATE-GAS AVAILABILITY'!P485+O486*'RAP TEMPLATE-GAS AVAILABILITY'!Q485+P486*'RAP TEMPLATE-GAS AVAILABILITY'!R485)/('RAP TEMPLATE-GAS AVAILABILITY'!O485+'RAP TEMPLATE-GAS AVAILABILITY'!P485+'RAP TEMPLATE-GAS AVAILABILITY'!Q485+'RAP TEMPLATE-GAS AVAILABILITY'!R485)</f>
        <v>25.756724460431652</v>
      </c>
    </row>
    <row r="487" spans="1:29" ht="15.75" x14ac:dyDescent="0.25">
      <c r="A487" s="14">
        <v>55731</v>
      </c>
      <c r="B487" s="17">
        <f>CHOOSE(CONTROL!$C$42, 25.3904, 25.3904) * CHOOSE(CONTROL!$C$21, $C$9, 100%, $E$9)</f>
        <v>25.3904</v>
      </c>
      <c r="C487" s="17">
        <f>CHOOSE(CONTROL!$C$42, 25.3984, 25.3984) * CHOOSE(CONTROL!$C$21, $C$9, 100%, $E$9)</f>
        <v>25.398399999999999</v>
      </c>
      <c r="D487" s="17">
        <f>CHOOSE(CONTROL!$C$42, 25.6429, 25.6429) * CHOOSE(CONTROL!$C$21, $C$9, 100%, $E$9)</f>
        <v>25.642900000000001</v>
      </c>
      <c r="E487" s="17">
        <f>CHOOSE(CONTROL!$C$42, 25.6741, 25.6741) * CHOOSE(CONTROL!$C$21, $C$9, 100%, $E$9)</f>
        <v>25.674099999999999</v>
      </c>
      <c r="F487" s="17">
        <f>CHOOSE(CONTROL!$C$42, 25.4018, 25.4018)*CHOOSE(CONTROL!$C$21, $C$9, 100%, $E$9)</f>
        <v>25.401800000000001</v>
      </c>
      <c r="G487" s="17">
        <f>CHOOSE(CONTROL!$C$42, 25.4182, 25.4182)*CHOOSE(CONTROL!$C$21, $C$9, 100%, $E$9)</f>
        <v>25.418199999999999</v>
      </c>
      <c r="H487" s="17">
        <f>CHOOSE(CONTROL!$C$42, 25.6624, 25.6624) * CHOOSE(CONTROL!$C$21, $C$9, 100%, $E$9)</f>
        <v>25.662400000000002</v>
      </c>
      <c r="I487" s="17">
        <f>CHOOSE(CONTROL!$C$42, 25.4905, 25.4905)* CHOOSE(CONTROL!$C$21, $C$9, 100%, $E$9)</f>
        <v>25.490500000000001</v>
      </c>
      <c r="J487" s="17">
        <f>CHOOSE(CONTROL!$C$42, 25.3944, 25.3944)* CHOOSE(CONTROL!$C$21, $C$9, 100%, $E$9)</f>
        <v>25.394400000000001</v>
      </c>
      <c r="K487" s="52">
        <f>CHOOSE(CONTROL!$C$42, 25.4844, 25.4844) * CHOOSE(CONTROL!$C$21, $C$9, 100%, $E$9)</f>
        <v>25.484400000000001</v>
      </c>
      <c r="L487" s="17">
        <f>CHOOSE(CONTROL!$C$42, 26.2494, 26.2494) * CHOOSE(CONTROL!$C$21, $C$9, 100%, $E$9)</f>
        <v>26.249400000000001</v>
      </c>
      <c r="M487" s="17">
        <f>CHOOSE(CONTROL!$C$42, 25.173, 25.173) * CHOOSE(CONTROL!$C$21, $C$9, 100%, $E$9)</f>
        <v>25.172999999999998</v>
      </c>
      <c r="N487" s="17">
        <f>CHOOSE(CONTROL!$C$42, 25.1893, 25.1893) * CHOOSE(CONTROL!$C$21, $C$9, 100%, $E$9)</f>
        <v>25.189299999999999</v>
      </c>
      <c r="O487" s="17">
        <f>CHOOSE(CONTROL!$C$42, 25.4386, 25.4386) * CHOOSE(CONTROL!$C$21, $C$9, 100%, $E$9)</f>
        <v>25.438600000000001</v>
      </c>
      <c r="P487" s="17">
        <f>CHOOSE(CONTROL!$C$42, 25.2676, 25.2676) * CHOOSE(CONTROL!$C$21, $C$9, 100%, $E$9)</f>
        <v>25.267600000000002</v>
      </c>
      <c r="Q487" s="17">
        <f>CHOOSE(CONTROL!$C$42, 26.0333, 26.0333) * CHOOSE(CONTROL!$C$21, $C$9, 100%, $E$9)</f>
        <v>26.033300000000001</v>
      </c>
      <c r="R487" s="17">
        <f>CHOOSE(CONTROL!$C$42, 26.6854, 26.6854) * CHOOSE(CONTROL!$C$21, $C$9, 100%, $E$9)</f>
        <v>26.685400000000001</v>
      </c>
      <c r="S487" s="17">
        <f>CHOOSE(CONTROL!$C$42, 24.6095, 24.6095) * CHOOSE(CONTROL!$C$21, $C$9, 100%, $E$9)</f>
        <v>24.609500000000001</v>
      </c>
      <c r="T48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87" s="56">
        <f>(1000*CHOOSE(CONTROL!$C$42, 695, 695)*CHOOSE(CONTROL!$C$42, 0.5599, 0.5599)*CHOOSE(CONTROL!$C$42, 31, 31))/1000000</f>
        <v>12.063045499999998</v>
      </c>
      <c r="V487" s="56">
        <f>(1000*CHOOSE(CONTROL!$C$42, 500, 500)*CHOOSE(CONTROL!$C$42, 0.275, 0.275)*CHOOSE(CONTROL!$C$42, 31, 31))/1000000</f>
        <v>4.2625000000000002</v>
      </c>
      <c r="W487" s="56">
        <f>(1000*CHOOSE(CONTROL!$C$42, 0.0916, 0.0916)*CHOOSE(CONTROL!$C$42, 121.5, 121.5)*CHOOSE(CONTROL!$C$42, 31, 31))/1000000</f>
        <v>0.34501139999999997</v>
      </c>
      <c r="X487" s="56">
        <f>(31*0.1790888*145000/1000000)+(31*0.2374*100000/1000000)</f>
        <v>1.5409441560000001</v>
      </c>
      <c r="Y487" s="56"/>
      <c r="Z487" s="17"/>
      <c r="AA487" s="55"/>
      <c r="AB487" s="48">
        <f>(B487*194.205+C487*267.466+D487*133.845+E487*153.484+F487*40+G487*85+H487*0+I487*100+J487*300)/(194.205+267.466+133.845+153.484+0+40+85+100+300)</f>
        <v>25.463797175274724</v>
      </c>
      <c r="AC487" s="45">
        <f>(M487*'RAP TEMPLATE-GAS AVAILABILITY'!O486+N487*'RAP TEMPLATE-GAS AVAILABILITY'!P486+O487*'RAP TEMPLATE-GAS AVAILABILITY'!Q486+P487*'RAP TEMPLATE-GAS AVAILABILITY'!R486)/('RAP TEMPLATE-GAS AVAILABILITY'!O486+'RAP TEMPLATE-GAS AVAILABILITY'!P486+'RAP TEMPLATE-GAS AVAILABILITY'!Q486+'RAP TEMPLATE-GAS AVAILABILITY'!R486)</f>
        <v>25.264884892086332</v>
      </c>
    </row>
    <row r="488" spans="1:29" ht="15.75" x14ac:dyDescent="0.25">
      <c r="A488" s="14">
        <v>55762</v>
      </c>
      <c r="B488" s="17">
        <f>CHOOSE(CONTROL!$C$42, 24.1369, 24.1369) * CHOOSE(CONTROL!$C$21, $C$9, 100%, $E$9)</f>
        <v>24.136900000000001</v>
      </c>
      <c r="C488" s="17">
        <f>CHOOSE(CONTROL!$C$42, 24.1449, 24.1449) * CHOOSE(CONTROL!$C$21, $C$9, 100%, $E$9)</f>
        <v>24.1449</v>
      </c>
      <c r="D488" s="17">
        <f>CHOOSE(CONTROL!$C$42, 24.3893, 24.3893) * CHOOSE(CONTROL!$C$21, $C$9, 100%, $E$9)</f>
        <v>24.389299999999999</v>
      </c>
      <c r="E488" s="17">
        <f>CHOOSE(CONTROL!$C$42, 24.4205, 24.4205) * CHOOSE(CONTROL!$C$21, $C$9, 100%, $E$9)</f>
        <v>24.420500000000001</v>
      </c>
      <c r="F488" s="17">
        <f>CHOOSE(CONTROL!$C$42, 24.1485, 24.1485)*CHOOSE(CONTROL!$C$21, $C$9, 100%, $E$9)</f>
        <v>24.148499999999999</v>
      </c>
      <c r="G488" s="17">
        <f>CHOOSE(CONTROL!$C$42, 24.165, 24.165)*CHOOSE(CONTROL!$C$21, $C$9, 100%, $E$9)</f>
        <v>24.164999999999999</v>
      </c>
      <c r="H488" s="17">
        <f>CHOOSE(CONTROL!$C$42, 24.4089, 24.4089) * CHOOSE(CONTROL!$C$21, $C$9, 100%, $E$9)</f>
        <v>24.408899999999999</v>
      </c>
      <c r="I488" s="17">
        <f>CHOOSE(CONTROL!$C$42, 24.2331, 24.2331)* CHOOSE(CONTROL!$C$21, $C$9, 100%, $E$9)</f>
        <v>24.2331</v>
      </c>
      <c r="J488" s="17">
        <f>CHOOSE(CONTROL!$C$42, 24.1411, 24.1411)* CHOOSE(CONTROL!$C$21, $C$9, 100%, $E$9)</f>
        <v>24.141100000000002</v>
      </c>
      <c r="K488" s="52">
        <f>CHOOSE(CONTROL!$C$42, 24.227, 24.227) * CHOOSE(CONTROL!$C$21, $C$9, 100%, $E$9)</f>
        <v>24.227</v>
      </c>
      <c r="L488" s="17">
        <f>CHOOSE(CONTROL!$C$42, 24.9959, 24.9959) * CHOOSE(CONTROL!$C$21, $C$9, 100%, $E$9)</f>
        <v>24.995899999999999</v>
      </c>
      <c r="M488" s="17">
        <f>CHOOSE(CONTROL!$C$42, 23.931, 23.931) * CHOOSE(CONTROL!$C$21, $C$9, 100%, $E$9)</f>
        <v>23.931000000000001</v>
      </c>
      <c r="N488" s="17">
        <f>CHOOSE(CONTROL!$C$42, 23.9473, 23.9473) * CHOOSE(CONTROL!$C$21, $C$9, 100%, $E$9)</f>
        <v>23.947299999999998</v>
      </c>
      <c r="O488" s="17">
        <f>CHOOSE(CONTROL!$C$42, 24.1963, 24.1963) * CHOOSE(CONTROL!$C$21, $C$9, 100%, $E$9)</f>
        <v>24.196300000000001</v>
      </c>
      <c r="P488" s="17">
        <f>CHOOSE(CONTROL!$C$42, 24.0215, 24.0215) * CHOOSE(CONTROL!$C$21, $C$9, 100%, $E$9)</f>
        <v>24.0215</v>
      </c>
      <c r="Q488" s="17">
        <f>CHOOSE(CONTROL!$C$42, 24.791, 24.791) * CHOOSE(CONTROL!$C$21, $C$9, 100%, $E$9)</f>
        <v>24.791</v>
      </c>
      <c r="R488" s="17">
        <f>CHOOSE(CONTROL!$C$42, 25.44, 25.44) * CHOOSE(CONTROL!$C$21, $C$9, 100%, $E$9)</f>
        <v>25.44</v>
      </c>
      <c r="S488" s="17">
        <f>CHOOSE(CONTROL!$C$42, 23.394, 23.394) * CHOOSE(CONTROL!$C$21, $C$9, 100%, $E$9)</f>
        <v>23.393999999999998</v>
      </c>
      <c r="T48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88" s="56">
        <f>(1000*CHOOSE(CONTROL!$C$42, 695, 695)*CHOOSE(CONTROL!$C$42, 0.5599, 0.5599)*CHOOSE(CONTROL!$C$42, 31, 31))/1000000</f>
        <v>12.063045499999998</v>
      </c>
      <c r="V488" s="56">
        <f>(1000*CHOOSE(CONTROL!$C$42, 500, 500)*CHOOSE(CONTROL!$C$42, 0.275, 0.275)*CHOOSE(CONTROL!$C$42, 31, 31))/1000000</f>
        <v>4.2625000000000002</v>
      </c>
      <c r="W488" s="56">
        <f>(1000*CHOOSE(CONTROL!$C$42, 0.0916, 0.0916)*CHOOSE(CONTROL!$C$42, 121.5, 121.5)*CHOOSE(CONTROL!$C$42, 31, 31))/1000000</f>
        <v>0.34501139999999997</v>
      </c>
      <c r="X488" s="56">
        <f>(31*0.1790888*145000/1000000)+(31*0.2374*100000/1000000)</f>
        <v>1.5409441560000001</v>
      </c>
      <c r="Y488" s="56"/>
      <c r="Z488" s="17"/>
      <c r="AA488" s="55"/>
      <c r="AB488" s="48">
        <f>(B488*194.205+C488*267.466+D488*133.845+E488*153.484+F488*40+G488*85+H488*0+I488*100+J488*300)/(194.205+267.466+133.845+153.484+0+40+85+100+300)</f>
        <v>24.210041890423867</v>
      </c>
      <c r="AC488" s="45">
        <f>(M488*'RAP TEMPLATE-GAS AVAILABILITY'!O487+N488*'RAP TEMPLATE-GAS AVAILABILITY'!P487+O488*'RAP TEMPLATE-GAS AVAILABILITY'!Q487+P488*'RAP TEMPLATE-GAS AVAILABILITY'!R487)/('RAP TEMPLATE-GAS AVAILABILITY'!O487+'RAP TEMPLATE-GAS AVAILABILITY'!P487+'RAP TEMPLATE-GAS AVAILABILITY'!Q487+'RAP TEMPLATE-GAS AVAILABILITY'!R487)</f>
        <v>24.022210791366906</v>
      </c>
    </row>
    <row r="489" spans="1:29" ht="15.75" x14ac:dyDescent="0.25">
      <c r="A489" s="14">
        <v>55792</v>
      </c>
      <c r="B489" s="17">
        <f>CHOOSE(CONTROL!$C$42, 22.6051, 22.6051) * CHOOSE(CONTROL!$C$21, $C$9, 100%, $E$9)</f>
        <v>22.6051</v>
      </c>
      <c r="C489" s="17">
        <f>CHOOSE(CONTROL!$C$42, 22.6131, 22.6131) * CHOOSE(CONTROL!$C$21, $C$9, 100%, $E$9)</f>
        <v>22.613099999999999</v>
      </c>
      <c r="D489" s="17">
        <f>CHOOSE(CONTROL!$C$42, 22.8575, 22.8575) * CHOOSE(CONTROL!$C$21, $C$9, 100%, $E$9)</f>
        <v>22.857500000000002</v>
      </c>
      <c r="E489" s="17">
        <f>CHOOSE(CONTROL!$C$42, 22.8887, 22.8887) * CHOOSE(CONTROL!$C$21, $C$9, 100%, $E$9)</f>
        <v>22.8887</v>
      </c>
      <c r="F489" s="17">
        <f>CHOOSE(CONTROL!$C$42, 22.6167, 22.6167)*CHOOSE(CONTROL!$C$21, $C$9, 100%, $E$9)</f>
        <v>22.616700000000002</v>
      </c>
      <c r="G489" s="17">
        <f>CHOOSE(CONTROL!$C$42, 22.6332, 22.6332)*CHOOSE(CONTROL!$C$21, $C$9, 100%, $E$9)</f>
        <v>22.633199999999999</v>
      </c>
      <c r="H489" s="17">
        <f>CHOOSE(CONTROL!$C$42, 22.877, 22.877) * CHOOSE(CONTROL!$C$21, $C$9, 100%, $E$9)</f>
        <v>22.876999999999999</v>
      </c>
      <c r="I489" s="17">
        <f>CHOOSE(CONTROL!$C$42, 22.6965, 22.6965)* CHOOSE(CONTROL!$C$21, $C$9, 100%, $E$9)</f>
        <v>22.6965</v>
      </c>
      <c r="J489" s="17">
        <f>CHOOSE(CONTROL!$C$42, 22.6093, 22.6093)* CHOOSE(CONTROL!$C$21, $C$9, 100%, $E$9)</f>
        <v>22.609300000000001</v>
      </c>
      <c r="K489" s="52">
        <f>CHOOSE(CONTROL!$C$42, 22.6905, 22.6905) * CHOOSE(CONTROL!$C$21, $C$9, 100%, $E$9)</f>
        <v>22.6905</v>
      </c>
      <c r="L489" s="17">
        <f>CHOOSE(CONTROL!$C$42, 23.464, 23.464) * CHOOSE(CONTROL!$C$21, $C$9, 100%, $E$9)</f>
        <v>23.463999999999999</v>
      </c>
      <c r="M489" s="17">
        <f>CHOOSE(CONTROL!$C$42, 22.413, 22.413) * CHOOSE(CONTROL!$C$21, $C$9, 100%, $E$9)</f>
        <v>22.413</v>
      </c>
      <c r="N489" s="17">
        <f>CHOOSE(CONTROL!$C$42, 22.4293, 22.4293) * CHOOSE(CONTROL!$C$21, $C$9, 100%, $E$9)</f>
        <v>22.429300000000001</v>
      </c>
      <c r="O489" s="17">
        <f>CHOOSE(CONTROL!$C$42, 22.6783, 22.6783) * CHOOSE(CONTROL!$C$21, $C$9, 100%, $E$9)</f>
        <v>22.6783</v>
      </c>
      <c r="P489" s="17">
        <f>CHOOSE(CONTROL!$C$42, 22.4988, 22.4988) * CHOOSE(CONTROL!$C$21, $C$9, 100%, $E$9)</f>
        <v>22.498799999999999</v>
      </c>
      <c r="Q489" s="17">
        <f>CHOOSE(CONTROL!$C$42, 23.273, 23.273) * CHOOSE(CONTROL!$C$21, $C$9, 100%, $E$9)</f>
        <v>23.273</v>
      </c>
      <c r="R489" s="17">
        <f>CHOOSE(CONTROL!$C$42, 23.9182, 23.9182) * CHOOSE(CONTROL!$C$21, $C$9, 100%, $E$9)</f>
        <v>23.918199999999999</v>
      </c>
      <c r="S489" s="17">
        <f>CHOOSE(CONTROL!$C$42, 21.9086, 21.9086) * CHOOSE(CONTROL!$C$21, $C$9, 100%, $E$9)</f>
        <v>21.9086</v>
      </c>
      <c r="T48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89" s="56">
        <f>(1000*CHOOSE(CONTROL!$C$42, 695, 695)*CHOOSE(CONTROL!$C$42, 0.5599, 0.5599)*CHOOSE(CONTROL!$C$42, 30, 30))/1000000</f>
        <v>11.673914999999997</v>
      </c>
      <c r="V489" s="56">
        <f>(1000*CHOOSE(CONTROL!$C$42, 500, 500)*CHOOSE(CONTROL!$C$42, 0.275, 0.275)*CHOOSE(CONTROL!$C$42, 30, 30))/1000000</f>
        <v>4.125</v>
      </c>
      <c r="W489" s="56">
        <f>(1000*CHOOSE(CONTROL!$C$42, 0.0916, 0.0916)*CHOOSE(CONTROL!$C$42, 121.5, 121.5)*CHOOSE(CONTROL!$C$42, 30, 30))/1000000</f>
        <v>0.33388200000000001</v>
      </c>
      <c r="X489" s="56">
        <f>(30*0.1790888*145000/1000000)+(30*0.2374*100000/1000000)</f>
        <v>1.4912362799999999</v>
      </c>
      <c r="Y489" s="56"/>
      <c r="Z489" s="17"/>
      <c r="AA489" s="55"/>
      <c r="AB489" s="48">
        <f>(B489*194.205+C489*267.466+D489*133.845+E489*153.484+F489*40+G489*85+H489*0+I489*100+J489*300)/(194.205+267.466+133.845+153.484+0+40+85+100+300)</f>
        <v>22.677865124332815</v>
      </c>
      <c r="AC489" s="45">
        <f>(M489*'RAP TEMPLATE-GAS AVAILABILITY'!O488+N489*'RAP TEMPLATE-GAS AVAILABILITY'!P488+O489*'RAP TEMPLATE-GAS AVAILABILITY'!Q488+P489*'RAP TEMPLATE-GAS AVAILABILITY'!R488)/('RAP TEMPLATE-GAS AVAILABILITY'!O488+'RAP TEMPLATE-GAS AVAILABILITY'!P488+'RAP TEMPLATE-GAS AVAILABILITY'!Q488+'RAP TEMPLATE-GAS AVAILABILITY'!R488)</f>
        <v>22.503534532374101</v>
      </c>
    </row>
    <row r="490" spans="1:29" ht="15.75" x14ac:dyDescent="0.25">
      <c r="A490" s="14">
        <v>55823</v>
      </c>
      <c r="B490" s="17">
        <f>CHOOSE(CONTROL!$C$42, 22.1446, 22.1446) * CHOOSE(CONTROL!$C$21, $C$9, 100%, $E$9)</f>
        <v>22.144600000000001</v>
      </c>
      <c r="C490" s="17">
        <f>CHOOSE(CONTROL!$C$42, 22.15, 22.15) * CHOOSE(CONTROL!$C$21, $C$9, 100%, $E$9)</f>
        <v>22.15</v>
      </c>
      <c r="D490" s="17">
        <f>CHOOSE(CONTROL!$C$42, 22.3993, 22.3993) * CHOOSE(CONTROL!$C$21, $C$9, 100%, $E$9)</f>
        <v>22.3993</v>
      </c>
      <c r="E490" s="17">
        <f>CHOOSE(CONTROL!$C$42, 22.4282, 22.4282) * CHOOSE(CONTROL!$C$21, $C$9, 100%, $E$9)</f>
        <v>22.4282</v>
      </c>
      <c r="F490" s="17">
        <f>CHOOSE(CONTROL!$C$42, 22.1584, 22.1584)*CHOOSE(CONTROL!$C$21, $C$9, 100%, $E$9)</f>
        <v>22.1584</v>
      </c>
      <c r="G490" s="17">
        <f>CHOOSE(CONTROL!$C$42, 22.1749, 22.1749)*CHOOSE(CONTROL!$C$21, $C$9, 100%, $E$9)</f>
        <v>22.174900000000001</v>
      </c>
      <c r="H490" s="17">
        <f>CHOOSE(CONTROL!$C$42, 22.4183, 22.4183) * CHOOSE(CONTROL!$C$21, $C$9, 100%, $E$9)</f>
        <v>22.418299999999999</v>
      </c>
      <c r="I490" s="17">
        <f>CHOOSE(CONTROL!$C$42, 22.2364, 22.2364)* CHOOSE(CONTROL!$C$21, $C$9, 100%, $E$9)</f>
        <v>22.2364</v>
      </c>
      <c r="J490" s="17">
        <f>CHOOSE(CONTROL!$C$42, 22.151, 22.151)* CHOOSE(CONTROL!$C$21, $C$9, 100%, $E$9)</f>
        <v>22.151</v>
      </c>
      <c r="K490" s="52">
        <f>CHOOSE(CONTROL!$C$42, 22.2303, 22.2303) * CHOOSE(CONTROL!$C$21, $C$9, 100%, $E$9)</f>
        <v>22.2303</v>
      </c>
      <c r="L490" s="17">
        <f>CHOOSE(CONTROL!$C$42, 23.0053, 23.0053) * CHOOSE(CONTROL!$C$21, $C$9, 100%, $E$9)</f>
        <v>23.005299999999998</v>
      </c>
      <c r="M490" s="17">
        <f>CHOOSE(CONTROL!$C$42, 21.9588, 21.9588) * CHOOSE(CONTROL!$C$21, $C$9, 100%, $E$9)</f>
        <v>21.9588</v>
      </c>
      <c r="N490" s="17">
        <f>CHOOSE(CONTROL!$C$42, 21.9751, 21.9751) * CHOOSE(CONTROL!$C$21, $C$9, 100%, $E$9)</f>
        <v>21.975100000000001</v>
      </c>
      <c r="O490" s="17">
        <f>CHOOSE(CONTROL!$C$42, 22.2237, 22.2237) * CHOOSE(CONTROL!$C$21, $C$9, 100%, $E$9)</f>
        <v>22.223700000000001</v>
      </c>
      <c r="P490" s="17">
        <f>CHOOSE(CONTROL!$C$42, 22.0428, 22.0428) * CHOOSE(CONTROL!$C$21, $C$9, 100%, $E$9)</f>
        <v>22.0428</v>
      </c>
      <c r="Q490" s="17">
        <f>CHOOSE(CONTROL!$C$42, 22.8184, 22.8184) * CHOOSE(CONTROL!$C$21, $C$9, 100%, $E$9)</f>
        <v>22.8184</v>
      </c>
      <c r="R490" s="17">
        <f>CHOOSE(CONTROL!$C$42, 23.4625, 23.4625) * CHOOSE(CONTROL!$C$21, $C$9, 100%, $E$9)</f>
        <v>23.462499999999999</v>
      </c>
      <c r="S490" s="17">
        <f>CHOOSE(CONTROL!$C$42, 21.4638, 21.4638) * CHOOSE(CONTROL!$C$21, $C$9, 100%, $E$9)</f>
        <v>21.463799999999999</v>
      </c>
      <c r="T49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90" s="56">
        <f>(1000*CHOOSE(CONTROL!$C$42, 695, 695)*CHOOSE(CONTROL!$C$42, 0.5599, 0.5599)*CHOOSE(CONTROL!$C$42, 31, 31))/1000000</f>
        <v>12.063045499999998</v>
      </c>
      <c r="V490" s="56">
        <f>(1000*CHOOSE(CONTROL!$C$42, 500, 500)*CHOOSE(CONTROL!$C$42, 0.275, 0.275)*CHOOSE(CONTROL!$C$42, 31, 31))/1000000</f>
        <v>4.2625000000000002</v>
      </c>
      <c r="W490" s="56">
        <f>(1000*CHOOSE(CONTROL!$C$42, 0.0916, 0.0916)*CHOOSE(CONTROL!$C$42, 121.5, 121.5)*CHOOSE(CONTROL!$C$42, 31, 31))/1000000</f>
        <v>0.34501139999999997</v>
      </c>
      <c r="X490" s="56">
        <f>(31*0.1790888*145000/1000000)+(31*0.2374*100000/1000000)</f>
        <v>1.5409441560000001</v>
      </c>
      <c r="Y490" s="56"/>
      <c r="Z490" s="17"/>
      <c r="AA490" s="55"/>
      <c r="AB490" s="48">
        <f>(B490*131.881+C490*277.167+D490*79.08+E490*225.872+F490*40+G490*85+H490*0+I490*100+J490*300)/(131.881+277.167+79.08+225.872+0+40+85+100+300)</f>
        <v>22.225248246166263</v>
      </c>
      <c r="AC490" s="45">
        <f>(M490*'RAP TEMPLATE-GAS AVAILABILITY'!O489+N490*'RAP TEMPLATE-GAS AVAILABILITY'!P489+O490*'RAP TEMPLATE-GAS AVAILABILITY'!Q489+P490*'RAP TEMPLATE-GAS AVAILABILITY'!R489)/('RAP TEMPLATE-GAS AVAILABILITY'!O489+'RAP TEMPLATE-GAS AVAILABILITY'!P489+'RAP TEMPLATE-GAS AVAILABILITY'!Q489+'RAP TEMPLATE-GAS AVAILABILITY'!R489)</f>
        <v>22.048963309352519</v>
      </c>
    </row>
    <row r="491" spans="1:29" ht="15.75" x14ac:dyDescent="0.25">
      <c r="A491" s="14">
        <v>55853</v>
      </c>
      <c r="B491" s="17">
        <f>CHOOSE(CONTROL!$C$42, 22.7273, 22.7273) * CHOOSE(CONTROL!$C$21, $C$9, 100%, $E$9)</f>
        <v>22.7273</v>
      </c>
      <c r="C491" s="17">
        <f>CHOOSE(CONTROL!$C$42, 22.7324, 22.7324) * CHOOSE(CONTROL!$C$21, $C$9, 100%, $E$9)</f>
        <v>22.732399999999998</v>
      </c>
      <c r="D491" s="17">
        <f>CHOOSE(CONTROL!$C$42, 22.8138, 22.8138) * CHOOSE(CONTROL!$C$21, $C$9, 100%, $E$9)</f>
        <v>22.813800000000001</v>
      </c>
      <c r="E491" s="17">
        <f>CHOOSE(CONTROL!$C$42, 22.8476, 22.8476) * CHOOSE(CONTROL!$C$21, $C$9, 100%, $E$9)</f>
        <v>22.8476</v>
      </c>
      <c r="F491" s="17">
        <f>CHOOSE(CONTROL!$C$42, 22.7453, 22.7453)*CHOOSE(CONTROL!$C$21, $C$9, 100%, $E$9)</f>
        <v>22.7453</v>
      </c>
      <c r="G491" s="17">
        <f>CHOOSE(CONTROL!$C$42, 22.762, 22.762)*CHOOSE(CONTROL!$C$21, $C$9, 100%, $E$9)</f>
        <v>22.762</v>
      </c>
      <c r="H491" s="17">
        <f>CHOOSE(CONTROL!$C$42, 22.8364, 22.8364) * CHOOSE(CONTROL!$C$21, $C$9, 100%, $E$9)</f>
        <v>22.836400000000001</v>
      </c>
      <c r="I491" s="17">
        <f>CHOOSE(CONTROL!$C$42, 22.8228, 22.8228)* CHOOSE(CONTROL!$C$21, $C$9, 100%, $E$9)</f>
        <v>22.822800000000001</v>
      </c>
      <c r="J491" s="17">
        <f>CHOOSE(CONTROL!$C$42, 22.7379, 22.7379)* CHOOSE(CONTROL!$C$21, $C$9, 100%, $E$9)</f>
        <v>22.7379</v>
      </c>
      <c r="K491" s="52">
        <f>CHOOSE(CONTROL!$C$42, 22.8168, 22.8168) * CHOOSE(CONTROL!$C$21, $C$9, 100%, $E$9)</f>
        <v>22.816800000000001</v>
      </c>
      <c r="L491" s="17">
        <f>CHOOSE(CONTROL!$C$42, 23.4234, 23.4234) * CHOOSE(CONTROL!$C$21, $C$9, 100%, $E$9)</f>
        <v>23.423400000000001</v>
      </c>
      <c r="M491" s="17">
        <f>CHOOSE(CONTROL!$C$42, 22.5404, 22.5404) * CHOOSE(CONTROL!$C$21, $C$9, 100%, $E$9)</f>
        <v>22.540400000000002</v>
      </c>
      <c r="N491" s="17">
        <f>CHOOSE(CONTROL!$C$42, 22.557, 22.557) * CHOOSE(CONTROL!$C$21, $C$9, 100%, $E$9)</f>
        <v>22.556999999999999</v>
      </c>
      <c r="O491" s="17">
        <f>CHOOSE(CONTROL!$C$42, 22.6381, 22.6381) * CHOOSE(CONTROL!$C$21, $C$9, 100%, $E$9)</f>
        <v>22.638100000000001</v>
      </c>
      <c r="P491" s="17">
        <f>CHOOSE(CONTROL!$C$42, 22.624, 22.624) * CHOOSE(CONTROL!$C$21, $C$9, 100%, $E$9)</f>
        <v>22.623999999999999</v>
      </c>
      <c r="Q491" s="17">
        <f>CHOOSE(CONTROL!$C$42, 23.2328, 23.2328) * CHOOSE(CONTROL!$C$21, $C$9, 100%, $E$9)</f>
        <v>23.232800000000001</v>
      </c>
      <c r="R491" s="17">
        <f>CHOOSE(CONTROL!$C$42, 23.8778, 23.8778) * CHOOSE(CONTROL!$C$21, $C$9, 100%, $E$9)</f>
        <v>23.877800000000001</v>
      </c>
      <c r="S491" s="17">
        <f>CHOOSE(CONTROL!$C$42, 22.0292, 22.0292) * CHOOSE(CONTROL!$C$21, $C$9, 100%, $E$9)</f>
        <v>22.029199999999999</v>
      </c>
      <c r="T49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91" s="56">
        <f>(1000*CHOOSE(CONTROL!$C$42, 695, 695)*CHOOSE(CONTROL!$C$42, 0.5599, 0.5599)*CHOOSE(CONTROL!$C$42, 30, 30))/1000000</f>
        <v>11.673914999999997</v>
      </c>
      <c r="V491" s="56">
        <f>(1000*CHOOSE(CONTROL!$C$42, 500, 500)*CHOOSE(CONTROL!$C$42, 0.275, 0.275)*CHOOSE(CONTROL!$C$42, 30, 30))/1000000</f>
        <v>4.125</v>
      </c>
      <c r="W491" s="56">
        <f>(1000*CHOOSE(CONTROL!$C$42, 0.0916, 0.0916)*CHOOSE(CONTROL!$C$42, 121.5, 121.5)*CHOOSE(CONTROL!$C$42, 30, 30))/1000000</f>
        <v>0.33388200000000001</v>
      </c>
      <c r="X491" s="56">
        <f>(30*0.2374*100000/1000000)</f>
        <v>0.71220000000000006</v>
      </c>
      <c r="Y491" s="56"/>
      <c r="Z491" s="17"/>
      <c r="AA491" s="55"/>
      <c r="AB491" s="48">
        <f>(B491*122.58+C491*297.941+D491*89.177+E491*140.302+F491*40+G491*60+H491*0+I491*100+J491*300)/(122.58+297.941+89.177+140.302+0+40+60+100+300)</f>
        <v>22.763511861043472</v>
      </c>
      <c r="AC491" s="45">
        <f>(M491*'RAP TEMPLATE-GAS AVAILABILITY'!O490+N491*'RAP TEMPLATE-GAS AVAILABILITY'!P490+O491*'RAP TEMPLATE-GAS AVAILABILITY'!Q490+P491*'RAP TEMPLATE-GAS AVAILABILITY'!R490)/('RAP TEMPLATE-GAS AVAILABILITY'!O490+'RAP TEMPLATE-GAS AVAILABILITY'!P490+'RAP TEMPLATE-GAS AVAILABILITY'!Q490+'RAP TEMPLATE-GAS AVAILABILITY'!R490)</f>
        <v>22.597665467625902</v>
      </c>
    </row>
    <row r="492" spans="1:29" ht="15.75" x14ac:dyDescent="0.25">
      <c r="A492" s="14">
        <v>55884</v>
      </c>
      <c r="B492" s="17">
        <f>CHOOSE(CONTROL!$C$42, 24.2762, 24.2762) * CHOOSE(CONTROL!$C$21, $C$9, 100%, $E$9)</f>
        <v>24.276199999999999</v>
      </c>
      <c r="C492" s="17">
        <f>CHOOSE(CONTROL!$C$42, 24.2813, 24.2813) * CHOOSE(CONTROL!$C$21, $C$9, 100%, $E$9)</f>
        <v>24.281300000000002</v>
      </c>
      <c r="D492" s="17">
        <f>CHOOSE(CONTROL!$C$42, 24.3626, 24.3626) * CHOOSE(CONTROL!$C$21, $C$9, 100%, $E$9)</f>
        <v>24.3626</v>
      </c>
      <c r="E492" s="17">
        <f>CHOOSE(CONTROL!$C$42, 24.3964, 24.3964) * CHOOSE(CONTROL!$C$21, $C$9, 100%, $E$9)</f>
        <v>24.3964</v>
      </c>
      <c r="F492" s="17">
        <f>CHOOSE(CONTROL!$C$42, 24.2965, 24.2965)*CHOOSE(CONTROL!$C$21, $C$9, 100%, $E$9)</f>
        <v>24.296500000000002</v>
      </c>
      <c r="G492" s="17">
        <f>CHOOSE(CONTROL!$C$42, 24.3138, 24.3138)*CHOOSE(CONTROL!$C$21, $C$9, 100%, $E$9)</f>
        <v>24.313800000000001</v>
      </c>
      <c r="H492" s="17">
        <f>CHOOSE(CONTROL!$C$42, 24.3853, 24.3853) * CHOOSE(CONTROL!$C$21, $C$9, 100%, $E$9)</f>
        <v>24.385300000000001</v>
      </c>
      <c r="I492" s="17">
        <f>CHOOSE(CONTROL!$C$42, 24.3765, 24.3765)* CHOOSE(CONTROL!$C$21, $C$9, 100%, $E$9)</f>
        <v>24.3765</v>
      </c>
      <c r="J492" s="17">
        <f>CHOOSE(CONTROL!$C$42, 24.2891, 24.2891)* CHOOSE(CONTROL!$C$21, $C$9, 100%, $E$9)</f>
        <v>24.289100000000001</v>
      </c>
      <c r="K492" s="52">
        <f>CHOOSE(CONTROL!$C$42, 24.3704, 24.3704) * CHOOSE(CONTROL!$C$21, $C$9, 100%, $E$9)</f>
        <v>24.3704</v>
      </c>
      <c r="L492" s="17">
        <f>CHOOSE(CONTROL!$C$42, 24.9723, 24.9723) * CHOOSE(CONTROL!$C$21, $C$9, 100%, $E$9)</f>
        <v>24.972300000000001</v>
      </c>
      <c r="M492" s="17">
        <f>CHOOSE(CONTROL!$C$42, 24.0777, 24.0777) * CHOOSE(CONTROL!$C$21, $C$9, 100%, $E$9)</f>
        <v>24.0777</v>
      </c>
      <c r="N492" s="17">
        <f>CHOOSE(CONTROL!$C$42, 24.0948, 24.0948) * CHOOSE(CONTROL!$C$21, $C$9, 100%, $E$9)</f>
        <v>24.094799999999999</v>
      </c>
      <c r="O492" s="17">
        <f>CHOOSE(CONTROL!$C$42, 24.173, 24.173) * CHOOSE(CONTROL!$C$21, $C$9, 100%, $E$9)</f>
        <v>24.172999999999998</v>
      </c>
      <c r="P492" s="17">
        <f>CHOOSE(CONTROL!$C$42, 24.1636, 24.1636) * CHOOSE(CONTROL!$C$21, $C$9, 100%, $E$9)</f>
        <v>24.163599999999999</v>
      </c>
      <c r="Q492" s="17">
        <f>CHOOSE(CONTROL!$C$42, 24.7677, 24.7677) * CHOOSE(CONTROL!$C$21, $C$9, 100%, $E$9)</f>
        <v>24.767700000000001</v>
      </c>
      <c r="R492" s="17">
        <f>CHOOSE(CONTROL!$C$42, 25.4166, 25.4166) * CHOOSE(CONTROL!$C$21, $C$9, 100%, $E$9)</f>
        <v>25.416599999999999</v>
      </c>
      <c r="S492" s="17">
        <f>CHOOSE(CONTROL!$C$42, 23.5311, 23.5311) * CHOOSE(CONTROL!$C$21, $C$9, 100%, $E$9)</f>
        <v>23.531099999999999</v>
      </c>
      <c r="T49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92" s="56">
        <f>(1000*CHOOSE(CONTROL!$C$42, 695, 695)*CHOOSE(CONTROL!$C$42, 0.5599, 0.5599)*CHOOSE(CONTROL!$C$42, 31, 31))/1000000</f>
        <v>12.063045499999998</v>
      </c>
      <c r="V492" s="56">
        <f>(1000*CHOOSE(CONTROL!$C$42, 500, 500)*CHOOSE(CONTROL!$C$42, 0.275, 0.275)*CHOOSE(CONTROL!$C$42, 31, 31))/1000000</f>
        <v>4.2625000000000002</v>
      </c>
      <c r="W492" s="56">
        <f>(1000*CHOOSE(CONTROL!$C$42, 0.0916, 0.0916)*CHOOSE(CONTROL!$C$42, 121.5, 121.5)*CHOOSE(CONTROL!$C$42, 31, 31))/1000000</f>
        <v>0.34501139999999997</v>
      </c>
      <c r="X492" s="56">
        <f>(31*0.2374*100000/1000000)</f>
        <v>0.73594000000000004</v>
      </c>
      <c r="Y492" s="56"/>
      <c r="Z492" s="17"/>
      <c r="AA492" s="55"/>
      <c r="AB492" s="48">
        <f>(B492*122.58+C492*297.941+D492*89.177+E492*140.302+F492*40+G492*60+H492*0+I492*100+J492*300)/(122.58+297.941+89.177+140.302+0+40+60+100+300)</f>
        <v>24.313640602000003</v>
      </c>
      <c r="AC492" s="45">
        <f>(M492*'RAP TEMPLATE-GAS AVAILABILITY'!O491+N492*'RAP TEMPLATE-GAS AVAILABILITY'!P491+O492*'RAP TEMPLATE-GAS AVAILABILITY'!Q491+P492*'RAP TEMPLATE-GAS AVAILABILITY'!R491)/('RAP TEMPLATE-GAS AVAILABILITY'!O491+'RAP TEMPLATE-GAS AVAILABILITY'!P491+'RAP TEMPLATE-GAS AVAILABILITY'!Q491+'RAP TEMPLATE-GAS AVAILABILITY'!R491)</f>
        <v>24.134237410071947</v>
      </c>
    </row>
    <row r="493" spans="1:29" ht="15.75" x14ac:dyDescent="0.25">
      <c r="A493" s="14">
        <v>55915</v>
      </c>
      <c r="B493" s="17">
        <f>CHOOSE(CONTROL!$C$42, 26.2878, 26.2878) * CHOOSE(CONTROL!$C$21, $C$9, 100%, $E$9)</f>
        <v>26.287800000000001</v>
      </c>
      <c r="C493" s="17">
        <f>CHOOSE(CONTROL!$C$42, 26.2929, 26.2929) * CHOOSE(CONTROL!$C$21, $C$9, 100%, $E$9)</f>
        <v>26.292899999999999</v>
      </c>
      <c r="D493" s="17">
        <f>CHOOSE(CONTROL!$C$42, 26.3897, 26.3897) * CHOOSE(CONTROL!$C$21, $C$9, 100%, $E$9)</f>
        <v>26.389700000000001</v>
      </c>
      <c r="E493" s="17">
        <f>CHOOSE(CONTROL!$C$42, 26.4235, 26.4235) * CHOOSE(CONTROL!$C$21, $C$9, 100%, $E$9)</f>
        <v>26.423500000000001</v>
      </c>
      <c r="F493" s="17">
        <f>CHOOSE(CONTROL!$C$42, 26.3021, 26.3021)*CHOOSE(CONTROL!$C$21, $C$9, 100%, $E$9)</f>
        <v>26.302099999999999</v>
      </c>
      <c r="G493" s="17">
        <f>CHOOSE(CONTROL!$C$42, 26.3185, 26.3185)*CHOOSE(CONTROL!$C$21, $C$9, 100%, $E$9)</f>
        <v>26.3185</v>
      </c>
      <c r="H493" s="17">
        <f>CHOOSE(CONTROL!$C$42, 26.4124, 26.4124) * CHOOSE(CONTROL!$C$21, $C$9, 100%, $E$9)</f>
        <v>26.412400000000002</v>
      </c>
      <c r="I493" s="17">
        <f>CHOOSE(CONTROL!$C$42, 26.3943, 26.3943)* CHOOSE(CONTROL!$C$21, $C$9, 100%, $E$9)</f>
        <v>26.394300000000001</v>
      </c>
      <c r="J493" s="17">
        <f>CHOOSE(CONTROL!$C$42, 26.2947, 26.2947)* CHOOSE(CONTROL!$C$21, $C$9, 100%, $E$9)</f>
        <v>26.294699999999999</v>
      </c>
      <c r="K493" s="52">
        <f>CHOOSE(CONTROL!$C$42, 26.3883, 26.3883) * CHOOSE(CONTROL!$C$21, $C$9, 100%, $E$9)</f>
        <v>26.388300000000001</v>
      </c>
      <c r="L493" s="17">
        <f>CHOOSE(CONTROL!$C$42, 26.9994, 26.9994) * CHOOSE(CONTROL!$C$21, $C$9, 100%, $E$9)</f>
        <v>26.999400000000001</v>
      </c>
      <c r="M493" s="17">
        <f>CHOOSE(CONTROL!$C$42, 26.0652, 26.0652) * CHOOSE(CONTROL!$C$21, $C$9, 100%, $E$9)</f>
        <v>26.065200000000001</v>
      </c>
      <c r="N493" s="17">
        <f>CHOOSE(CONTROL!$C$42, 26.0815, 26.0815) * CHOOSE(CONTROL!$C$21, $C$9, 100%, $E$9)</f>
        <v>26.081499999999998</v>
      </c>
      <c r="O493" s="17">
        <f>CHOOSE(CONTROL!$C$42, 26.1818, 26.1818) * CHOOSE(CONTROL!$C$21, $C$9, 100%, $E$9)</f>
        <v>26.181799999999999</v>
      </c>
      <c r="P493" s="17">
        <f>CHOOSE(CONTROL!$C$42, 26.1633, 26.1633) * CHOOSE(CONTROL!$C$21, $C$9, 100%, $E$9)</f>
        <v>26.1633</v>
      </c>
      <c r="Q493" s="17">
        <f>CHOOSE(CONTROL!$C$42, 26.7765, 26.7765) * CHOOSE(CONTROL!$C$21, $C$9, 100%, $E$9)</f>
        <v>26.776499999999999</v>
      </c>
      <c r="R493" s="17">
        <f>CHOOSE(CONTROL!$C$42, 27.4305, 27.4305) * CHOOSE(CONTROL!$C$21, $C$9, 100%, $E$9)</f>
        <v>27.430499999999999</v>
      </c>
      <c r="S493" s="17">
        <f>CHOOSE(CONTROL!$C$42, 25.4818, 25.4818) * CHOOSE(CONTROL!$C$21, $C$9, 100%, $E$9)</f>
        <v>25.4818</v>
      </c>
      <c r="T49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93" s="56">
        <f>(1000*CHOOSE(CONTROL!$C$42, 695, 695)*CHOOSE(CONTROL!$C$42, 0.5599, 0.5599)*CHOOSE(CONTROL!$C$42, 31, 31))/1000000</f>
        <v>12.063045499999998</v>
      </c>
      <c r="V493" s="56">
        <f>(1000*CHOOSE(CONTROL!$C$42, 500, 500)*CHOOSE(CONTROL!$C$42, 0.275, 0.275)*CHOOSE(CONTROL!$C$42, 31, 31))/1000000</f>
        <v>4.2625000000000002</v>
      </c>
      <c r="W493" s="56">
        <f>(1000*CHOOSE(CONTROL!$C$42, 0.0916, 0.0916)*CHOOSE(CONTROL!$C$42, 121.5, 121.5)*CHOOSE(CONTROL!$C$42, 31, 31))/1000000</f>
        <v>0.34501139999999997</v>
      </c>
      <c r="X493" s="56">
        <f>(31*0.2374*100000/1000000)</f>
        <v>0.73594000000000004</v>
      </c>
      <c r="Y493" s="56"/>
      <c r="Z493" s="17"/>
      <c r="AA493" s="55"/>
      <c r="AB493" s="48">
        <f>(B493*122.58+C493*297.941+D493*89.177+E493*140.302+F493*40+G493*60+H493*0+I493*100+J493*300)/(122.58+297.941+89.177+140.302+0+40+60+100+300)</f>
        <v>26.326738797217391</v>
      </c>
      <c r="AC493" s="45">
        <f>(M493*'RAP TEMPLATE-GAS AVAILABILITY'!O492+N493*'RAP TEMPLATE-GAS AVAILABILITY'!P492+O493*'RAP TEMPLATE-GAS AVAILABILITY'!Q492+P493*'RAP TEMPLATE-GAS AVAILABILITY'!R492)/('RAP TEMPLATE-GAS AVAILABILITY'!O492+'RAP TEMPLATE-GAS AVAILABILITY'!P492+'RAP TEMPLATE-GAS AVAILABILITY'!Q492+'RAP TEMPLATE-GAS AVAILABILITY'!R492)</f>
        <v>26.133100719424455</v>
      </c>
    </row>
    <row r="494" spans="1:29" ht="15.75" x14ac:dyDescent="0.25">
      <c r="A494" s="14">
        <v>55943</v>
      </c>
      <c r="B494" s="17">
        <f>CHOOSE(CONTROL!$C$42, 26.7556, 26.7556) * CHOOSE(CONTROL!$C$21, $C$9, 100%, $E$9)</f>
        <v>26.755600000000001</v>
      </c>
      <c r="C494" s="17">
        <f>CHOOSE(CONTROL!$C$42, 26.7607, 26.7607) * CHOOSE(CONTROL!$C$21, $C$9, 100%, $E$9)</f>
        <v>26.7607</v>
      </c>
      <c r="D494" s="17">
        <f>CHOOSE(CONTROL!$C$42, 26.8575, 26.8575) * CHOOSE(CONTROL!$C$21, $C$9, 100%, $E$9)</f>
        <v>26.857500000000002</v>
      </c>
      <c r="E494" s="17">
        <f>CHOOSE(CONTROL!$C$42, 26.8913, 26.8913) * CHOOSE(CONTROL!$C$21, $C$9, 100%, $E$9)</f>
        <v>26.891300000000001</v>
      </c>
      <c r="F494" s="17">
        <f>CHOOSE(CONTROL!$C$42, 26.7698, 26.7698)*CHOOSE(CONTROL!$C$21, $C$9, 100%, $E$9)</f>
        <v>26.7698</v>
      </c>
      <c r="G494" s="17">
        <f>CHOOSE(CONTROL!$C$42, 26.7863, 26.7863)*CHOOSE(CONTROL!$C$21, $C$9, 100%, $E$9)</f>
        <v>26.786300000000001</v>
      </c>
      <c r="H494" s="17">
        <f>CHOOSE(CONTROL!$C$42, 26.8801, 26.8801) * CHOOSE(CONTROL!$C$21, $C$9, 100%, $E$9)</f>
        <v>26.880099999999999</v>
      </c>
      <c r="I494" s="17">
        <f>CHOOSE(CONTROL!$C$42, 26.8636, 26.8636)* CHOOSE(CONTROL!$C$21, $C$9, 100%, $E$9)</f>
        <v>26.863600000000002</v>
      </c>
      <c r="J494" s="17">
        <f>CHOOSE(CONTROL!$C$42, 26.7624, 26.7624)* CHOOSE(CONTROL!$C$21, $C$9, 100%, $E$9)</f>
        <v>26.7624</v>
      </c>
      <c r="K494" s="52">
        <f>CHOOSE(CONTROL!$C$42, 26.8575, 26.8575) * CHOOSE(CONTROL!$C$21, $C$9, 100%, $E$9)</f>
        <v>26.857500000000002</v>
      </c>
      <c r="L494" s="17">
        <f>CHOOSE(CONTROL!$C$42, 27.4671, 27.4671) * CHOOSE(CONTROL!$C$21, $C$9, 100%, $E$9)</f>
        <v>27.467099999999999</v>
      </c>
      <c r="M494" s="17">
        <f>CHOOSE(CONTROL!$C$42, 26.5288, 26.5288) * CHOOSE(CONTROL!$C$21, $C$9, 100%, $E$9)</f>
        <v>26.5288</v>
      </c>
      <c r="N494" s="17">
        <f>CHOOSE(CONTROL!$C$42, 26.545, 26.545) * CHOOSE(CONTROL!$C$21, $C$9, 100%, $E$9)</f>
        <v>26.545000000000002</v>
      </c>
      <c r="O494" s="17">
        <f>CHOOSE(CONTROL!$C$42, 26.6454, 26.6454) * CHOOSE(CONTROL!$C$21, $C$9, 100%, $E$9)</f>
        <v>26.645399999999999</v>
      </c>
      <c r="P494" s="17">
        <f>CHOOSE(CONTROL!$C$42, 26.6283, 26.6283) * CHOOSE(CONTROL!$C$21, $C$9, 100%, $E$9)</f>
        <v>26.628299999999999</v>
      </c>
      <c r="Q494" s="17">
        <f>CHOOSE(CONTROL!$C$42, 27.2401, 27.2401) * CHOOSE(CONTROL!$C$21, $C$9, 100%, $E$9)</f>
        <v>27.240100000000002</v>
      </c>
      <c r="R494" s="17">
        <f>CHOOSE(CONTROL!$C$42, 27.8952, 27.8952) * CHOOSE(CONTROL!$C$21, $C$9, 100%, $E$9)</f>
        <v>27.895199999999999</v>
      </c>
      <c r="S494" s="17">
        <f>CHOOSE(CONTROL!$C$42, 25.9354, 25.9354) * CHOOSE(CONTROL!$C$21, $C$9, 100%, $E$9)</f>
        <v>25.935400000000001</v>
      </c>
      <c r="T49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94" s="56">
        <f>(1000*CHOOSE(CONTROL!$C$42, 695, 695)*CHOOSE(CONTROL!$C$42, 0.5599, 0.5599)*CHOOSE(CONTROL!$C$42, 28, 28))/1000000</f>
        <v>10.895653999999999</v>
      </c>
      <c r="V494" s="56">
        <f>(1000*CHOOSE(CONTROL!$C$42, 500, 500)*CHOOSE(CONTROL!$C$42, 0.275, 0.275)*CHOOSE(CONTROL!$C$42, 28, 28))/1000000</f>
        <v>3.85</v>
      </c>
      <c r="W494" s="56">
        <f>(1000*CHOOSE(CONTROL!$C$42, 0.0916, 0.0916)*CHOOSE(CONTROL!$C$42, 121.5, 121.5)*CHOOSE(CONTROL!$C$42, 28, 28))/1000000</f>
        <v>0.31162319999999999</v>
      </c>
      <c r="X494" s="56">
        <f>(28*0.2374*100000/1000000)</f>
        <v>0.66471999999999998</v>
      </c>
      <c r="Y494" s="56"/>
      <c r="Z494" s="17"/>
      <c r="AA494" s="55"/>
      <c r="AB494" s="48">
        <f>(B494*122.58+C494*297.941+D494*89.177+E494*140.302+F494*40+G494*60+H494*0+I494*100+J494*300)/(122.58+297.941+89.177+140.302+0+40+60+100+300)</f>
        <v>26.794639666782611</v>
      </c>
      <c r="AC494" s="45">
        <f>(M494*'RAP TEMPLATE-GAS AVAILABILITY'!O493+N494*'RAP TEMPLATE-GAS AVAILABILITY'!P493+O494*'RAP TEMPLATE-GAS AVAILABILITY'!Q493+P494*'RAP TEMPLATE-GAS AVAILABILITY'!R493)/('RAP TEMPLATE-GAS AVAILABILITY'!O493+'RAP TEMPLATE-GAS AVAILABILITY'!P493+'RAP TEMPLATE-GAS AVAILABILITY'!Q493+'RAP TEMPLATE-GAS AVAILABILITY'!R493)</f>
        <v>26.5968964028777</v>
      </c>
    </row>
    <row r="495" spans="1:29" ht="15.75" x14ac:dyDescent="0.25">
      <c r="A495" s="14">
        <v>55974</v>
      </c>
      <c r="B495" s="17">
        <f>CHOOSE(CONTROL!$C$42, 25.9963, 25.9963) * CHOOSE(CONTROL!$C$21, $C$9, 100%, $E$9)</f>
        <v>25.996300000000002</v>
      </c>
      <c r="C495" s="17">
        <f>CHOOSE(CONTROL!$C$42, 26.0014, 26.0014) * CHOOSE(CONTROL!$C$21, $C$9, 100%, $E$9)</f>
        <v>26.0014</v>
      </c>
      <c r="D495" s="17">
        <f>CHOOSE(CONTROL!$C$42, 26.0982, 26.0982) * CHOOSE(CONTROL!$C$21, $C$9, 100%, $E$9)</f>
        <v>26.098199999999999</v>
      </c>
      <c r="E495" s="17">
        <f>CHOOSE(CONTROL!$C$42, 26.1319, 26.1319) * CHOOSE(CONTROL!$C$21, $C$9, 100%, $E$9)</f>
        <v>26.131900000000002</v>
      </c>
      <c r="F495" s="17">
        <f>CHOOSE(CONTROL!$C$42, 26.0099, 26.0099)*CHOOSE(CONTROL!$C$21, $C$9, 100%, $E$9)</f>
        <v>26.009899999999998</v>
      </c>
      <c r="G495" s="17">
        <f>CHOOSE(CONTROL!$C$42, 26.0261, 26.0261)*CHOOSE(CONTROL!$C$21, $C$9, 100%, $E$9)</f>
        <v>26.0261</v>
      </c>
      <c r="H495" s="17">
        <f>CHOOSE(CONTROL!$C$42, 26.1208, 26.1208) * CHOOSE(CONTROL!$C$21, $C$9, 100%, $E$9)</f>
        <v>26.120799999999999</v>
      </c>
      <c r="I495" s="17">
        <f>CHOOSE(CONTROL!$C$42, 26.1019, 26.1019)* CHOOSE(CONTROL!$C$21, $C$9, 100%, $E$9)</f>
        <v>26.101900000000001</v>
      </c>
      <c r="J495" s="17">
        <f>CHOOSE(CONTROL!$C$42, 26.0025, 26.0025)* CHOOSE(CONTROL!$C$21, $C$9, 100%, $E$9)</f>
        <v>26.002500000000001</v>
      </c>
      <c r="K495" s="52">
        <f>CHOOSE(CONTROL!$C$42, 26.0959, 26.0959) * CHOOSE(CONTROL!$C$21, $C$9, 100%, $E$9)</f>
        <v>26.0959</v>
      </c>
      <c r="L495" s="17">
        <f>CHOOSE(CONTROL!$C$42, 26.7078, 26.7078) * CHOOSE(CONTROL!$C$21, $C$9, 100%, $E$9)</f>
        <v>26.707799999999999</v>
      </c>
      <c r="M495" s="17">
        <f>CHOOSE(CONTROL!$C$42, 25.7756, 25.7756) * CHOOSE(CONTROL!$C$21, $C$9, 100%, $E$9)</f>
        <v>25.775600000000001</v>
      </c>
      <c r="N495" s="17">
        <f>CHOOSE(CONTROL!$C$42, 25.7917, 25.7917) * CHOOSE(CONTROL!$C$21, $C$9, 100%, $E$9)</f>
        <v>25.791699999999999</v>
      </c>
      <c r="O495" s="17">
        <f>CHOOSE(CONTROL!$C$42, 25.8929, 25.8929) * CHOOSE(CONTROL!$C$21, $C$9, 100%, $E$9)</f>
        <v>25.892900000000001</v>
      </c>
      <c r="P495" s="17">
        <f>CHOOSE(CONTROL!$C$42, 25.8735, 25.8735) * CHOOSE(CONTROL!$C$21, $C$9, 100%, $E$9)</f>
        <v>25.8735</v>
      </c>
      <c r="Q495" s="17">
        <f>CHOOSE(CONTROL!$C$42, 26.4876, 26.4876) * CHOOSE(CONTROL!$C$21, $C$9, 100%, $E$9)</f>
        <v>26.4876</v>
      </c>
      <c r="R495" s="17">
        <f>CHOOSE(CONTROL!$C$42, 27.1408, 27.1408) * CHOOSE(CONTROL!$C$21, $C$9, 100%, $E$9)</f>
        <v>27.140799999999999</v>
      </c>
      <c r="S495" s="17">
        <f>CHOOSE(CONTROL!$C$42, 25.1991, 25.1991) * CHOOSE(CONTROL!$C$21, $C$9, 100%, $E$9)</f>
        <v>25.199100000000001</v>
      </c>
      <c r="T49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95" s="56">
        <f>(1000*CHOOSE(CONTROL!$C$42, 695, 695)*CHOOSE(CONTROL!$C$42, 0.5599, 0.5599)*CHOOSE(CONTROL!$C$42, 31, 31))/1000000</f>
        <v>12.063045499999998</v>
      </c>
      <c r="V495" s="56">
        <f>(1000*CHOOSE(CONTROL!$C$42, 500, 500)*CHOOSE(CONTROL!$C$42, 0.275, 0.275)*CHOOSE(CONTROL!$C$42, 31, 31))/1000000</f>
        <v>4.2625000000000002</v>
      </c>
      <c r="W495" s="56">
        <f>(1000*CHOOSE(CONTROL!$C$42, 0.0916, 0.0916)*CHOOSE(CONTROL!$C$42, 121.5, 121.5)*CHOOSE(CONTROL!$C$42, 31, 31))/1000000</f>
        <v>0.34501139999999997</v>
      </c>
      <c r="X495" s="56">
        <f>(31*0.2374*100000/1000000)</f>
        <v>0.73594000000000004</v>
      </c>
      <c r="Y495" s="56"/>
      <c r="Z495" s="17"/>
      <c r="AA495" s="55"/>
      <c r="AB495" s="48">
        <f>(B495*122.58+C495*297.941+D495*89.177+E495*140.302+F495*40+G495*60+H495*0+I495*100+J495*300)/(122.58+297.941+89.177+140.302+0+40+60+100+300)</f>
        <v>26.034894423130435</v>
      </c>
      <c r="AC495" s="45">
        <f>(M495*'RAP TEMPLATE-GAS AVAILABILITY'!O494+N495*'RAP TEMPLATE-GAS AVAILABILITY'!P494+O495*'RAP TEMPLATE-GAS AVAILABILITY'!Q494+P495*'RAP TEMPLATE-GAS AVAILABILITY'!R494)/('RAP TEMPLATE-GAS AVAILABILITY'!O494+'RAP TEMPLATE-GAS AVAILABILITY'!P494+'RAP TEMPLATE-GAS AVAILABILITY'!Q494+'RAP TEMPLATE-GAS AVAILABILITY'!R494)</f>
        <v>25.843777697841723</v>
      </c>
    </row>
    <row r="496" spans="1:29" ht="15.75" x14ac:dyDescent="0.25">
      <c r="A496" s="14">
        <v>56004</v>
      </c>
      <c r="B496" s="17">
        <f>CHOOSE(CONTROL!$C$42, 25.9195, 25.9195) * CHOOSE(CONTROL!$C$21, $C$9, 100%, $E$9)</f>
        <v>25.919499999999999</v>
      </c>
      <c r="C496" s="17">
        <f>CHOOSE(CONTROL!$C$42, 25.924, 25.924) * CHOOSE(CONTROL!$C$21, $C$9, 100%, $E$9)</f>
        <v>25.923999999999999</v>
      </c>
      <c r="D496" s="17">
        <f>CHOOSE(CONTROL!$C$42, 26.1715, 26.1715) * CHOOSE(CONTROL!$C$21, $C$9, 100%, $E$9)</f>
        <v>26.171500000000002</v>
      </c>
      <c r="E496" s="17">
        <f>CHOOSE(CONTROL!$C$42, 26.2033, 26.2033) * CHOOSE(CONTROL!$C$21, $C$9, 100%, $E$9)</f>
        <v>26.203299999999999</v>
      </c>
      <c r="F496" s="17">
        <f>CHOOSE(CONTROL!$C$42, 25.9311, 25.9311)*CHOOSE(CONTROL!$C$21, $C$9, 100%, $E$9)</f>
        <v>25.931100000000001</v>
      </c>
      <c r="G496" s="17">
        <f>CHOOSE(CONTROL!$C$42, 25.947, 25.947)*CHOOSE(CONTROL!$C$21, $C$9, 100%, $E$9)</f>
        <v>25.946999999999999</v>
      </c>
      <c r="H496" s="17">
        <f>CHOOSE(CONTROL!$C$42, 26.1928, 26.1928) * CHOOSE(CONTROL!$C$21, $C$9, 100%, $E$9)</f>
        <v>26.192799999999998</v>
      </c>
      <c r="I496" s="17">
        <f>CHOOSE(CONTROL!$C$42, 26.0225, 26.0225)* CHOOSE(CONTROL!$C$21, $C$9, 100%, $E$9)</f>
        <v>26.022500000000001</v>
      </c>
      <c r="J496" s="17">
        <f>CHOOSE(CONTROL!$C$42, 25.9237, 25.9237)* CHOOSE(CONTROL!$C$21, $C$9, 100%, $E$9)</f>
        <v>25.9237</v>
      </c>
      <c r="K496" s="52">
        <f>CHOOSE(CONTROL!$C$42, 26.0165, 26.0165) * CHOOSE(CONTROL!$C$21, $C$9, 100%, $E$9)</f>
        <v>26.016500000000001</v>
      </c>
      <c r="L496" s="17">
        <f>CHOOSE(CONTROL!$C$42, 26.7798, 26.7798) * CHOOSE(CONTROL!$C$21, $C$9, 100%, $E$9)</f>
        <v>26.779800000000002</v>
      </c>
      <c r="M496" s="17">
        <f>CHOOSE(CONTROL!$C$42, 25.6976, 25.6976) * CHOOSE(CONTROL!$C$21, $C$9, 100%, $E$9)</f>
        <v>25.697600000000001</v>
      </c>
      <c r="N496" s="17">
        <f>CHOOSE(CONTROL!$C$42, 25.7134, 25.7134) * CHOOSE(CONTROL!$C$21, $C$9, 100%, $E$9)</f>
        <v>25.7134</v>
      </c>
      <c r="O496" s="17">
        <f>CHOOSE(CONTROL!$C$42, 25.9642, 25.9642) * CHOOSE(CONTROL!$C$21, $C$9, 100%, $E$9)</f>
        <v>25.964200000000002</v>
      </c>
      <c r="P496" s="17">
        <f>CHOOSE(CONTROL!$C$42, 25.7948, 25.7948) * CHOOSE(CONTROL!$C$21, $C$9, 100%, $E$9)</f>
        <v>25.794799999999999</v>
      </c>
      <c r="Q496" s="17">
        <f>CHOOSE(CONTROL!$C$42, 26.5589, 26.5589) * CHOOSE(CONTROL!$C$21, $C$9, 100%, $E$9)</f>
        <v>26.558900000000001</v>
      </c>
      <c r="R496" s="17">
        <f>CHOOSE(CONTROL!$C$42, 27.2123, 27.2123) * CHOOSE(CONTROL!$C$21, $C$9, 100%, $E$9)</f>
        <v>27.212299999999999</v>
      </c>
      <c r="S496" s="17">
        <f>CHOOSE(CONTROL!$C$42, 25.1238, 25.1238) * CHOOSE(CONTROL!$C$21, $C$9, 100%, $E$9)</f>
        <v>25.123799999999999</v>
      </c>
      <c r="T49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96" s="56">
        <f>(1000*CHOOSE(CONTROL!$C$42, 695, 695)*CHOOSE(CONTROL!$C$42, 0.5599, 0.5599)*CHOOSE(CONTROL!$C$42, 30, 30))/1000000</f>
        <v>11.673914999999997</v>
      </c>
      <c r="V496" s="56">
        <f>(1000*CHOOSE(CONTROL!$C$42, 500, 500)*CHOOSE(CONTROL!$C$42, 0.275, 0.275)*CHOOSE(CONTROL!$C$42, 30, 30))/1000000</f>
        <v>4.125</v>
      </c>
      <c r="W496" s="56">
        <f>(1000*CHOOSE(CONTROL!$C$42, 0.0916, 0.0916)*CHOOSE(CONTROL!$C$42, 121.5, 121.5)*CHOOSE(CONTROL!$C$42, 30, 30))/1000000</f>
        <v>0.33388200000000001</v>
      </c>
      <c r="X496" s="56">
        <f>(30*0.1790888*145000/1000000)+(30*0.2374*100000/1000000)</f>
        <v>1.4912362799999999</v>
      </c>
      <c r="Y496" s="56"/>
      <c r="Z496" s="17"/>
      <c r="AA496" s="55"/>
      <c r="AB496" s="48">
        <f>(B496*141.293+C496*267.993+D496*115.016+E496*189.698+F496*40+G496*85+H496*0+I496*100+J496*300)/(141.293+267.993+115.016+189.698+0+40+85+100+300)</f>
        <v>25.998909033817593</v>
      </c>
      <c r="AC496" s="45">
        <f>(M496*'RAP TEMPLATE-GAS AVAILABILITY'!O495+N496*'RAP TEMPLATE-GAS AVAILABILITY'!P495+O496*'RAP TEMPLATE-GAS AVAILABILITY'!Q495+P496*'RAP TEMPLATE-GAS AVAILABILITY'!R495)/('RAP TEMPLATE-GAS AVAILABILITY'!O495+'RAP TEMPLATE-GAS AVAILABILITY'!P495+'RAP TEMPLATE-GAS AVAILABILITY'!Q495+'RAP TEMPLATE-GAS AVAILABILITY'!R495)</f>
        <v>25.790024460431653</v>
      </c>
    </row>
    <row r="497" spans="1:29" ht="15.75" x14ac:dyDescent="0.25">
      <c r="A497" s="14">
        <v>56035</v>
      </c>
      <c r="B497" s="17">
        <f>CHOOSE(CONTROL!$C$42, 26.1495, 26.1495) * CHOOSE(CONTROL!$C$21, $C$9, 100%, $E$9)</f>
        <v>26.1495</v>
      </c>
      <c r="C497" s="17">
        <f>CHOOSE(CONTROL!$C$42, 26.1575, 26.1575) * CHOOSE(CONTROL!$C$21, $C$9, 100%, $E$9)</f>
        <v>26.157499999999999</v>
      </c>
      <c r="D497" s="17">
        <f>CHOOSE(CONTROL!$C$42, 26.4019, 26.4019) * CHOOSE(CONTROL!$C$21, $C$9, 100%, $E$9)</f>
        <v>26.401900000000001</v>
      </c>
      <c r="E497" s="17">
        <f>CHOOSE(CONTROL!$C$42, 26.4331, 26.4331) * CHOOSE(CONTROL!$C$21, $C$9, 100%, $E$9)</f>
        <v>26.4331</v>
      </c>
      <c r="F497" s="17">
        <f>CHOOSE(CONTROL!$C$42, 26.16, 26.16)*CHOOSE(CONTROL!$C$21, $C$9, 100%, $E$9)</f>
        <v>26.16</v>
      </c>
      <c r="G497" s="17">
        <f>CHOOSE(CONTROL!$C$42, 26.1763, 26.1763)*CHOOSE(CONTROL!$C$21, $C$9, 100%, $E$9)</f>
        <v>26.176300000000001</v>
      </c>
      <c r="H497" s="17">
        <f>CHOOSE(CONTROL!$C$42, 26.4214, 26.4214) * CHOOSE(CONTROL!$C$21, $C$9, 100%, $E$9)</f>
        <v>26.421399999999998</v>
      </c>
      <c r="I497" s="17">
        <f>CHOOSE(CONTROL!$C$42, 26.2519, 26.2519)* CHOOSE(CONTROL!$C$21, $C$9, 100%, $E$9)</f>
        <v>26.251899999999999</v>
      </c>
      <c r="J497" s="17">
        <f>CHOOSE(CONTROL!$C$42, 26.1526, 26.1526)* CHOOSE(CONTROL!$C$21, $C$9, 100%, $E$9)</f>
        <v>26.1526</v>
      </c>
      <c r="K497" s="52">
        <f>CHOOSE(CONTROL!$C$42, 26.2459, 26.2459) * CHOOSE(CONTROL!$C$21, $C$9, 100%, $E$9)</f>
        <v>26.245899999999999</v>
      </c>
      <c r="L497" s="17">
        <f>CHOOSE(CONTROL!$C$42, 27.0084, 27.0084) * CHOOSE(CONTROL!$C$21, $C$9, 100%, $E$9)</f>
        <v>27.008400000000002</v>
      </c>
      <c r="M497" s="17">
        <f>CHOOSE(CONTROL!$C$42, 25.9244, 25.9244) * CHOOSE(CONTROL!$C$21, $C$9, 100%, $E$9)</f>
        <v>25.924399999999999</v>
      </c>
      <c r="N497" s="17">
        <f>CHOOSE(CONTROL!$C$42, 25.9405, 25.9405) * CHOOSE(CONTROL!$C$21, $C$9, 100%, $E$9)</f>
        <v>25.9405</v>
      </c>
      <c r="O497" s="17">
        <f>CHOOSE(CONTROL!$C$42, 26.1908, 26.1908) * CHOOSE(CONTROL!$C$21, $C$9, 100%, $E$9)</f>
        <v>26.190799999999999</v>
      </c>
      <c r="P497" s="17">
        <f>CHOOSE(CONTROL!$C$42, 26.0221, 26.0221) * CHOOSE(CONTROL!$C$21, $C$9, 100%, $E$9)</f>
        <v>26.022099999999998</v>
      </c>
      <c r="Q497" s="17">
        <f>CHOOSE(CONTROL!$C$42, 26.7855, 26.7855) * CHOOSE(CONTROL!$C$21, $C$9, 100%, $E$9)</f>
        <v>26.785499999999999</v>
      </c>
      <c r="R497" s="17">
        <f>CHOOSE(CONTROL!$C$42, 27.4395, 27.4395) * CHOOSE(CONTROL!$C$21, $C$9, 100%, $E$9)</f>
        <v>27.439499999999999</v>
      </c>
      <c r="S497" s="17">
        <f>CHOOSE(CONTROL!$C$42, 25.3456, 25.3456) * CHOOSE(CONTROL!$C$21, $C$9, 100%, $E$9)</f>
        <v>25.345600000000001</v>
      </c>
      <c r="T49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97" s="56">
        <f>(1000*CHOOSE(CONTROL!$C$42, 695, 695)*CHOOSE(CONTROL!$C$42, 0.5599, 0.5599)*CHOOSE(CONTROL!$C$42, 31, 31))/1000000</f>
        <v>12.063045499999998</v>
      </c>
      <c r="V497" s="56">
        <f>(1000*CHOOSE(CONTROL!$C$42, 500, 500)*CHOOSE(CONTROL!$C$42, 0.275, 0.275)*CHOOSE(CONTROL!$C$42, 31, 31))/1000000</f>
        <v>4.2625000000000002</v>
      </c>
      <c r="W497" s="56">
        <f>(1000*CHOOSE(CONTROL!$C$42, 0.0916, 0.0916)*CHOOSE(CONTROL!$C$42, 121.5, 121.5)*CHOOSE(CONTROL!$C$42, 31, 31))/1000000</f>
        <v>0.34501139999999997</v>
      </c>
      <c r="X497" s="56">
        <f>(31*0.1790888*145000/1000000)+(31*0.2374*100000/1000000)</f>
        <v>1.5409441560000001</v>
      </c>
      <c r="Y497" s="56"/>
      <c r="Z497" s="17"/>
      <c r="AA497" s="55"/>
      <c r="AB497" s="48">
        <f>(B497*194.205+C497*267.466+D497*133.845+E497*153.484+F497*40+G497*85+H497*0+I497*100+J497*300)/(194.205+267.466+133.845+153.484+0+40+85+100+300)</f>
        <v>26.22274824835165</v>
      </c>
      <c r="AC497" s="45">
        <f>(M497*'RAP TEMPLATE-GAS AVAILABILITY'!O496+N497*'RAP TEMPLATE-GAS AVAILABILITY'!P496+O497*'RAP TEMPLATE-GAS AVAILABILITY'!Q496+P497*'RAP TEMPLATE-GAS AVAILABILITY'!R496)/('RAP TEMPLATE-GAS AVAILABILITY'!O496+'RAP TEMPLATE-GAS AVAILABILITY'!P496+'RAP TEMPLATE-GAS AVAILABILITY'!Q496+'RAP TEMPLATE-GAS AVAILABILITY'!R496)</f>
        <v>26.016909352517985</v>
      </c>
    </row>
    <row r="498" spans="1:29" ht="15.75" x14ac:dyDescent="0.25">
      <c r="A498" s="14">
        <v>56065</v>
      </c>
      <c r="B498" s="17">
        <f>CHOOSE(CONTROL!$C$42, 26.8909, 26.8909) * CHOOSE(CONTROL!$C$21, $C$9, 100%, $E$9)</f>
        <v>26.890899999999998</v>
      </c>
      <c r="C498" s="17">
        <f>CHOOSE(CONTROL!$C$42, 26.8989, 26.8989) * CHOOSE(CONTROL!$C$21, $C$9, 100%, $E$9)</f>
        <v>26.898900000000001</v>
      </c>
      <c r="D498" s="17">
        <f>CHOOSE(CONTROL!$C$42, 27.1433, 27.1433) * CHOOSE(CONTROL!$C$21, $C$9, 100%, $E$9)</f>
        <v>27.1433</v>
      </c>
      <c r="E498" s="17">
        <f>CHOOSE(CONTROL!$C$42, 27.1745, 27.1745) * CHOOSE(CONTROL!$C$21, $C$9, 100%, $E$9)</f>
        <v>27.174499999999998</v>
      </c>
      <c r="F498" s="17">
        <f>CHOOSE(CONTROL!$C$42, 26.9018, 26.9018)*CHOOSE(CONTROL!$C$21, $C$9, 100%, $E$9)</f>
        <v>26.901800000000001</v>
      </c>
      <c r="G498" s="17">
        <f>CHOOSE(CONTROL!$C$42, 26.9181, 26.9181)*CHOOSE(CONTROL!$C$21, $C$9, 100%, $E$9)</f>
        <v>26.918099999999999</v>
      </c>
      <c r="H498" s="17">
        <f>CHOOSE(CONTROL!$C$42, 27.1628, 27.1628) * CHOOSE(CONTROL!$C$21, $C$9, 100%, $E$9)</f>
        <v>27.162800000000001</v>
      </c>
      <c r="I498" s="17">
        <f>CHOOSE(CONTROL!$C$42, 26.9956, 26.9956)* CHOOSE(CONTROL!$C$21, $C$9, 100%, $E$9)</f>
        <v>26.9956</v>
      </c>
      <c r="J498" s="17">
        <f>CHOOSE(CONTROL!$C$42, 26.8944, 26.8944)* CHOOSE(CONTROL!$C$21, $C$9, 100%, $E$9)</f>
        <v>26.894400000000001</v>
      </c>
      <c r="K498" s="52">
        <f>CHOOSE(CONTROL!$C$42, 26.9896, 26.9896) * CHOOSE(CONTROL!$C$21, $C$9, 100%, $E$9)</f>
        <v>26.989599999999999</v>
      </c>
      <c r="L498" s="17">
        <f>CHOOSE(CONTROL!$C$42, 27.7498, 27.7498) * CHOOSE(CONTROL!$C$21, $C$9, 100%, $E$9)</f>
        <v>27.7498</v>
      </c>
      <c r="M498" s="17">
        <f>CHOOSE(CONTROL!$C$42, 26.6595, 26.6595) * CHOOSE(CONTROL!$C$21, $C$9, 100%, $E$9)</f>
        <v>26.659500000000001</v>
      </c>
      <c r="N498" s="17">
        <f>CHOOSE(CONTROL!$C$42, 26.6757, 26.6757) * CHOOSE(CONTROL!$C$21, $C$9, 100%, $E$9)</f>
        <v>26.675699999999999</v>
      </c>
      <c r="O498" s="17">
        <f>CHOOSE(CONTROL!$C$42, 26.9256, 26.9256) * CHOOSE(CONTROL!$C$21, $C$9, 100%, $E$9)</f>
        <v>26.925599999999999</v>
      </c>
      <c r="P498" s="17">
        <f>CHOOSE(CONTROL!$C$42, 26.7591, 26.7591) * CHOOSE(CONTROL!$C$21, $C$9, 100%, $E$9)</f>
        <v>26.7591</v>
      </c>
      <c r="Q498" s="17">
        <f>CHOOSE(CONTROL!$C$42, 27.5203, 27.5203) * CHOOSE(CONTROL!$C$21, $C$9, 100%, $E$9)</f>
        <v>27.520299999999999</v>
      </c>
      <c r="R498" s="17">
        <f>CHOOSE(CONTROL!$C$42, 28.1761, 28.1761) * CHOOSE(CONTROL!$C$21, $C$9, 100%, $E$9)</f>
        <v>28.176100000000002</v>
      </c>
      <c r="S498" s="17">
        <f>CHOOSE(CONTROL!$C$42, 26.0645, 26.0645) * CHOOSE(CONTROL!$C$21, $C$9, 100%, $E$9)</f>
        <v>26.064499999999999</v>
      </c>
      <c r="T49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98" s="56">
        <f>(1000*CHOOSE(CONTROL!$C$42, 695, 695)*CHOOSE(CONTROL!$C$42, 0.5599, 0.5599)*CHOOSE(CONTROL!$C$42, 30, 30))/1000000</f>
        <v>11.673914999999997</v>
      </c>
      <c r="V498" s="56">
        <f>(1000*CHOOSE(CONTROL!$C$42, 500, 500)*CHOOSE(CONTROL!$C$42, 0.275, 0.275)*CHOOSE(CONTROL!$C$42, 30, 30))/1000000</f>
        <v>4.125</v>
      </c>
      <c r="W498" s="56">
        <f>(1000*CHOOSE(CONTROL!$C$42, 0.0916, 0.0916)*CHOOSE(CONTROL!$C$42, 121.5, 121.5)*CHOOSE(CONTROL!$C$42, 30, 30))/1000000</f>
        <v>0.33388200000000001</v>
      </c>
      <c r="X498" s="56">
        <f>(30*0.1790888*145000/1000000)+(30*0.2374*100000/1000000)</f>
        <v>1.4912362799999999</v>
      </c>
      <c r="Y498" s="56"/>
      <c r="Z498" s="17"/>
      <c r="AA498" s="55"/>
      <c r="AB498" s="48">
        <f>(B498*194.205+C498*267.466+D498*133.845+E498*153.484+F498*40+G498*85+H498*0+I498*100+J498*300)/(194.205+267.466+133.845+153.484+0+40+85+100+300)</f>
        <v>26.964462220094191</v>
      </c>
      <c r="AC498" s="45">
        <f>(M498*'RAP TEMPLATE-GAS AVAILABILITY'!O497+N498*'RAP TEMPLATE-GAS AVAILABILITY'!P497+O498*'RAP TEMPLATE-GAS AVAILABILITY'!Q497+P498*'RAP TEMPLATE-GAS AVAILABILITY'!R497)/('RAP TEMPLATE-GAS AVAILABILITY'!O497+'RAP TEMPLATE-GAS AVAILABILITY'!P497+'RAP TEMPLATE-GAS AVAILABILITY'!Q497+'RAP TEMPLATE-GAS AVAILABILITY'!R497)</f>
        <v>26.752221582733814</v>
      </c>
    </row>
    <row r="499" spans="1:29" ht="15.75" x14ac:dyDescent="0.25">
      <c r="A499" s="14">
        <v>56096</v>
      </c>
      <c r="B499" s="17">
        <f>CHOOSE(CONTROL!$C$42, 26.3752, 26.3752) * CHOOSE(CONTROL!$C$21, $C$9, 100%, $E$9)</f>
        <v>26.3752</v>
      </c>
      <c r="C499" s="17">
        <f>CHOOSE(CONTROL!$C$42, 26.3832, 26.3832) * CHOOSE(CONTROL!$C$21, $C$9, 100%, $E$9)</f>
        <v>26.383199999999999</v>
      </c>
      <c r="D499" s="17">
        <f>CHOOSE(CONTROL!$C$42, 26.6277, 26.6277) * CHOOSE(CONTROL!$C$21, $C$9, 100%, $E$9)</f>
        <v>26.627700000000001</v>
      </c>
      <c r="E499" s="17">
        <f>CHOOSE(CONTROL!$C$42, 26.6589, 26.6589) * CHOOSE(CONTROL!$C$21, $C$9, 100%, $E$9)</f>
        <v>26.658899999999999</v>
      </c>
      <c r="F499" s="17">
        <f>CHOOSE(CONTROL!$C$42, 26.3866, 26.3866)*CHOOSE(CONTROL!$C$21, $C$9, 100%, $E$9)</f>
        <v>26.386600000000001</v>
      </c>
      <c r="G499" s="17">
        <f>CHOOSE(CONTROL!$C$42, 26.403, 26.403)*CHOOSE(CONTROL!$C$21, $C$9, 100%, $E$9)</f>
        <v>26.402999999999999</v>
      </c>
      <c r="H499" s="17">
        <f>CHOOSE(CONTROL!$C$42, 26.6472, 26.6472) * CHOOSE(CONTROL!$C$21, $C$9, 100%, $E$9)</f>
        <v>26.647200000000002</v>
      </c>
      <c r="I499" s="17">
        <f>CHOOSE(CONTROL!$C$42, 26.4784, 26.4784)* CHOOSE(CONTROL!$C$21, $C$9, 100%, $E$9)</f>
        <v>26.478400000000001</v>
      </c>
      <c r="J499" s="17">
        <f>CHOOSE(CONTROL!$C$42, 26.3792, 26.3792)* CHOOSE(CONTROL!$C$21, $C$9, 100%, $E$9)</f>
        <v>26.379200000000001</v>
      </c>
      <c r="K499" s="52">
        <f>CHOOSE(CONTROL!$C$42, 26.4723, 26.4723) * CHOOSE(CONTROL!$C$21, $C$9, 100%, $E$9)</f>
        <v>26.472300000000001</v>
      </c>
      <c r="L499" s="17">
        <f>CHOOSE(CONTROL!$C$42, 27.2342, 27.2342) * CHOOSE(CONTROL!$C$21, $C$9, 100%, $E$9)</f>
        <v>27.234200000000001</v>
      </c>
      <c r="M499" s="17">
        <f>CHOOSE(CONTROL!$C$42, 26.1489, 26.1489) * CHOOSE(CONTROL!$C$21, $C$9, 100%, $E$9)</f>
        <v>26.148900000000001</v>
      </c>
      <c r="N499" s="17">
        <f>CHOOSE(CONTROL!$C$42, 26.1652, 26.1652) * CHOOSE(CONTROL!$C$21, $C$9, 100%, $E$9)</f>
        <v>26.165199999999999</v>
      </c>
      <c r="O499" s="17">
        <f>CHOOSE(CONTROL!$C$42, 26.4146, 26.4146) * CHOOSE(CONTROL!$C$21, $C$9, 100%, $E$9)</f>
        <v>26.4146</v>
      </c>
      <c r="P499" s="17">
        <f>CHOOSE(CONTROL!$C$42, 26.2466, 26.2466) * CHOOSE(CONTROL!$C$21, $C$9, 100%, $E$9)</f>
        <v>26.246600000000001</v>
      </c>
      <c r="Q499" s="17">
        <f>CHOOSE(CONTROL!$C$42, 27.0093, 27.0093) * CHOOSE(CONTROL!$C$21, $C$9, 100%, $E$9)</f>
        <v>27.0093</v>
      </c>
      <c r="R499" s="17">
        <f>CHOOSE(CONTROL!$C$42, 27.6638, 27.6638) * CHOOSE(CONTROL!$C$21, $C$9, 100%, $E$9)</f>
        <v>27.663799999999998</v>
      </c>
      <c r="S499" s="17">
        <f>CHOOSE(CONTROL!$C$42, 25.5645, 25.5645) * CHOOSE(CONTROL!$C$21, $C$9, 100%, $E$9)</f>
        <v>25.564499999999999</v>
      </c>
      <c r="T49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99" s="56">
        <f>(1000*CHOOSE(CONTROL!$C$42, 695, 695)*CHOOSE(CONTROL!$C$42, 0.5599, 0.5599)*CHOOSE(CONTROL!$C$42, 31, 31))/1000000</f>
        <v>12.063045499999998</v>
      </c>
      <c r="V499" s="56">
        <f>(1000*CHOOSE(CONTROL!$C$42, 500, 500)*CHOOSE(CONTROL!$C$42, 0.275, 0.275)*CHOOSE(CONTROL!$C$42, 31, 31))/1000000</f>
        <v>4.2625000000000002</v>
      </c>
      <c r="W499" s="56">
        <f>(1000*CHOOSE(CONTROL!$C$42, 0.0916, 0.0916)*CHOOSE(CONTROL!$C$42, 121.5, 121.5)*CHOOSE(CONTROL!$C$42, 31, 31))/1000000</f>
        <v>0.34501139999999997</v>
      </c>
      <c r="X499" s="56">
        <f>(31*0.1790888*145000/1000000)+(31*0.2374*100000/1000000)</f>
        <v>1.5409441560000001</v>
      </c>
      <c r="Y499" s="56"/>
      <c r="Z499" s="17"/>
      <c r="AA499" s="55"/>
      <c r="AB499" s="48">
        <f>(B499*194.205+C499*267.466+D499*133.845+E499*153.484+F499*40+G499*85+H499*0+I499*100+J499*300)/(194.205+267.466+133.845+153.484+0+40+85+100+300)</f>
        <v>26.448840503375198</v>
      </c>
      <c r="AC499" s="45">
        <f>(M499*'RAP TEMPLATE-GAS AVAILABILITY'!O498+N499*'RAP TEMPLATE-GAS AVAILABILITY'!P498+O499*'RAP TEMPLATE-GAS AVAILABILITY'!Q498+P499*'RAP TEMPLATE-GAS AVAILABILITY'!R498)/('RAP TEMPLATE-GAS AVAILABILITY'!O498+'RAP TEMPLATE-GAS AVAILABILITY'!P498+'RAP TEMPLATE-GAS AVAILABILITY'!Q498+'RAP TEMPLATE-GAS AVAILABILITY'!R498)</f>
        <v>26.241258992805754</v>
      </c>
    </row>
    <row r="500" spans="1:29" ht="15.75" x14ac:dyDescent="0.25">
      <c r="A500" s="14">
        <v>56127</v>
      </c>
      <c r="B500" s="17">
        <f>CHOOSE(CONTROL!$C$42, 25.0731, 25.0731) * CHOOSE(CONTROL!$C$21, $C$9, 100%, $E$9)</f>
        <v>25.0731</v>
      </c>
      <c r="C500" s="17">
        <f>CHOOSE(CONTROL!$C$42, 25.0811, 25.0811) * CHOOSE(CONTROL!$C$21, $C$9, 100%, $E$9)</f>
        <v>25.081099999999999</v>
      </c>
      <c r="D500" s="17">
        <f>CHOOSE(CONTROL!$C$42, 25.3255, 25.3255) * CHOOSE(CONTROL!$C$21, $C$9, 100%, $E$9)</f>
        <v>25.325500000000002</v>
      </c>
      <c r="E500" s="17">
        <f>CHOOSE(CONTROL!$C$42, 25.3567, 25.3567) * CHOOSE(CONTROL!$C$21, $C$9, 100%, $E$9)</f>
        <v>25.3567</v>
      </c>
      <c r="F500" s="17">
        <f>CHOOSE(CONTROL!$C$42, 25.0846, 25.0846)*CHOOSE(CONTROL!$C$21, $C$9, 100%, $E$9)</f>
        <v>25.084599999999998</v>
      </c>
      <c r="G500" s="17">
        <f>CHOOSE(CONTROL!$C$42, 25.1011, 25.1011)*CHOOSE(CONTROL!$C$21, $C$9, 100%, $E$9)</f>
        <v>25.101099999999999</v>
      </c>
      <c r="H500" s="17">
        <f>CHOOSE(CONTROL!$C$42, 25.345, 25.345) * CHOOSE(CONTROL!$C$21, $C$9, 100%, $E$9)</f>
        <v>25.344999999999999</v>
      </c>
      <c r="I500" s="17">
        <f>CHOOSE(CONTROL!$C$42, 25.1721, 25.1721)* CHOOSE(CONTROL!$C$21, $C$9, 100%, $E$9)</f>
        <v>25.1721</v>
      </c>
      <c r="J500" s="17">
        <f>CHOOSE(CONTROL!$C$42, 25.0772, 25.0772)* CHOOSE(CONTROL!$C$21, $C$9, 100%, $E$9)</f>
        <v>25.077200000000001</v>
      </c>
      <c r="K500" s="52">
        <f>CHOOSE(CONTROL!$C$42, 25.1661, 25.1661) * CHOOSE(CONTROL!$C$21, $C$9, 100%, $E$9)</f>
        <v>25.1661</v>
      </c>
      <c r="L500" s="17">
        <f>CHOOSE(CONTROL!$C$42, 25.932, 25.932) * CHOOSE(CONTROL!$C$21, $C$9, 100%, $E$9)</f>
        <v>25.931999999999999</v>
      </c>
      <c r="M500" s="17">
        <f>CHOOSE(CONTROL!$C$42, 24.8587, 24.8587) * CHOOSE(CONTROL!$C$21, $C$9, 100%, $E$9)</f>
        <v>24.858699999999999</v>
      </c>
      <c r="N500" s="17">
        <f>CHOOSE(CONTROL!$C$42, 24.8751, 24.8751) * CHOOSE(CONTROL!$C$21, $C$9, 100%, $E$9)</f>
        <v>24.8751</v>
      </c>
      <c r="O500" s="17">
        <f>CHOOSE(CONTROL!$C$42, 25.1241, 25.1241) * CHOOSE(CONTROL!$C$21, $C$9, 100%, $E$9)</f>
        <v>25.124099999999999</v>
      </c>
      <c r="P500" s="17">
        <f>CHOOSE(CONTROL!$C$42, 24.9521, 24.9521) * CHOOSE(CONTROL!$C$21, $C$9, 100%, $E$9)</f>
        <v>24.952100000000002</v>
      </c>
      <c r="Q500" s="17">
        <f>CHOOSE(CONTROL!$C$42, 25.7188, 25.7188) * CHOOSE(CONTROL!$C$21, $C$9, 100%, $E$9)</f>
        <v>25.718800000000002</v>
      </c>
      <c r="R500" s="17">
        <f>CHOOSE(CONTROL!$C$42, 26.3701, 26.3701) * CHOOSE(CONTROL!$C$21, $C$9, 100%, $E$9)</f>
        <v>26.370100000000001</v>
      </c>
      <c r="S500" s="17">
        <f>CHOOSE(CONTROL!$C$42, 24.3018, 24.3018) * CHOOSE(CONTROL!$C$21, $C$9, 100%, $E$9)</f>
        <v>24.3018</v>
      </c>
      <c r="T50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00" s="56">
        <f>(1000*CHOOSE(CONTROL!$C$42, 695, 695)*CHOOSE(CONTROL!$C$42, 0.5599, 0.5599)*CHOOSE(CONTROL!$C$42, 31, 31))/1000000</f>
        <v>12.063045499999998</v>
      </c>
      <c r="V500" s="56">
        <f>(1000*CHOOSE(CONTROL!$C$42, 500, 500)*CHOOSE(CONTROL!$C$42, 0.275, 0.275)*CHOOSE(CONTROL!$C$42, 31, 31))/1000000</f>
        <v>4.2625000000000002</v>
      </c>
      <c r="W500" s="56">
        <f>(1000*CHOOSE(CONTROL!$C$42, 0.0916, 0.0916)*CHOOSE(CONTROL!$C$42, 121.5, 121.5)*CHOOSE(CONTROL!$C$42, 31, 31))/1000000</f>
        <v>0.34501139999999997</v>
      </c>
      <c r="X500" s="56">
        <f>(31*0.1790888*145000/1000000)+(31*0.2374*100000/1000000)</f>
        <v>1.5409441560000001</v>
      </c>
      <c r="Y500" s="56"/>
      <c r="Z500" s="17"/>
      <c r="AA500" s="55"/>
      <c r="AB500" s="48">
        <f>(B500*194.205+C500*267.466+D500*133.845+E500*153.484+F500*40+G500*85+H500*0+I500*100+J500*300)/(194.205+267.466+133.845+153.484+0+40+85+100+300)</f>
        <v>25.146428311145993</v>
      </c>
      <c r="AC500" s="45">
        <f>(M500*'RAP TEMPLATE-GAS AVAILABILITY'!O499+N500*'RAP TEMPLATE-GAS AVAILABILITY'!P499+O500*'RAP TEMPLATE-GAS AVAILABILITY'!Q499+P500*'RAP TEMPLATE-GAS AVAILABILITY'!R499)/('RAP TEMPLATE-GAS AVAILABILITY'!O499+'RAP TEMPLATE-GAS AVAILABILITY'!P499+'RAP TEMPLATE-GAS AVAILABILITY'!Q499+'RAP TEMPLATE-GAS AVAILABILITY'!R499)</f>
        <v>24.950379136690643</v>
      </c>
    </row>
    <row r="501" spans="1:29" ht="15.75" x14ac:dyDescent="0.25">
      <c r="A501" s="14">
        <v>56157</v>
      </c>
      <c r="B501" s="17">
        <f>CHOOSE(CONTROL!$C$42, 23.4818, 23.4818) * CHOOSE(CONTROL!$C$21, $C$9, 100%, $E$9)</f>
        <v>23.4818</v>
      </c>
      <c r="C501" s="17">
        <f>CHOOSE(CONTROL!$C$42, 23.4898, 23.4898) * CHOOSE(CONTROL!$C$21, $C$9, 100%, $E$9)</f>
        <v>23.489799999999999</v>
      </c>
      <c r="D501" s="17">
        <f>CHOOSE(CONTROL!$C$42, 23.7343, 23.7343) * CHOOSE(CONTROL!$C$21, $C$9, 100%, $E$9)</f>
        <v>23.734300000000001</v>
      </c>
      <c r="E501" s="17">
        <f>CHOOSE(CONTROL!$C$42, 23.7654, 23.7654) * CHOOSE(CONTROL!$C$21, $C$9, 100%, $E$9)</f>
        <v>23.7654</v>
      </c>
      <c r="F501" s="17">
        <f>CHOOSE(CONTROL!$C$42, 23.4934, 23.4934)*CHOOSE(CONTROL!$C$21, $C$9, 100%, $E$9)</f>
        <v>23.493400000000001</v>
      </c>
      <c r="G501" s="17">
        <f>CHOOSE(CONTROL!$C$42, 23.5099, 23.5099)*CHOOSE(CONTROL!$C$21, $C$9, 100%, $E$9)</f>
        <v>23.509899999999998</v>
      </c>
      <c r="H501" s="17">
        <f>CHOOSE(CONTROL!$C$42, 23.7538, 23.7538) * CHOOSE(CONTROL!$C$21, $C$9, 100%, $E$9)</f>
        <v>23.753799999999998</v>
      </c>
      <c r="I501" s="17">
        <f>CHOOSE(CONTROL!$C$42, 23.576, 23.576)* CHOOSE(CONTROL!$C$21, $C$9, 100%, $E$9)</f>
        <v>23.576000000000001</v>
      </c>
      <c r="J501" s="17">
        <f>CHOOSE(CONTROL!$C$42, 23.486, 23.486)* CHOOSE(CONTROL!$C$21, $C$9, 100%, $E$9)</f>
        <v>23.486000000000001</v>
      </c>
      <c r="K501" s="52">
        <f>CHOOSE(CONTROL!$C$42, 23.5699, 23.5699) * CHOOSE(CONTROL!$C$21, $C$9, 100%, $E$9)</f>
        <v>23.569900000000001</v>
      </c>
      <c r="L501" s="17">
        <f>CHOOSE(CONTROL!$C$42, 24.3408, 24.3408) * CHOOSE(CONTROL!$C$21, $C$9, 100%, $E$9)</f>
        <v>24.340800000000002</v>
      </c>
      <c r="M501" s="17">
        <f>CHOOSE(CONTROL!$C$42, 23.2818, 23.2818) * CHOOSE(CONTROL!$C$21, $C$9, 100%, $E$9)</f>
        <v>23.2818</v>
      </c>
      <c r="N501" s="17">
        <f>CHOOSE(CONTROL!$C$42, 23.2982, 23.2982) * CHOOSE(CONTROL!$C$21, $C$9, 100%, $E$9)</f>
        <v>23.298200000000001</v>
      </c>
      <c r="O501" s="17">
        <f>CHOOSE(CONTROL!$C$42, 23.5471, 23.5471) * CHOOSE(CONTROL!$C$21, $C$9, 100%, $E$9)</f>
        <v>23.5471</v>
      </c>
      <c r="P501" s="17">
        <f>CHOOSE(CONTROL!$C$42, 23.3703, 23.3703) * CHOOSE(CONTROL!$C$21, $C$9, 100%, $E$9)</f>
        <v>23.3703</v>
      </c>
      <c r="Q501" s="17">
        <f>CHOOSE(CONTROL!$C$42, 24.1418, 24.1418) * CHOOSE(CONTROL!$C$21, $C$9, 100%, $E$9)</f>
        <v>24.1418</v>
      </c>
      <c r="R501" s="17">
        <f>CHOOSE(CONTROL!$C$42, 24.7892, 24.7892) * CHOOSE(CONTROL!$C$21, $C$9, 100%, $E$9)</f>
        <v>24.789200000000001</v>
      </c>
      <c r="S501" s="17">
        <f>CHOOSE(CONTROL!$C$42, 22.7587, 22.7587) * CHOOSE(CONTROL!$C$21, $C$9, 100%, $E$9)</f>
        <v>22.758700000000001</v>
      </c>
      <c r="T50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01" s="56">
        <f>(1000*CHOOSE(CONTROL!$C$42, 695, 695)*CHOOSE(CONTROL!$C$42, 0.5599, 0.5599)*CHOOSE(CONTROL!$C$42, 30, 30))/1000000</f>
        <v>11.673914999999997</v>
      </c>
      <c r="V501" s="56">
        <f>(1000*CHOOSE(CONTROL!$C$42, 500, 500)*CHOOSE(CONTROL!$C$42, 0.275, 0.275)*CHOOSE(CONTROL!$C$42, 30, 30))/1000000</f>
        <v>4.125</v>
      </c>
      <c r="W501" s="56">
        <f>(1000*CHOOSE(CONTROL!$C$42, 0.0916, 0.0916)*CHOOSE(CONTROL!$C$42, 121.5, 121.5)*CHOOSE(CONTROL!$C$42, 30, 30))/1000000</f>
        <v>0.33388200000000001</v>
      </c>
      <c r="X501" s="56">
        <f>(30*0.1790888*145000/1000000)+(30*0.2374*100000/1000000)</f>
        <v>1.4912362799999999</v>
      </c>
      <c r="Y501" s="56"/>
      <c r="Z501" s="17"/>
      <c r="AA501" s="55"/>
      <c r="AB501" s="48">
        <f>(B501*194.205+C501*267.466+D501*133.845+E501*153.484+F501*40+G501*85+H501*0+I501*100+J501*300)/(194.205+267.466+133.845+153.484+0+40+85+100+300)</f>
        <v>23.554795410439556</v>
      </c>
      <c r="AC501" s="45">
        <f>(M501*'RAP TEMPLATE-GAS AVAILABILITY'!O500+N501*'RAP TEMPLATE-GAS AVAILABILITY'!P500+O501*'RAP TEMPLATE-GAS AVAILABILITY'!Q500+P501*'RAP TEMPLATE-GAS AVAILABILITY'!R500)/('RAP TEMPLATE-GAS AVAILABILITY'!O500+'RAP TEMPLATE-GAS AVAILABILITY'!P500+'RAP TEMPLATE-GAS AVAILABILITY'!Q500+'RAP TEMPLATE-GAS AVAILABILITY'!R500)</f>
        <v>23.372746043165471</v>
      </c>
    </row>
    <row r="502" spans="1:29" ht="15.75" x14ac:dyDescent="0.25">
      <c r="A502" s="14">
        <v>56188</v>
      </c>
      <c r="B502" s="17">
        <f>CHOOSE(CONTROL!$C$42, 23.0036, 23.0036) * CHOOSE(CONTROL!$C$21, $C$9, 100%, $E$9)</f>
        <v>23.003599999999999</v>
      </c>
      <c r="C502" s="17">
        <f>CHOOSE(CONTROL!$C$42, 23.0089, 23.0089) * CHOOSE(CONTROL!$C$21, $C$9, 100%, $E$9)</f>
        <v>23.008900000000001</v>
      </c>
      <c r="D502" s="17">
        <f>CHOOSE(CONTROL!$C$42, 23.2582, 23.2582) * CHOOSE(CONTROL!$C$21, $C$9, 100%, $E$9)</f>
        <v>23.258199999999999</v>
      </c>
      <c r="E502" s="17">
        <f>CHOOSE(CONTROL!$C$42, 23.2871, 23.2871) * CHOOSE(CONTROL!$C$21, $C$9, 100%, $E$9)</f>
        <v>23.287099999999999</v>
      </c>
      <c r="F502" s="17">
        <f>CHOOSE(CONTROL!$C$42, 23.0174, 23.0174)*CHOOSE(CONTROL!$C$21, $C$9, 100%, $E$9)</f>
        <v>23.017399999999999</v>
      </c>
      <c r="G502" s="17">
        <f>CHOOSE(CONTROL!$C$42, 23.0338, 23.0338)*CHOOSE(CONTROL!$C$21, $C$9, 100%, $E$9)</f>
        <v>23.033799999999999</v>
      </c>
      <c r="H502" s="17">
        <f>CHOOSE(CONTROL!$C$42, 23.2773, 23.2773) * CHOOSE(CONTROL!$C$21, $C$9, 100%, $E$9)</f>
        <v>23.2773</v>
      </c>
      <c r="I502" s="17">
        <f>CHOOSE(CONTROL!$C$42, 23.098, 23.098)* CHOOSE(CONTROL!$C$21, $C$9, 100%, $E$9)</f>
        <v>23.097999999999999</v>
      </c>
      <c r="J502" s="17">
        <f>CHOOSE(CONTROL!$C$42, 23.01, 23.01)* CHOOSE(CONTROL!$C$21, $C$9, 100%, $E$9)</f>
        <v>23.01</v>
      </c>
      <c r="K502" s="52">
        <f>CHOOSE(CONTROL!$C$42, 23.0919, 23.0919) * CHOOSE(CONTROL!$C$21, $C$9, 100%, $E$9)</f>
        <v>23.091899999999999</v>
      </c>
      <c r="L502" s="17">
        <f>CHOOSE(CONTROL!$C$42, 23.8643, 23.8643) * CHOOSE(CONTROL!$C$21, $C$9, 100%, $E$9)</f>
        <v>23.8643</v>
      </c>
      <c r="M502" s="17">
        <f>CHOOSE(CONTROL!$C$42, 22.81, 22.81) * CHOOSE(CONTROL!$C$21, $C$9, 100%, $E$9)</f>
        <v>22.81</v>
      </c>
      <c r="N502" s="17">
        <f>CHOOSE(CONTROL!$C$42, 22.8263, 22.8263) * CHOOSE(CONTROL!$C$21, $C$9, 100%, $E$9)</f>
        <v>22.8263</v>
      </c>
      <c r="O502" s="17">
        <f>CHOOSE(CONTROL!$C$42, 23.0749, 23.0749) * CHOOSE(CONTROL!$C$21, $C$9, 100%, $E$9)</f>
        <v>23.0749</v>
      </c>
      <c r="P502" s="17">
        <f>CHOOSE(CONTROL!$C$42, 22.8966, 22.8966) * CHOOSE(CONTROL!$C$21, $C$9, 100%, $E$9)</f>
        <v>22.896599999999999</v>
      </c>
      <c r="Q502" s="17">
        <f>CHOOSE(CONTROL!$C$42, 23.6696, 23.6696) * CHOOSE(CONTROL!$C$21, $C$9, 100%, $E$9)</f>
        <v>23.669599999999999</v>
      </c>
      <c r="R502" s="17">
        <f>CHOOSE(CONTROL!$C$42, 24.3158, 24.3158) * CHOOSE(CONTROL!$C$21, $C$9, 100%, $E$9)</f>
        <v>24.315799999999999</v>
      </c>
      <c r="S502" s="17">
        <f>CHOOSE(CONTROL!$C$42, 22.2967, 22.2967) * CHOOSE(CONTROL!$C$21, $C$9, 100%, $E$9)</f>
        <v>22.296700000000001</v>
      </c>
      <c r="T50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02" s="56">
        <f>(1000*CHOOSE(CONTROL!$C$42, 695, 695)*CHOOSE(CONTROL!$C$42, 0.5599, 0.5599)*CHOOSE(CONTROL!$C$42, 31, 31))/1000000</f>
        <v>12.063045499999998</v>
      </c>
      <c r="V502" s="56">
        <f>(1000*CHOOSE(CONTROL!$C$42, 500, 500)*CHOOSE(CONTROL!$C$42, 0.275, 0.275)*CHOOSE(CONTROL!$C$42, 31, 31))/1000000</f>
        <v>4.2625000000000002</v>
      </c>
      <c r="W502" s="56">
        <f>(1000*CHOOSE(CONTROL!$C$42, 0.0916, 0.0916)*CHOOSE(CONTROL!$C$42, 121.5, 121.5)*CHOOSE(CONTROL!$C$42, 31, 31))/1000000</f>
        <v>0.34501139999999997</v>
      </c>
      <c r="X502" s="56">
        <f>(31*0.1790888*145000/1000000)+(31*0.2374*100000/1000000)</f>
        <v>1.5409441560000001</v>
      </c>
      <c r="Y502" s="56"/>
      <c r="Z502" s="17"/>
      <c r="AA502" s="55"/>
      <c r="AB502" s="48">
        <f>(B502*131.881+C502*277.167+D502*79.08+E502*225.872+F502*40+G502*85+H502*0+I502*100+J502*300)/(131.881+277.167+79.08+225.872+0+40+85+100+300)</f>
        <v>23.08440424947538</v>
      </c>
      <c r="AC502" s="45">
        <f>(M502*'RAP TEMPLATE-GAS AVAILABILITY'!O501+N502*'RAP TEMPLATE-GAS AVAILABILITY'!P501+O502*'RAP TEMPLATE-GAS AVAILABILITY'!Q501+P502*'RAP TEMPLATE-GAS AVAILABILITY'!R501)/('RAP TEMPLATE-GAS AVAILABILITY'!O501+'RAP TEMPLATE-GAS AVAILABILITY'!P501+'RAP TEMPLATE-GAS AVAILABILITY'!Q501+'RAP TEMPLATE-GAS AVAILABILITY'!R501)</f>
        <v>22.900537410071941</v>
      </c>
    </row>
    <row r="503" spans="1:29" ht="15.75" x14ac:dyDescent="0.25">
      <c r="A503" s="14">
        <v>56218</v>
      </c>
      <c r="B503" s="17">
        <f>CHOOSE(CONTROL!$C$42, 23.6089, 23.6089) * CHOOSE(CONTROL!$C$21, $C$9, 100%, $E$9)</f>
        <v>23.608899999999998</v>
      </c>
      <c r="C503" s="17">
        <f>CHOOSE(CONTROL!$C$42, 23.614, 23.614) * CHOOSE(CONTROL!$C$21, $C$9, 100%, $E$9)</f>
        <v>23.614000000000001</v>
      </c>
      <c r="D503" s="17">
        <f>CHOOSE(CONTROL!$C$42, 23.6954, 23.6954) * CHOOSE(CONTROL!$C$21, $C$9, 100%, $E$9)</f>
        <v>23.695399999999999</v>
      </c>
      <c r="E503" s="17">
        <f>CHOOSE(CONTROL!$C$42, 23.7291, 23.7291) * CHOOSE(CONTROL!$C$21, $C$9, 100%, $E$9)</f>
        <v>23.729099999999999</v>
      </c>
      <c r="F503" s="17">
        <f>CHOOSE(CONTROL!$C$42, 23.6269, 23.6269)*CHOOSE(CONTROL!$C$21, $C$9, 100%, $E$9)</f>
        <v>23.626899999999999</v>
      </c>
      <c r="G503" s="17">
        <f>CHOOSE(CONTROL!$C$42, 23.6436, 23.6436)*CHOOSE(CONTROL!$C$21, $C$9, 100%, $E$9)</f>
        <v>23.643599999999999</v>
      </c>
      <c r="H503" s="17">
        <f>CHOOSE(CONTROL!$C$42, 23.718, 23.718) * CHOOSE(CONTROL!$C$21, $C$9, 100%, $E$9)</f>
        <v>23.718</v>
      </c>
      <c r="I503" s="17">
        <f>CHOOSE(CONTROL!$C$42, 23.7071, 23.7071)* CHOOSE(CONTROL!$C$21, $C$9, 100%, $E$9)</f>
        <v>23.707100000000001</v>
      </c>
      <c r="J503" s="17">
        <f>CHOOSE(CONTROL!$C$42, 23.6195, 23.6195)* CHOOSE(CONTROL!$C$21, $C$9, 100%, $E$9)</f>
        <v>23.619499999999999</v>
      </c>
      <c r="K503" s="52">
        <f>CHOOSE(CONTROL!$C$42, 23.7011, 23.7011) * CHOOSE(CONTROL!$C$21, $C$9, 100%, $E$9)</f>
        <v>23.7011</v>
      </c>
      <c r="L503" s="17">
        <f>CHOOSE(CONTROL!$C$42, 24.305, 24.305) * CHOOSE(CONTROL!$C$21, $C$9, 100%, $E$9)</f>
        <v>24.305</v>
      </c>
      <c r="M503" s="17">
        <f>CHOOSE(CONTROL!$C$42, 23.414, 23.414) * CHOOSE(CONTROL!$C$21, $C$9, 100%, $E$9)</f>
        <v>23.414000000000001</v>
      </c>
      <c r="N503" s="17">
        <f>CHOOSE(CONTROL!$C$42, 23.4306, 23.4306) * CHOOSE(CONTROL!$C$21, $C$9, 100%, $E$9)</f>
        <v>23.430599999999998</v>
      </c>
      <c r="O503" s="17">
        <f>CHOOSE(CONTROL!$C$42, 23.5117, 23.5117) * CHOOSE(CONTROL!$C$21, $C$9, 100%, $E$9)</f>
        <v>23.511700000000001</v>
      </c>
      <c r="P503" s="17">
        <f>CHOOSE(CONTROL!$C$42, 23.5003, 23.5003) * CHOOSE(CONTROL!$C$21, $C$9, 100%, $E$9)</f>
        <v>23.500299999999999</v>
      </c>
      <c r="Q503" s="17">
        <f>CHOOSE(CONTROL!$C$42, 24.1064, 24.1064) * CHOOSE(CONTROL!$C$21, $C$9, 100%, $E$9)</f>
        <v>24.106400000000001</v>
      </c>
      <c r="R503" s="17">
        <f>CHOOSE(CONTROL!$C$42, 24.7537, 24.7537) * CHOOSE(CONTROL!$C$21, $C$9, 100%, $E$9)</f>
        <v>24.753699999999998</v>
      </c>
      <c r="S503" s="17">
        <f>CHOOSE(CONTROL!$C$42, 22.884, 22.884) * CHOOSE(CONTROL!$C$21, $C$9, 100%, $E$9)</f>
        <v>22.884</v>
      </c>
      <c r="T50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03" s="56">
        <f>(1000*CHOOSE(CONTROL!$C$42, 695, 695)*CHOOSE(CONTROL!$C$42, 0.5599, 0.5599)*CHOOSE(CONTROL!$C$42, 30, 30))/1000000</f>
        <v>11.673914999999997</v>
      </c>
      <c r="V503" s="56">
        <f>(1000*CHOOSE(CONTROL!$C$42, 500, 500)*CHOOSE(CONTROL!$C$42, 0.275, 0.275)*CHOOSE(CONTROL!$C$42, 30, 30))/1000000</f>
        <v>4.125</v>
      </c>
      <c r="W503" s="56">
        <f>(1000*CHOOSE(CONTROL!$C$42, 0.0916, 0.0916)*CHOOSE(CONTROL!$C$42, 121.5, 121.5)*CHOOSE(CONTROL!$C$42, 30, 30))/1000000</f>
        <v>0.33388200000000001</v>
      </c>
      <c r="X503" s="56">
        <f>(30*0.2374*100000/1000000)</f>
        <v>0.71220000000000006</v>
      </c>
      <c r="Y503" s="56"/>
      <c r="Z503" s="17"/>
      <c r="AA503" s="55"/>
      <c r="AB503" s="48">
        <f>(B503*122.58+C503*297.941+D503*89.177+E503*140.302+F503*40+G503*60+H503*0+I503*100+J503*300)/(122.58+297.941+89.177+140.302+0+40+60+100+300)</f>
        <v>23.645334443478255</v>
      </c>
      <c r="AC503" s="45">
        <f>(M503*'RAP TEMPLATE-GAS AVAILABILITY'!O502+N503*'RAP TEMPLATE-GAS AVAILABILITY'!P502+O503*'RAP TEMPLATE-GAS AVAILABILITY'!Q502+P503*'RAP TEMPLATE-GAS AVAILABILITY'!R502)/('RAP TEMPLATE-GAS AVAILABILITY'!O502+'RAP TEMPLATE-GAS AVAILABILITY'!P502+'RAP TEMPLATE-GAS AVAILABILITY'!Q502+'RAP TEMPLATE-GAS AVAILABILITY'!R502)</f>
        <v>23.471653956834533</v>
      </c>
    </row>
    <row r="504" spans="1:29" ht="15.75" x14ac:dyDescent="0.25">
      <c r="A504" s="14">
        <v>56249</v>
      </c>
      <c r="B504" s="17">
        <f>CHOOSE(CONTROL!$C$42, 25.2178, 25.2178) * CHOOSE(CONTROL!$C$21, $C$9, 100%, $E$9)</f>
        <v>25.2178</v>
      </c>
      <c r="C504" s="17">
        <f>CHOOSE(CONTROL!$C$42, 25.2229, 25.2229) * CHOOSE(CONTROL!$C$21, $C$9, 100%, $E$9)</f>
        <v>25.222899999999999</v>
      </c>
      <c r="D504" s="17">
        <f>CHOOSE(CONTROL!$C$42, 25.3043, 25.3043) * CHOOSE(CONTROL!$C$21, $C$9, 100%, $E$9)</f>
        <v>25.304300000000001</v>
      </c>
      <c r="E504" s="17">
        <f>CHOOSE(CONTROL!$C$42, 25.338, 25.338) * CHOOSE(CONTROL!$C$21, $C$9, 100%, $E$9)</f>
        <v>25.338000000000001</v>
      </c>
      <c r="F504" s="17">
        <f>CHOOSE(CONTROL!$C$42, 25.2382, 25.2382)*CHOOSE(CONTROL!$C$21, $C$9, 100%, $E$9)</f>
        <v>25.238199999999999</v>
      </c>
      <c r="G504" s="17">
        <f>CHOOSE(CONTROL!$C$42, 25.2555, 25.2555)*CHOOSE(CONTROL!$C$21, $C$9, 100%, $E$9)</f>
        <v>25.255500000000001</v>
      </c>
      <c r="H504" s="17">
        <f>CHOOSE(CONTROL!$C$42, 25.3269, 25.3269) * CHOOSE(CONTROL!$C$21, $C$9, 100%, $E$9)</f>
        <v>25.326899999999998</v>
      </c>
      <c r="I504" s="17">
        <f>CHOOSE(CONTROL!$C$42, 25.321, 25.321)* CHOOSE(CONTROL!$C$21, $C$9, 100%, $E$9)</f>
        <v>25.321000000000002</v>
      </c>
      <c r="J504" s="17">
        <f>CHOOSE(CONTROL!$C$42, 25.2308, 25.2308)* CHOOSE(CONTROL!$C$21, $C$9, 100%, $E$9)</f>
        <v>25.230799999999999</v>
      </c>
      <c r="K504" s="52">
        <f>CHOOSE(CONTROL!$C$42, 25.315, 25.315) * CHOOSE(CONTROL!$C$21, $C$9, 100%, $E$9)</f>
        <v>25.315000000000001</v>
      </c>
      <c r="L504" s="17">
        <f>CHOOSE(CONTROL!$C$42, 25.9139, 25.9139) * CHOOSE(CONTROL!$C$21, $C$9, 100%, $E$9)</f>
        <v>25.913900000000002</v>
      </c>
      <c r="M504" s="17">
        <f>CHOOSE(CONTROL!$C$42, 25.0109, 25.0109) * CHOOSE(CONTROL!$C$21, $C$9, 100%, $E$9)</f>
        <v>25.010899999999999</v>
      </c>
      <c r="N504" s="17">
        <f>CHOOSE(CONTROL!$C$42, 25.028, 25.028) * CHOOSE(CONTROL!$C$21, $C$9, 100%, $E$9)</f>
        <v>25.027999999999999</v>
      </c>
      <c r="O504" s="17">
        <f>CHOOSE(CONTROL!$C$42, 25.1061, 25.1061) * CHOOSE(CONTROL!$C$21, $C$9, 100%, $E$9)</f>
        <v>25.106100000000001</v>
      </c>
      <c r="P504" s="17">
        <f>CHOOSE(CONTROL!$C$42, 25.0997, 25.0997) * CHOOSE(CONTROL!$C$21, $C$9, 100%, $E$9)</f>
        <v>25.099699999999999</v>
      </c>
      <c r="Q504" s="17">
        <f>CHOOSE(CONTROL!$C$42, 25.7008, 25.7008) * CHOOSE(CONTROL!$C$21, $C$9, 100%, $E$9)</f>
        <v>25.700800000000001</v>
      </c>
      <c r="R504" s="17">
        <f>CHOOSE(CONTROL!$C$42, 26.3521, 26.3521) * CHOOSE(CONTROL!$C$21, $C$9, 100%, $E$9)</f>
        <v>26.3521</v>
      </c>
      <c r="S504" s="17">
        <f>CHOOSE(CONTROL!$C$42, 24.4442, 24.4442) * CHOOSE(CONTROL!$C$21, $C$9, 100%, $E$9)</f>
        <v>24.444199999999999</v>
      </c>
      <c r="T50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04" s="56">
        <f>(1000*CHOOSE(CONTROL!$C$42, 695, 695)*CHOOSE(CONTROL!$C$42, 0.5599, 0.5599)*CHOOSE(CONTROL!$C$42, 31, 31))/1000000</f>
        <v>12.063045499999998</v>
      </c>
      <c r="V504" s="56">
        <f>(1000*CHOOSE(CONTROL!$C$42, 500, 500)*CHOOSE(CONTROL!$C$42, 0.275, 0.275)*CHOOSE(CONTROL!$C$42, 31, 31))/1000000</f>
        <v>4.2625000000000002</v>
      </c>
      <c r="W504" s="56">
        <f>(1000*CHOOSE(CONTROL!$C$42, 0.0916, 0.0916)*CHOOSE(CONTROL!$C$42, 121.5, 121.5)*CHOOSE(CONTROL!$C$42, 31, 31))/1000000</f>
        <v>0.34501139999999997</v>
      </c>
      <c r="X504" s="56">
        <f>(31*0.2374*100000/1000000)</f>
        <v>0.73594000000000004</v>
      </c>
      <c r="Y504" s="56"/>
      <c r="Z504" s="17"/>
      <c r="AA504" s="55"/>
      <c r="AB504" s="48">
        <f>(B504*122.58+C504*297.941+D504*89.177+E504*140.302+F504*40+G504*60+H504*0+I504*100+J504*300)/(122.58+297.941+89.177+140.302+0+40+60+100+300)</f>
        <v>25.255535313043474</v>
      </c>
      <c r="AC504" s="45">
        <f>(M504*'RAP TEMPLATE-GAS AVAILABILITY'!O503+N504*'RAP TEMPLATE-GAS AVAILABILITY'!P503+O504*'RAP TEMPLATE-GAS AVAILABILITY'!Q503+P504*'RAP TEMPLATE-GAS AVAILABILITY'!R503)/('RAP TEMPLATE-GAS AVAILABILITY'!O503+'RAP TEMPLATE-GAS AVAILABILITY'!P503+'RAP TEMPLATE-GAS AVAILABILITY'!Q503+'RAP TEMPLATE-GAS AVAILABILITY'!R503)</f>
        <v>25.06780935251799</v>
      </c>
    </row>
    <row r="505" spans="1:29" ht="15.75" x14ac:dyDescent="0.25">
      <c r="A505" s="14">
        <v>56280</v>
      </c>
      <c r="B505" s="17">
        <f>CHOOSE(CONTROL!$C$42, 27.3075, 27.3075) * CHOOSE(CONTROL!$C$21, $C$9, 100%, $E$9)</f>
        <v>27.307500000000001</v>
      </c>
      <c r="C505" s="17">
        <f>CHOOSE(CONTROL!$C$42, 27.3126, 27.3126) * CHOOSE(CONTROL!$C$21, $C$9, 100%, $E$9)</f>
        <v>27.3126</v>
      </c>
      <c r="D505" s="17">
        <f>CHOOSE(CONTROL!$C$42, 27.4095, 27.4095) * CHOOSE(CONTROL!$C$21, $C$9, 100%, $E$9)</f>
        <v>27.409500000000001</v>
      </c>
      <c r="E505" s="17">
        <f>CHOOSE(CONTROL!$C$42, 27.4432, 27.4432) * CHOOSE(CONTROL!$C$21, $C$9, 100%, $E$9)</f>
        <v>27.443200000000001</v>
      </c>
      <c r="F505" s="17">
        <f>CHOOSE(CONTROL!$C$42, 27.3218, 27.3218)*CHOOSE(CONTROL!$C$21, $C$9, 100%, $E$9)</f>
        <v>27.3218</v>
      </c>
      <c r="G505" s="17">
        <f>CHOOSE(CONTROL!$C$42, 27.3382, 27.3382)*CHOOSE(CONTROL!$C$21, $C$9, 100%, $E$9)</f>
        <v>27.338200000000001</v>
      </c>
      <c r="H505" s="17">
        <f>CHOOSE(CONTROL!$C$42, 27.4321, 27.4321) * CHOOSE(CONTROL!$C$21, $C$9, 100%, $E$9)</f>
        <v>27.432099999999998</v>
      </c>
      <c r="I505" s="17">
        <f>CHOOSE(CONTROL!$C$42, 27.4172, 27.4172)* CHOOSE(CONTROL!$C$21, $C$9, 100%, $E$9)</f>
        <v>27.417200000000001</v>
      </c>
      <c r="J505" s="17">
        <f>CHOOSE(CONTROL!$C$42, 27.3144, 27.3144)* CHOOSE(CONTROL!$C$21, $C$9, 100%, $E$9)</f>
        <v>27.314399999999999</v>
      </c>
      <c r="K505" s="52">
        <f>CHOOSE(CONTROL!$C$42, 27.4112, 27.4112) * CHOOSE(CONTROL!$C$21, $C$9, 100%, $E$9)</f>
        <v>27.411200000000001</v>
      </c>
      <c r="L505" s="17">
        <f>CHOOSE(CONTROL!$C$42, 28.0191, 28.0191) * CHOOSE(CONTROL!$C$21, $C$9, 100%, $E$9)</f>
        <v>28.019100000000002</v>
      </c>
      <c r="M505" s="17">
        <f>CHOOSE(CONTROL!$C$42, 27.0758, 27.0758) * CHOOSE(CONTROL!$C$21, $C$9, 100%, $E$9)</f>
        <v>27.075800000000001</v>
      </c>
      <c r="N505" s="17">
        <f>CHOOSE(CONTROL!$C$42, 27.092, 27.092) * CHOOSE(CONTROL!$C$21, $C$9, 100%, $E$9)</f>
        <v>27.091999999999999</v>
      </c>
      <c r="O505" s="17">
        <f>CHOOSE(CONTROL!$C$42, 27.1924, 27.1924) * CHOOSE(CONTROL!$C$21, $C$9, 100%, $E$9)</f>
        <v>27.192399999999999</v>
      </c>
      <c r="P505" s="17">
        <f>CHOOSE(CONTROL!$C$42, 27.177, 27.177) * CHOOSE(CONTROL!$C$21, $C$9, 100%, $E$9)</f>
        <v>27.177</v>
      </c>
      <c r="Q505" s="17">
        <f>CHOOSE(CONTROL!$C$42, 27.7871, 27.7871) * CHOOSE(CONTROL!$C$21, $C$9, 100%, $E$9)</f>
        <v>27.787099999999999</v>
      </c>
      <c r="R505" s="17">
        <f>CHOOSE(CONTROL!$C$42, 28.4436, 28.4436) * CHOOSE(CONTROL!$C$21, $C$9, 100%, $E$9)</f>
        <v>28.4436</v>
      </c>
      <c r="S505" s="17">
        <f>CHOOSE(CONTROL!$C$42, 26.4706, 26.4706) * CHOOSE(CONTROL!$C$21, $C$9, 100%, $E$9)</f>
        <v>26.470600000000001</v>
      </c>
      <c r="T50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05" s="56">
        <f>(1000*CHOOSE(CONTROL!$C$42, 695, 695)*CHOOSE(CONTROL!$C$42, 0.5599, 0.5599)*CHOOSE(CONTROL!$C$42, 31, 31))/1000000</f>
        <v>12.063045499999998</v>
      </c>
      <c r="V505" s="56">
        <f>(1000*CHOOSE(CONTROL!$C$42, 500, 500)*CHOOSE(CONTROL!$C$42, 0.275, 0.275)*CHOOSE(CONTROL!$C$42, 31, 31))/1000000</f>
        <v>4.2625000000000002</v>
      </c>
      <c r="W505" s="56">
        <f>(1000*CHOOSE(CONTROL!$C$42, 0.0916, 0.0916)*CHOOSE(CONTROL!$C$42, 121.5, 121.5)*CHOOSE(CONTROL!$C$42, 31, 31))/1000000</f>
        <v>0.34501139999999997</v>
      </c>
      <c r="X505" s="56">
        <f>(31*0.2374*100000/1000000)</f>
        <v>0.73594000000000004</v>
      </c>
      <c r="Y505" s="56"/>
      <c r="Z505" s="17"/>
      <c r="AA505" s="55"/>
      <c r="AB505" s="48">
        <f>(B505*122.58+C505*297.941+D505*89.177+E505*140.302+F505*40+G505*60+H505*0+I505*100+J505*300)/(122.58+297.941+89.177+140.302+0+40+60+100+300)</f>
        <v>27.346724812608695</v>
      </c>
      <c r="AC505" s="45">
        <f>(M505*'RAP TEMPLATE-GAS AVAILABILITY'!O504+N505*'RAP TEMPLATE-GAS AVAILABILITY'!P504+O505*'RAP TEMPLATE-GAS AVAILABILITY'!Q504+P505*'RAP TEMPLATE-GAS AVAILABILITY'!R504)/('RAP TEMPLATE-GAS AVAILABILITY'!O504+'RAP TEMPLATE-GAS AVAILABILITY'!P504+'RAP TEMPLATE-GAS AVAILABILITY'!Q504+'RAP TEMPLATE-GAS AVAILABILITY'!R504)</f>
        <v>27.144141007194243</v>
      </c>
    </row>
    <row r="506" spans="1:29" ht="15.75" x14ac:dyDescent="0.25">
      <c r="A506" s="14">
        <v>56308</v>
      </c>
      <c r="B506" s="17">
        <f>CHOOSE(CONTROL!$C$42, 27.7935, 27.7935) * CHOOSE(CONTROL!$C$21, $C$9, 100%, $E$9)</f>
        <v>27.793500000000002</v>
      </c>
      <c r="C506" s="17">
        <f>CHOOSE(CONTROL!$C$42, 27.7986, 27.7986) * CHOOSE(CONTROL!$C$21, $C$9, 100%, $E$9)</f>
        <v>27.7986</v>
      </c>
      <c r="D506" s="17">
        <f>CHOOSE(CONTROL!$C$42, 27.8954, 27.8954) * CHOOSE(CONTROL!$C$21, $C$9, 100%, $E$9)</f>
        <v>27.895399999999999</v>
      </c>
      <c r="E506" s="17">
        <f>CHOOSE(CONTROL!$C$42, 27.9291, 27.9291) * CHOOSE(CONTROL!$C$21, $C$9, 100%, $E$9)</f>
        <v>27.929099999999998</v>
      </c>
      <c r="F506" s="17">
        <f>CHOOSE(CONTROL!$C$42, 27.8077, 27.8077)*CHOOSE(CONTROL!$C$21, $C$9, 100%, $E$9)</f>
        <v>27.807700000000001</v>
      </c>
      <c r="G506" s="17">
        <f>CHOOSE(CONTROL!$C$42, 27.8241, 27.8241)*CHOOSE(CONTROL!$C$21, $C$9, 100%, $E$9)</f>
        <v>27.824100000000001</v>
      </c>
      <c r="H506" s="17">
        <f>CHOOSE(CONTROL!$C$42, 27.918, 27.918) * CHOOSE(CONTROL!$C$21, $C$9, 100%, $E$9)</f>
        <v>27.917999999999999</v>
      </c>
      <c r="I506" s="17">
        <f>CHOOSE(CONTROL!$C$42, 27.9047, 27.9047)* CHOOSE(CONTROL!$C$21, $C$9, 100%, $E$9)</f>
        <v>27.904699999999998</v>
      </c>
      <c r="J506" s="17">
        <f>CHOOSE(CONTROL!$C$42, 27.8003, 27.8003)* CHOOSE(CONTROL!$C$21, $C$9, 100%, $E$9)</f>
        <v>27.8003</v>
      </c>
      <c r="K506" s="52">
        <f>CHOOSE(CONTROL!$C$42, 27.8986, 27.8986) * CHOOSE(CONTROL!$C$21, $C$9, 100%, $E$9)</f>
        <v>27.898599999999998</v>
      </c>
      <c r="L506" s="17">
        <f>CHOOSE(CONTROL!$C$42, 28.505, 28.505) * CHOOSE(CONTROL!$C$21, $C$9, 100%, $E$9)</f>
        <v>28.504999999999999</v>
      </c>
      <c r="M506" s="17">
        <f>CHOOSE(CONTROL!$C$42, 27.5573, 27.5573) * CHOOSE(CONTROL!$C$21, $C$9, 100%, $E$9)</f>
        <v>27.557300000000001</v>
      </c>
      <c r="N506" s="17">
        <f>CHOOSE(CONTROL!$C$42, 27.5736, 27.5736) * CHOOSE(CONTROL!$C$21, $C$9, 100%, $E$9)</f>
        <v>27.573599999999999</v>
      </c>
      <c r="O506" s="17">
        <f>CHOOSE(CONTROL!$C$42, 27.6739, 27.6739) * CHOOSE(CONTROL!$C$21, $C$9, 100%, $E$9)</f>
        <v>27.6739</v>
      </c>
      <c r="P506" s="17">
        <f>CHOOSE(CONTROL!$C$42, 27.66, 27.66) * CHOOSE(CONTROL!$C$21, $C$9, 100%, $E$9)</f>
        <v>27.66</v>
      </c>
      <c r="Q506" s="17">
        <f>CHOOSE(CONTROL!$C$42, 28.2686, 28.2686) * CHOOSE(CONTROL!$C$21, $C$9, 100%, $E$9)</f>
        <v>28.268599999999999</v>
      </c>
      <c r="R506" s="17">
        <f>CHOOSE(CONTROL!$C$42, 28.9263, 28.9263) * CHOOSE(CONTROL!$C$21, $C$9, 100%, $E$9)</f>
        <v>28.926300000000001</v>
      </c>
      <c r="S506" s="17">
        <f>CHOOSE(CONTROL!$C$42, 26.9418, 26.9418) * CHOOSE(CONTROL!$C$21, $C$9, 100%, $E$9)</f>
        <v>26.941800000000001</v>
      </c>
      <c r="T50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06" s="56">
        <f>(1000*CHOOSE(CONTROL!$C$42, 695, 695)*CHOOSE(CONTROL!$C$42, 0.5599, 0.5599)*CHOOSE(CONTROL!$C$42, 28, 28))/1000000</f>
        <v>10.895653999999999</v>
      </c>
      <c r="V506" s="56">
        <f>(1000*CHOOSE(CONTROL!$C$42, 500, 500)*CHOOSE(CONTROL!$C$42, 0.275, 0.275)*CHOOSE(CONTROL!$C$42, 28, 28))/1000000</f>
        <v>3.85</v>
      </c>
      <c r="W506" s="56">
        <f>(1000*CHOOSE(CONTROL!$C$42, 0.0916, 0.0916)*CHOOSE(CONTROL!$C$42, 121.5, 121.5)*CHOOSE(CONTROL!$C$42, 28, 28))/1000000</f>
        <v>0.31162319999999999</v>
      </c>
      <c r="X506" s="56">
        <f>(28*0.2374*100000/1000000)</f>
        <v>0.66471999999999998</v>
      </c>
      <c r="Y506" s="56"/>
      <c r="Z506" s="17"/>
      <c r="AA506" s="55"/>
      <c r="AB506" s="48">
        <f>(B506*122.58+C506*297.941+D506*89.177+E506*140.302+F506*40+G506*60+H506*0+I506*100+J506*300)/(122.58+297.941+89.177+140.302+0+40+60+100+300)</f>
        <v>27.832800510086958</v>
      </c>
      <c r="AC506" s="45">
        <f>(M506*'RAP TEMPLATE-GAS AVAILABILITY'!O505+N506*'RAP TEMPLATE-GAS AVAILABILITY'!P505+O506*'RAP TEMPLATE-GAS AVAILABILITY'!Q505+P506*'RAP TEMPLATE-GAS AVAILABILITY'!R505)/('RAP TEMPLATE-GAS AVAILABILITY'!O505+'RAP TEMPLATE-GAS AVAILABILITY'!P505+'RAP TEMPLATE-GAS AVAILABILITY'!Q505+'RAP TEMPLATE-GAS AVAILABILITY'!R505)</f>
        <v>27.625862589928058</v>
      </c>
    </row>
    <row r="507" spans="1:29" ht="15.75" x14ac:dyDescent="0.25">
      <c r="A507" s="14">
        <v>56339</v>
      </c>
      <c r="B507" s="17">
        <f>CHOOSE(CONTROL!$C$42, 27.0047, 27.0047) * CHOOSE(CONTROL!$C$21, $C$9, 100%, $E$9)</f>
        <v>27.0047</v>
      </c>
      <c r="C507" s="17">
        <f>CHOOSE(CONTROL!$C$42, 27.0098, 27.0098) * CHOOSE(CONTROL!$C$21, $C$9, 100%, $E$9)</f>
        <v>27.009799999999998</v>
      </c>
      <c r="D507" s="17">
        <f>CHOOSE(CONTROL!$C$42, 27.1066, 27.1066) * CHOOSE(CONTROL!$C$21, $C$9, 100%, $E$9)</f>
        <v>27.1066</v>
      </c>
      <c r="E507" s="17">
        <f>CHOOSE(CONTROL!$C$42, 27.1404, 27.1404) * CHOOSE(CONTROL!$C$21, $C$9, 100%, $E$9)</f>
        <v>27.1404</v>
      </c>
      <c r="F507" s="17">
        <f>CHOOSE(CONTROL!$C$42, 27.0183, 27.0183)*CHOOSE(CONTROL!$C$21, $C$9, 100%, $E$9)</f>
        <v>27.0183</v>
      </c>
      <c r="G507" s="17">
        <f>CHOOSE(CONTROL!$C$42, 27.0346, 27.0346)*CHOOSE(CONTROL!$C$21, $C$9, 100%, $E$9)</f>
        <v>27.034600000000001</v>
      </c>
      <c r="H507" s="17">
        <f>CHOOSE(CONTROL!$C$42, 27.1292, 27.1292) * CHOOSE(CONTROL!$C$21, $C$9, 100%, $E$9)</f>
        <v>27.129200000000001</v>
      </c>
      <c r="I507" s="17">
        <f>CHOOSE(CONTROL!$C$42, 27.1134, 27.1134)* CHOOSE(CONTROL!$C$21, $C$9, 100%, $E$9)</f>
        <v>27.113399999999999</v>
      </c>
      <c r="J507" s="17">
        <f>CHOOSE(CONTROL!$C$42, 27.0109, 27.0109)* CHOOSE(CONTROL!$C$21, $C$9, 100%, $E$9)</f>
        <v>27.010899999999999</v>
      </c>
      <c r="K507" s="52">
        <f>CHOOSE(CONTROL!$C$42, 27.1074, 27.1074) * CHOOSE(CONTROL!$C$21, $C$9, 100%, $E$9)</f>
        <v>27.107399999999998</v>
      </c>
      <c r="L507" s="17">
        <f>CHOOSE(CONTROL!$C$42, 27.7162, 27.7162) * CHOOSE(CONTROL!$C$21, $C$9, 100%, $E$9)</f>
        <v>27.716200000000001</v>
      </c>
      <c r="M507" s="17">
        <f>CHOOSE(CONTROL!$C$42, 26.775, 26.775) * CHOOSE(CONTROL!$C$21, $C$9, 100%, $E$9)</f>
        <v>26.774999999999999</v>
      </c>
      <c r="N507" s="17">
        <f>CHOOSE(CONTROL!$C$42, 26.7911, 26.7911) * CHOOSE(CONTROL!$C$21, $C$9, 100%, $E$9)</f>
        <v>26.7911</v>
      </c>
      <c r="O507" s="17">
        <f>CHOOSE(CONTROL!$C$42, 26.8923, 26.8923) * CHOOSE(CONTROL!$C$21, $C$9, 100%, $E$9)</f>
        <v>26.892299999999999</v>
      </c>
      <c r="P507" s="17">
        <f>CHOOSE(CONTROL!$C$42, 26.8759, 26.8759) * CHOOSE(CONTROL!$C$21, $C$9, 100%, $E$9)</f>
        <v>26.875900000000001</v>
      </c>
      <c r="Q507" s="17">
        <f>CHOOSE(CONTROL!$C$42, 27.487, 27.487) * CHOOSE(CONTROL!$C$21, $C$9, 100%, $E$9)</f>
        <v>27.486999999999998</v>
      </c>
      <c r="R507" s="17">
        <f>CHOOSE(CONTROL!$C$42, 28.1427, 28.1427) * CHOOSE(CONTROL!$C$21, $C$9, 100%, $E$9)</f>
        <v>28.142700000000001</v>
      </c>
      <c r="S507" s="17">
        <f>CHOOSE(CONTROL!$C$42, 26.1769, 26.1769) * CHOOSE(CONTROL!$C$21, $C$9, 100%, $E$9)</f>
        <v>26.1769</v>
      </c>
      <c r="T50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07" s="56">
        <f>(1000*CHOOSE(CONTROL!$C$42, 695, 695)*CHOOSE(CONTROL!$C$42, 0.5599, 0.5599)*CHOOSE(CONTROL!$C$42, 31, 31))/1000000</f>
        <v>12.063045499999998</v>
      </c>
      <c r="V507" s="56">
        <f>(1000*CHOOSE(CONTROL!$C$42, 500, 500)*CHOOSE(CONTROL!$C$42, 0.275, 0.275)*CHOOSE(CONTROL!$C$42, 31, 31))/1000000</f>
        <v>4.2625000000000002</v>
      </c>
      <c r="W507" s="56">
        <f>(1000*CHOOSE(CONTROL!$C$42, 0.0916, 0.0916)*CHOOSE(CONTROL!$C$42, 121.5, 121.5)*CHOOSE(CONTROL!$C$42, 31, 31))/1000000</f>
        <v>0.34501139999999997</v>
      </c>
      <c r="X507" s="56">
        <f>(31*0.2374*100000/1000000)</f>
        <v>0.73594000000000004</v>
      </c>
      <c r="Y507" s="56"/>
      <c r="Z507" s="17"/>
      <c r="AA507" s="55"/>
      <c r="AB507" s="48">
        <f>(B507*122.58+C507*297.941+D507*89.177+E507*140.302+F507*40+G507*60+H507*0+I507*100+J507*300)/(122.58+297.941+89.177+140.302+0+40+60+100+300)</f>
        <v>27.043581405913041</v>
      </c>
      <c r="AC507" s="45">
        <f>(M507*'RAP TEMPLATE-GAS AVAILABILITY'!O506+N507*'RAP TEMPLATE-GAS AVAILABILITY'!P506+O507*'RAP TEMPLATE-GAS AVAILABILITY'!Q506+P507*'RAP TEMPLATE-GAS AVAILABILITY'!R506)/('RAP TEMPLATE-GAS AVAILABILITY'!O506+'RAP TEMPLATE-GAS AVAILABILITY'!P506+'RAP TEMPLATE-GAS AVAILABILITY'!Q506+'RAP TEMPLATE-GAS AVAILABILITY'!R506)</f>
        <v>26.843609352517984</v>
      </c>
    </row>
    <row r="508" spans="1:29" ht="15.75" x14ac:dyDescent="0.25">
      <c r="A508" s="14">
        <v>56369</v>
      </c>
      <c r="B508" s="17">
        <f>CHOOSE(CONTROL!$C$42, 26.9249, 26.9249) * CHOOSE(CONTROL!$C$21, $C$9, 100%, $E$9)</f>
        <v>26.924900000000001</v>
      </c>
      <c r="C508" s="17">
        <f>CHOOSE(CONTROL!$C$42, 26.9294, 26.9294) * CHOOSE(CONTROL!$C$21, $C$9, 100%, $E$9)</f>
        <v>26.929400000000001</v>
      </c>
      <c r="D508" s="17">
        <f>CHOOSE(CONTROL!$C$42, 27.1769, 27.1769) * CHOOSE(CONTROL!$C$21, $C$9, 100%, $E$9)</f>
        <v>27.1769</v>
      </c>
      <c r="E508" s="17">
        <f>CHOOSE(CONTROL!$C$42, 27.2087, 27.2087) * CHOOSE(CONTROL!$C$21, $C$9, 100%, $E$9)</f>
        <v>27.2087</v>
      </c>
      <c r="F508" s="17">
        <f>CHOOSE(CONTROL!$C$42, 26.9365, 26.9365)*CHOOSE(CONTROL!$C$21, $C$9, 100%, $E$9)</f>
        <v>26.936499999999999</v>
      </c>
      <c r="G508" s="17">
        <f>CHOOSE(CONTROL!$C$42, 26.9524, 26.9524)*CHOOSE(CONTROL!$C$21, $C$9, 100%, $E$9)</f>
        <v>26.952400000000001</v>
      </c>
      <c r="H508" s="17">
        <f>CHOOSE(CONTROL!$C$42, 27.1982, 27.1982) * CHOOSE(CONTROL!$C$21, $C$9, 100%, $E$9)</f>
        <v>27.1982</v>
      </c>
      <c r="I508" s="17">
        <f>CHOOSE(CONTROL!$C$42, 27.031, 27.031)* CHOOSE(CONTROL!$C$21, $C$9, 100%, $E$9)</f>
        <v>27.030999999999999</v>
      </c>
      <c r="J508" s="17">
        <f>CHOOSE(CONTROL!$C$42, 26.9291, 26.9291)* CHOOSE(CONTROL!$C$21, $C$9, 100%, $E$9)</f>
        <v>26.929099999999998</v>
      </c>
      <c r="K508" s="52">
        <f>CHOOSE(CONTROL!$C$42, 27.025, 27.025) * CHOOSE(CONTROL!$C$21, $C$9, 100%, $E$9)</f>
        <v>27.024999999999999</v>
      </c>
      <c r="L508" s="17">
        <f>CHOOSE(CONTROL!$C$42, 27.7852, 27.7852) * CHOOSE(CONTROL!$C$21, $C$9, 100%, $E$9)</f>
        <v>27.7852</v>
      </c>
      <c r="M508" s="17">
        <f>CHOOSE(CONTROL!$C$42, 26.6939, 26.6939) * CHOOSE(CONTROL!$C$21, $C$9, 100%, $E$9)</f>
        <v>26.693899999999999</v>
      </c>
      <c r="N508" s="17">
        <f>CHOOSE(CONTROL!$C$42, 26.7097, 26.7097) * CHOOSE(CONTROL!$C$21, $C$9, 100%, $E$9)</f>
        <v>26.709700000000002</v>
      </c>
      <c r="O508" s="17">
        <f>CHOOSE(CONTROL!$C$42, 26.9606, 26.9606) * CHOOSE(CONTROL!$C$21, $C$9, 100%, $E$9)</f>
        <v>26.960599999999999</v>
      </c>
      <c r="P508" s="17">
        <f>CHOOSE(CONTROL!$C$42, 26.7943, 26.7943) * CHOOSE(CONTROL!$C$21, $C$9, 100%, $E$9)</f>
        <v>26.7943</v>
      </c>
      <c r="Q508" s="17">
        <f>CHOOSE(CONTROL!$C$42, 27.5553, 27.5553) * CHOOSE(CONTROL!$C$21, $C$9, 100%, $E$9)</f>
        <v>27.555299999999999</v>
      </c>
      <c r="R508" s="17">
        <f>CHOOSE(CONTROL!$C$42, 28.2112, 28.2112) * CHOOSE(CONTROL!$C$21, $C$9, 100%, $E$9)</f>
        <v>28.211200000000002</v>
      </c>
      <c r="S508" s="17">
        <f>CHOOSE(CONTROL!$C$42, 26.0988, 26.0988) * CHOOSE(CONTROL!$C$21, $C$9, 100%, $E$9)</f>
        <v>26.098800000000001</v>
      </c>
      <c r="T50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08" s="56">
        <f>(1000*CHOOSE(CONTROL!$C$42, 695, 695)*CHOOSE(CONTROL!$C$42, 0.5599, 0.5599)*CHOOSE(CONTROL!$C$42, 30, 30))/1000000</f>
        <v>11.673914999999997</v>
      </c>
      <c r="V508" s="56">
        <f>(1000*CHOOSE(CONTROL!$C$42, 500, 500)*CHOOSE(CONTROL!$C$42, 0.275, 0.275)*CHOOSE(CONTROL!$C$42, 30, 30))/1000000</f>
        <v>4.125</v>
      </c>
      <c r="W508" s="56">
        <f>(1000*CHOOSE(CONTROL!$C$42, 0.0916, 0.0916)*CHOOSE(CONTROL!$C$42, 121.5, 121.5)*CHOOSE(CONTROL!$C$42, 30, 30))/1000000</f>
        <v>0.33388200000000001</v>
      </c>
      <c r="X508" s="56">
        <f>(30*0.1790888*145000/1000000)+(30*0.2374*100000/1000000)</f>
        <v>1.4912362799999999</v>
      </c>
      <c r="Y508" s="56"/>
      <c r="Z508" s="17"/>
      <c r="AA508" s="55"/>
      <c r="AB508" s="48">
        <f>(B508*141.293+C508*267.993+D508*115.016+E508*189.698+F508*40+G508*85+H508*0+I508*100+J508*300)/(141.293+267.993+115.016+189.698+0+40+85+100+300)</f>
        <v>27.004559235593224</v>
      </c>
      <c r="AC508" s="45">
        <f>(M508*'RAP TEMPLATE-GAS AVAILABILITY'!O507+N508*'RAP TEMPLATE-GAS AVAILABILITY'!P507+O508*'RAP TEMPLATE-GAS AVAILABILITY'!Q507+P508*'RAP TEMPLATE-GAS AVAILABILITY'!R507)/('RAP TEMPLATE-GAS AVAILABILITY'!O507+'RAP TEMPLATE-GAS AVAILABILITY'!P507+'RAP TEMPLATE-GAS AVAILABILITY'!Q507+'RAP TEMPLATE-GAS AVAILABILITY'!R507)</f>
        <v>26.786812949640286</v>
      </c>
    </row>
    <row r="509" spans="1:29" ht="15.75" x14ac:dyDescent="0.25">
      <c r="A509" s="14">
        <v>56400</v>
      </c>
      <c r="B509" s="17">
        <f>CHOOSE(CONTROL!$C$42, 27.1638, 27.1638) * CHOOSE(CONTROL!$C$21, $C$9, 100%, $E$9)</f>
        <v>27.163799999999998</v>
      </c>
      <c r="C509" s="17">
        <f>CHOOSE(CONTROL!$C$42, 27.1717, 27.1717) * CHOOSE(CONTROL!$C$21, $C$9, 100%, $E$9)</f>
        <v>27.171700000000001</v>
      </c>
      <c r="D509" s="17">
        <f>CHOOSE(CONTROL!$C$42, 27.4162, 27.4162) * CHOOSE(CONTROL!$C$21, $C$9, 100%, $E$9)</f>
        <v>27.4162</v>
      </c>
      <c r="E509" s="17">
        <f>CHOOSE(CONTROL!$C$42, 27.4474, 27.4474) * CHOOSE(CONTROL!$C$21, $C$9, 100%, $E$9)</f>
        <v>27.447399999999998</v>
      </c>
      <c r="F509" s="17">
        <f>CHOOSE(CONTROL!$C$42, 27.1743, 27.1743)*CHOOSE(CONTROL!$C$21, $C$9, 100%, $E$9)</f>
        <v>27.174299999999999</v>
      </c>
      <c r="G509" s="17">
        <f>CHOOSE(CONTROL!$C$42, 27.1905, 27.1905)*CHOOSE(CONTROL!$C$21, $C$9, 100%, $E$9)</f>
        <v>27.1905</v>
      </c>
      <c r="H509" s="17">
        <f>CHOOSE(CONTROL!$C$42, 27.4357, 27.4357) * CHOOSE(CONTROL!$C$21, $C$9, 100%, $E$9)</f>
        <v>27.435700000000001</v>
      </c>
      <c r="I509" s="17">
        <f>CHOOSE(CONTROL!$C$42, 27.2693, 27.2693)* CHOOSE(CONTROL!$C$21, $C$9, 100%, $E$9)</f>
        <v>27.269300000000001</v>
      </c>
      <c r="J509" s="17">
        <f>CHOOSE(CONTROL!$C$42, 27.1669, 27.1669)* CHOOSE(CONTROL!$C$21, $C$9, 100%, $E$9)</f>
        <v>27.166899999999998</v>
      </c>
      <c r="K509" s="52">
        <f>CHOOSE(CONTROL!$C$42, 27.2633, 27.2633) * CHOOSE(CONTROL!$C$21, $C$9, 100%, $E$9)</f>
        <v>27.263300000000001</v>
      </c>
      <c r="L509" s="17">
        <f>CHOOSE(CONTROL!$C$42, 28.0227, 28.0227) * CHOOSE(CONTROL!$C$21, $C$9, 100%, $E$9)</f>
        <v>28.0227</v>
      </c>
      <c r="M509" s="17">
        <f>CHOOSE(CONTROL!$C$42, 26.9296, 26.9296) * CHOOSE(CONTROL!$C$21, $C$9, 100%, $E$9)</f>
        <v>26.929600000000001</v>
      </c>
      <c r="N509" s="17">
        <f>CHOOSE(CONTROL!$C$42, 26.9457, 26.9457) * CHOOSE(CONTROL!$C$21, $C$9, 100%, $E$9)</f>
        <v>26.945699999999999</v>
      </c>
      <c r="O509" s="17">
        <f>CHOOSE(CONTROL!$C$42, 27.196, 27.196) * CHOOSE(CONTROL!$C$21, $C$9, 100%, $E$9)</f>
        <v>27.196000000000002</v>
      </c>
      <c r="P509" s="17">
        <f>CHOOSE(CONTROL!$C$42, 27.0304, 27.0304) * CHOOSE(CONTROL!$C$21, $C$9, 100%, $E$9)</f>
        <v>27.0304</v>
      </c>
      <c r="Q509" s="17">
        <f>CHOOSE(CONTROL!$C$42, 27.7907, 27.7907) * CHOOSE(CONTROL!$C$21, $C$9, 100%, $E$9)</f>
        <v>27.790700000000001</v>
      </c>
      <c r="R509" s="17">
        <f>CHOOSE(CONTROL!$C$42, 28.4472, 28.4472) * CHOOSE(CONTROL!$C$21, $C$9, 100%, $E$9)</f>
        <v>28.447199999999999</v>
      </c>
      <c r="S509" s="17">
        <f>CHOOSE(CONTROL!$C$42, 26.3291, 26.3291) * CHOOSE(CONTROL!$C$21, $C$9, 100%, $E$9)</f>
        <v>26.3291</v>
      </c>
      <c r="T50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09" s="56">
        <f>(1000*CHOOSE(CONTROL!$C$42, 695, 695)*CHOOSE(CONTROL!$C$42, 0.5599, 0.5599)*CHOOSE(CONTROL!$C$42, 31, 31))/1000000</f>
        <v>12.063045499999998</v>
      </c>
      <c r="V509" s="56">
        <f>(1000*CHOOSE(CONTROL!$C$42, 500, 500)*CHOOSE(CONTROL!$C$42, 0.275, 0.275)*CHOOSE(CONTROL!$C$42, 31, 31))/1000000</f>
        <v>4.2625000000000002</v>
      </c>
      <c r="W509" s="56">
        <f>(1000*CHOOSE(CONTROL!$C$42, 0.0916, 0.0916)*CHOOSE(CONTROL!$C$42, 121.5, 121.5)*CHOOSE(CONTROL!$C$42, 31, 31))/1000000</f>
        <v>0.34501139999999997</v>
      </c>
      <c r="X509" s="56">
        <f>(31*0.1790888*145000/1000000)+(31*0.2374*100000/1000000)</f>
        <v>1.5409441560000001</v>
      </c>
      <c r="Y509" s="56"/>
      <c r="Z509" s="17"/>
      <c r="AA509" s="55"/>
      <c r="AB509" s="48">
        <f>(B509*194.205+C509*267.466+D509*133.845+E509*153.484+F509*40+G509*85+H509*0+I509*100+J509*300)/(194.205+267.466+133.845+153.484+0+40+85+100+300)</f>
        <v>27.237263910361072</v>
      </c>
      <c r="AC509" s="45">
        <f>(M509*'RAP TEMPLATE-GAS AVAILABILITY'!O508+N509*'RAP TEMPLATE-GAS AVAILABILITY'!P508+O509*'RAP TEMPLATE-GAS AVAILABILITY'!Q508+P509*'RAP TEMPLATE-GAS AVAILABILITY'!R508)/('RAP TEMPLATE-GAS AVAILABILITY'!O508+'RAP TEMPLATE-GAS AVAILABILITY'!P508+'RAP TEMPLATE-GAS AVAILABILITY'!Q508+'RAP TEMPLATE-GAS AVAILABILITY'!R508)</f>
        <v>27.022555395683458</v>
      </c>
    </row>
    <row r="510" spans="1:29" ht="15.75" x14ac:dyDescent="0.25">
      <c r="A510" s="14">
        <v>56430</v>
      </c>
      <c r="B510" s="17">
        <f>CHOOSE(CONTROL!$C$42, 27.9339, 27.9339) * CHOOSE(CONTROL!$C$21, $C$9, 100%, $E$9)</f>
        <v>27.933900000000001</v>
      </c>
      <c r="C510" s="17">
        <f>CHOOSE(CONTROL!$C$42, 27.9419, 27.9419) * CHOOSE(CONTROL!$C$21, $C$9, 100%, $E$9)</f>
        <v>27.9419</v>
      </c>
      <c r="D510" s="17">
        <f>CHOOSE(CONTROL!$C$42, 28.1864, 28.1864) * CHOOSE(CONTROL!$C$21, $C$9, 100%, $E$9)</f>
        <v>28.186399999999999</v>
      </c>
      <c r="E510" s="17">
        <f>CHOOSE(CONTROL!$C$42, 28.2176, 28.2176) * CHOOSE(CONTROL!$C$21, $C$9, 100%, $E$9)</f>
        <v>28.217600000000001</v>
      </c>
      <c r="F510" s="17">
        <f>CHOOSE(CONTROL!$C$42, 27.9448, 27.9448)*CHOOSE(CONTROL!$C$21, $C$9, 100%, $E$9)</f>
        <v>27.944800000000001</v>
      </c>
      <c r="G510" s="17">
        <f>CHOOSE(CONTROL!$C$42, 27.9611, 27.9611)*CHOOSE(CONTROL!$C$21, $C$9, 100%, $E$9)</f>
        <v>27.961099999999998</v>
      </c>
      <c r="H510" s="17">
        <f>CHOOSE(CONTROL!$C$42, 28.2059, 28.2059) * CHOOSE(CONTROL!$C$21, $C$9, 100%, $E$9)</f>
        <v>28.2059</v>
      </c>
      <c r="I510" s="17">
        <f>CHOOSE(CONTROL!$C$42, 28.0419, 28.0419)* CHOOSE(CONTROL!$C$21, $C$9, 100%, $E$9)</f>
        <v>28.041899999999998</v>
      </c>
      <c r="J510" s="17">
        <f>CHOOSE(CONTROL!$C$42, 27.9374, 27.9374)* CHOOSE(CONTROL!$C$21, $C$9, 100%, $E$9)</f>
        <v>27.9374</v>
      </c>
      <c r="K510" s="52">
        <f>CHOOSE(CONTROL!$C$42, 28.0358, 28.0358) * CHOOSE(CONTROL!$C$21, $C$9, 100%, $E$9)</f>
        <v>28.035799999999998</v>
      </c>
      <c r="L510" s="17">
        <f>CHOOSE(CONTROL!$C$42, 28.7929, 28.7929) * CHOOSE(CONTROL!$C$21, $C$9, 100%, $E$9)</f>
        <v>28.792899999999999</v>
      </c>
      <c r="M510" s="17">
        <f>CHOOSE(CONTROL!$C$42, 27.6932, 27.6932) * CHOOSE(CONTROL!$C$21, $C$9, 100%, $E$9)</f>
        <v>27.693200000000001</v>
      </c>
      <c r="N510" s="17">
        <f>CHOOSE(CONTROL!$C$42, 27.7093, 27.7093) * CHOOSE(CONTROL!$C$21, $C$9, 100%, $E$9)</f>
        <v>27.709299999999999</v>
      </c>
      <c r="O510" s="17">
        <f>CHOOSE(CONTROL!$C$42, 27.9592, 27.9592) * CHOOSE(CONTROL!$C$21, $C$9, 100%, $E$9)</f>
        <v>27.959199999999999</v>
      </c>
      <c r="P510" s="17">
        <f>CHOOSE(CONTROL!$C$42, 27.796, 27.796) * CHOOSE(CONTROL!$C$21, $C$9, 100%, $E$9)</f>
        <v>27.795999999999999</v>
      </c>
      <c r="Q510" s="17">
        <f>CHOOSE(CONTROL!$C$42, 28.5539, 28.5539) * CHOOSE(CONTROL!$C$21, $C$9, 100%, $E$9)</f>
        <v>28.553899999999999</v>
      </c>
      <c r="R510" s="17">
        <f>CHOOSE(CONTROL!$C$42, 29.2123, 29.2123) * CHOOSE(CONTROL!$C$21, $C$9, 100%, $E$9)</f>
        <v>29.212299999999999</v>
      </c>
      <c r="S510" s="17">
        <f>CHOOSE(CONTROL!$C$42, 27.076, 27.076) * CHOOSE(CONTROL!$C$21, $C$9, 100%, $E$9)</f>
        <v>27.076000000000001</v>
      </c>
      <c r="T51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10" s="56">
        <f>(1000*CHOOSE(CONTROL!$C$42, 695, 695)*CHOOSE(CONTROL!$C$42, 0.5599, 0.5599)*CHOOSE(CONTROL!$C$42, 30, 30))/1000000</f>
        <v>11.673914999999997</v>
      </c>
      <c r="V510" s="56">
        <f>(1000*CHOOSE(CONTROL!$C$42, 500, 500)*CHOOSE(CONTROL!$C$42, 0.275, 0.275)*CHOOSE(CONTROL!$C$42, 30, 30))/1000000</f>
        <v>4.125</v>
      </c>
      <c r="W510" s="56">
        <f>(1000*CHOOSE(CONTROL!$C$42, 0.0916, 0.0916)*CHOOSE(CONTROL!$C$42, 121.5, 121.5)*CHOOSE(CONTROL!$C$42, 30, 30))/1000000</f>
        <v>0.33388200000000001</v>
      </c>
      <c r="X510" s="56">
        <f>(30*0.1790888*145000/1000000)+(30*0.2374*100000/1000000)</f>
        <v>1.4912362799999999</v>
      </c>
      <c r="Y510" s="56"/>
      <c r="Z510" s="17"/>
      <c r="AA510" s="55"/>
      <c r="AB510" s="48">
        <f>(B510*194.205+C510*267.466+D510*133.845+E510*153.484+F510*40+G510*85+H510*0+I510*100+J510*300)/(194.205+267.466+133.845+153.484+0+40+85+100+300)</f>
        <v>28.007743800078494</v>
      </c>
      <c r="AC510" s="45">
        <f>(M510*'RAP TEMPLATE-GAS AVAILABILITY'!O509+N510*'RAP TEMPLATE-GAS AVAILABILITY'!P509+O510*'RAP TEMPLATE-GAS AVAILABILITY'!Q509+P510*'RAP TEMPLATE-GAS AVAILABILITY'!R509)/('RAP TEMPLATE-GAS AVAILABILITY'!O509+'RAP TEMPLATE-GAS AVAILABILITY'!P509+'RAP TEMPLATE-GAS AVAILABILITY'!Q509+'RAP TEMPLATE-GAS AVAILABILITY'!R509)</f>
        <v>27.786330935251797</v>
      </c>
    </row>
    <row r="511" spans="1:29" ht="15.75" x14ac:dyDescent="0.25">
      <c r="A511" s="14">
        <v>56461</v>
      </c>
      <c r="B511" s="17">
        <f>CHOOSE(CONTROL!$C$42, 27.3983, 27.3983) * CHOOSE(CONTROL!$C$21, $C$9, 100%, $E$9)</f>
        <v>27.398299999999999</v>
      </c>
      <c r="C511" s="17">
        <f>CHOOSE(CONTROL!$C$42, 27.4063, 27.4063) * CHOOSE(CONTROL!$C$21, $C$9, 100%, $E$9)</f>
        <v>27.406300000000002</v>
      </c>
      <c r="D511" s="17">
        <f>CHOOSE(CONTROL!$C$42, 27.6507, 27.6507) * CHOOSE(CONTROL!$C$21, $C$9, 100%, $E$9)</f>
        <v>27.650700000000001</v>
      </c>
      <c r="E511" s="17">
        <f>CHOOSE(CONTROL!$C$42, 27.6819, 27.6819) * CHOOSE(CONTROL!$C$21, $C$9, 100%, $E$9)</f>
        <v>27.681899999999999</v>
      </c>
      <c r="F511" s="17">
        <f>CHOOSE(CONTROL!$C$42, 27.4096, 27.4096)*CHOOSE(CONTROL!$C$21, $C$9, 100%, $E$9)</f>
        <v>27.409600000000001</v>
      </c>
      <c r="G511" s="17">
        <f>CHOOSE(CONTROL!$C$42, 27.426, 27.426)*CHOOSE(CONTROL!$C$21, $C$9, 100%, $E$9)</f>
        <v>27.425999999999998</v>
      </c>
      <c r="H511" s="17">
        <f>CHOOSE(CONTROL!$C$42, 27.6702, 27.6702) * CHOOSE(CONTROL!$C$21, $C$9, 100%, $E$9)</f>
        <v>27.670200000000001</v>
      </c>
      <c r="I511" s="17">
        <f>CHOOSE(CONTROL!$C$42, 27.5046, 27.5046)* CHOOSE(CONTROL!$C$21, $C$9, 100%, $E$9)</f>
        <v>27.5046</v>
      </c>
      <c r="J511" s="17">
        <f>CHOOSE(CONTROL!$C$42, 27.4022, 27.4022)* CHOOSE(CONTROL!$C$21, $C$9, 100%, $E$9)</f>
        <v>27.402200000000001</v>
      </c>
      <c r="K511" s="52">
        <f>CHOOSE(CONTROL!$C$42, 27.4985, 27.4985) * CHOOSE(CONTROL!$C$21, $C$9, 100%, $E$9)</f>
        <v>27.4985</v>
      </c>
      <c r="L511" s="17">
        <f>CHOOSE(CONTROL!$C$42, 28.2572, 28.2572) * CHOOSE(CONTROL!$C$21, $C$9, 100%, $E$9)</f>
        <v>28.257200000000001</v>
      </c>
      <c r="M511" s="17">
        <f>CHOOSE(CONTROL!$C$42, 27.1628, 27.1628) * CHOOSE(CONTROL!$C$21, $C$9, 100%, $E$9)</f>
        <v>27.162800000000001</v>
      </c>
      <c r="N511" s="17">
        <f>CHOOSE(CONTROL!$C$42, 27.1791, 27.1791) * CHOOSE(CONTROL!$C$21, $C$9, 100%, $E$9)</f>
        <v>27.179099999999998</v>
      </c>
      <c r="O511" s="17">
        <f>CHOOSE(CONTROL!$C$42, 27.4284, 27.4284) * CHOOSE(CONTROL!$C$21, $C$9, 100%, $E$9)</f>
        <v>27.4284</v>
      </c>
      <c r="P511" s="17">
        <f>CHOOSE(CONTROL!$C$42, 27.2635, 27.2635) * CHOOSE(CONTROL!$C$21, $C$9, 100%, $E$9)</f>
        <v>27.263500000000001</v>
      </c>
      <c r="Q511" s="17">
        <f>CHOOSE(CONTROL!$C$42, 28.0231, 28.0231) * CHOOSE(CONTROL!$C$21, $C$9, 100%, $E$9)</f>
        <v>28.023099999999999</v>
      </c>
      <c r="R511" s="17">
        <f>CHOOSE(CONTROL!$C$42, 28.6801, 28.6801) * CHOOSE(CONTROL!$C$21, $C$9, 100%, $E$9)</f>
        <v>28.680099999999999</v>
      </c>
      <c r="S511" s="17">
        <f>CHOOSE(CONTROL!$C$42, 26.5565, 26.5565) * CHOOSE(CONTROL!$C$21, $C$9, 100%, $E$9)</f>
        <v>26.5565</v>
      </c>
      <c r="T51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11" s="56">
        <f>(1000*CHOOSE(CONTROL!$C$42, 695, 695)*CHOOSE(CONTROL!$C$42, 0.5599, 0.5599)*CHOOSE(CONTROL!$C$42, 31, 31))/1000000</f>
        <v>12.063045499999998</v>
      </c>
      <c r="V511" s="56">
        <f>(1000*CHOOSE(CONTROL!$C$42, 500, 500)*CHOOSE(CONTROL!$C$42, 0.275, 0.275)*CHOOSE(CONTROL!$C$42, 31, 31))/1000000</f>
        <v>4.2625000000000002</v>
      </c>
      <c r="W511" s="56">
        <f>(1000*CHOOSE(CONTROL!$C$42, 0.0916, 0.0916)*CHOOSE(CONTROL!$C$42, 121.5, 121.5)*CHOOSE(CONTROL!$C$42, 31, 31))/1000000</f>
        <v>0.34501139999999997</v>
      </c>
      <c r="X511" s="56">
        <f>(31*0.1790888*145000/1000000)+(31*0.2374*100000/1000000)</f>
        <v>1.5409441560000001</v>
      </c>
      <c r="Y511" s="56"/>
      <c r="Z511" s="17"/>
      <c r="AA511" s="55"/>
      <c r="AB511" s="48">
        <f>(B511*194.205+C511*267.466+D511*133.845+E511*153.484+F511*40+G511*85+H511*0+I511*100+J511*300)/(194.205+267.466+133.845+153.484+0+40+85+100+300)</f>
        <v>27.47212791868132</v>
      </c>
      <c r="AC511" s="45">
        <f>(M511*'RAP TEMPLATE-GAS AVAILABILITY'!O510+N511*'RAP TEMPLATE-GAS AVAILABILITY'!P510+O511*'RAP TEMPLATE-GAS AVAILABILITY'!Q510+P511*'RAP TEMPLATE-GAS AVAILABILITY'!R510)/('RAP TEMPLATE-GAS AVAILABILITY'!O510+'RAP TEMPLATE-GAS AVAILABILITY'!P510+'RAP TEMPLATE-GAS AVAILABILITY'!Q510+'RAP TEMPLATE-GAS AVAILABILITY'!R510)</f>
        <v>27.255562589928054</v>
      </c>
    </row>
    <row r="512" spans="1:29" ht="15.75" x14ac:dyDescent="0.25">
      <c r="A512" s="14">
        <v>56492</v>
      </c>
      <c r="B512" s="17">
        <f>CHOOSE(CONTROL!$C$42, 26.0456, 26.0456) * CHOOSE(CONTROL!$C$21, $C$9, 100%, $E$9)</f>
        <v>26.0456</v>
      </c>
      <c r="C512" s="17">
        <f>CHOOSE(CONTROL!$C$42, 26.0535, 26.0535) * CHOOSE(CONTROL!$C$21, $C$9, 100%, $E$9)</f>
        <v>26.0535</v>
      </c>
      <c r="D512" s="17">
        <f>CHOOSE(CONTROL!$C$42, 26.298, 26.298) * CHOOSE(CONTROL!$C$21, $C$9, 100%, $E$9)</f>
        <v>26.297999999999998</v>
      </c>
      <c r="E512" s="17">
        <f>CHOOSE(CONTROL!$C$42, 26.3292, 26.3292) * CHOOSE(CONTROL!$C$21, $C$9, 100%, $E$9)</f>
        <v>26.3292</v>
      </c>
      <c r="F512" s="17">
        <f>CHOOSE(CONTROL!$C$42, 26.0571, 26.0571)*CHOOSE(CONTROL!$C$21, $C$9, 100%, $E$9)</f>
        <v>26.057099999999998</v>
      </c>
      <c r="G512" s="17">
        <f>CHOOSE(CONTROL!$C$42, 26.0736, 26.0736)*CHOOSE(CONTROL!$C$21, $C$9, 100%, $E$9)</f>
        <v>26.073599999999999</v>
      </c>
      <c r="H512" s="17">
        <f>CHOOSE(CONTROL!$C$42, 26.3175, 26.3175) * CHOOSE(CONTROL!$C$21, $C$9, 100%, $E$9)</f>
        <v>26.317499999999999</v>
      </c>
      <c r="I512" s="17">
        <f>CHOOSE(CONTROL!$C$42, 26.1477, 26.1477)* CHOOSE(CONTROL!$C$21, $C$9, 100%, $E$9)</f>
        <v>26.1477</v>
      </c>
      <c r="J512" s="17">
        <f>CHOOSE(CONTROL!$C$42, 26.0497, 26.0497)* CHOOSE(CONTROL!$C$21, $C$9, 100%, $E$9)</f>
        <v>26.049700000000001</v>
      </c>
      <c r="K512" s="52">
        <f>CHOOSE(CONTROL!$C$42, 26.1416, 26.1416) * CHOOSE(CONTROL!$C$21, $C$9, 100%, $E$9)</f>
        <v>26.1416</v>
      </c>
      <c r="L512" s="17">
        <f>CHOOSE(CONTROL!$C$42, 26.9045, 26.9045) * CHOOSE(CONTROL!$C$21, $C$9, 100%, $E$9)</f>
        <v>26.904499999999999</v>
      </c>
      <c r="M512" s="17">
        <f>CHOOSE(CONTROL!$C$42, 25.8225, 25.8225) * CHOOSE(CONTROL!$C$21, $C$9, 100%, $E$9)</f>
        <v>25.822500000000002</v>
      </c>
      <c r="N512" s="17">
        <f>CHOOSE(CONTROL!$C$42, 25.8388, 25.8388) * CHOOSE(CONTROL!$C$21, $C$9, 100%, $E$9)</f>
        <v>25.838799999999999</v>
      </c>
      <c r="O512" s="17">
        <f>CHOOSE(CONTROL!$C$42, 26.0878, 26.0878) * CHOOSE(CONTROL!$C$21, $C$9, 100%, $E$9)</f>
        <v>26.087800000000001</v>
      </c>
      <c r="P512" s="17">
        <f>CHOOSE(CONTROL!$C$42, 25.9188, 25.9188) * CHOOSE(CONTROL!$C$21, $C$9, 100%, $E$9)</f>
        <v>25.918800000000001</v>
      </c>
      <c r="Q512" s="17">
        <f>CHOOSE(CONTROL!$C$42, 26.6825, 26.6825) * CHOOSE(CONTROL!$C$21, $C$9, 100%, $E$9)</f>
        <v>26.682500000000001</v>
      </c>
      <c r="R512" s="17">
        <f>CHOOSE(CONTROL!$C$42, 27.3362, 27.3362) * CHOOSE(CONTROL!$C$21, $C$9, 100%, $E$9)</f>
        <v>27.336200000000002</v>
      </c>
      <c r="S512" s="17">
        <f>CHOOSE(CONTROL!$C$42, 25.2448, 25.2448) * CHOOSE(CONTROL!$C$21, $C$9, 100%, $E$9)</f>
        <v>25.244800000000001</v>
      </c>
      <c r="T51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12" s="56">
        <f>(1000*CHOOSE(CONTROL!$C$42, 695, 695)*CHOOSE(CONTROL!$C$42, 0.5599, 0.5599)*CHOOSE(CONTROL!$C$42, 31, 31))/1000000</f>
        <v>12.063045499999998</v>
      </c>
      <c r="V512" s="56">
        <f>(1000*CHOOSE(CONTROL!$C$42, 500, 500)*CHOOSE(CONTROL!$C$42, 0.275, 0.275)*CHOOSE(CONTROL!$C$42, 31, 31))/1000000</f>
        <v>4.2625000000000002</v>
      </c>
      <c r="W512" s="56">
        <f>(1000*CHOOSE(CONTROL!$C$42, 0.0916, 0.0916)*CHOOSE(CONTROL!$C$42, 121.5, 121.5)*CHOOSE(CONTROL!$C$42, 31, 31))/1000000</f>
        <v>0.34501139999999997</v>
      </c>
      <c r="X512" s="56">
        <f>(31*0.1790888*145000/1000000)+(31*0.2374*100000/1000000)</f>
        <v>1.5409441560000001</v>
      </c>
      <c r="Y512" s="56"/>
      <c r="Z512" s="17"/>
      <c r="AA512" s="55"/>
      <c r="AB512" s="48">
        <f>(B512*194.205+C512*267.466+D512*133.845+E512*153.484+F512*40+G512*85+H512*0+I512*100+J512*300)/(194.205+267.466+133.845+153.484+0+40+85+100+300)</f>
        <v>26.119150645054948</v>
      </c>
      <c r="AC512" s="45">
        <f>(M512*'RAP TEMPLATE-GAS AVAILABILITY'!O511+N512*'RAP TEMPLATE-GAS AVAILABILITY'!P511+O512*'RAP TEMPLATE-GAS AVAILABILITY'!Q511+P512*'RAP TEMPLATE-GAS AVAILABILITY'!R511)/('RAP TEMPLATE-GAS AVAILABILITY'!O511+'RAP TEMPLATE-GAS AVAILABILITY'!P511+'RAP TEMPLATE-GAS AVAILABILITY'!Q511+'RAP TEMPLATE-GAS AVAILABILITY'!R511)</f>
        <v>25.914545323741009</v>
      </c>
    </row>
    <row r="513" spans="1:29" ht="15.75" x14ac:dyDescent="0.25">
      <c r="A513" s="14">
        <v>56522</v>
      </c>
      <c r="B513" s="17">
        <f>CHOOSE(CONTROL!$C$42, 24.3926, 24.3926) * CHOOSE(CONTROL!$C$21, $C$9, 100%, $E$9)</f>
        <v>24.392600000000002</v>
      </c>
      <c r="C513" s="17">
        <f>CHOOSE(CONTROL!$C$42, 24.4006, 24.4006) * CHOOSE(CONTROL!$C$21, $C$9, 100%, $E$9)</f>
        <v>24.400600000000001</v>
      </c>
      <c r="D513" s="17">
        <f>CHOOSE(CONTROL!$C$42, 24.645, 24.645) * CHOOSE(CONTROL!$C$21, $C$9, 100%, $E$9)</f>
        <v>24.645</v>
      </c>
      <c r="E513" s="17">
        <f>CHOOSE(CONTROL!$C$42, 24.6762, 24.6762) * CHOOSE(CONTROL!$C$21, $C$9, 100%, $E$9)</f>
        <v>24.676200000000001</v>
      </c>
      <c r="F513" s="17">
        <f>CHOOSE(CONTROL!$C$42, 24.4042, 24.4042)*CHOOSE(CONTROL!$C$21, $C$9, 100%, $E$9)</f>
        <v>24.404199999999999</v>
      </c>
      <c r="G513" s="17">
        <f>CHOOSE(CONTROL!$C$42, 24.4207, 24.4207)*CHOOSE(CONTROL!$C$21, $C$9, 100%, $E$9)</f>
        <v>24.4207</v>
      </c>
      <c r="H513" s="17">
        <f>CHOOSE(CONTROL!$C$42, 24.6645, 24.6645) * CHOOSE(CONTROL!$C$21, $C$9, 100%, $E$9)</f>
        <v>24.6645</v>
      </c>
      <c r="I513" s="17">
        <f>CHOOSE(CONTROL!$C$42, 24.4895, 24.4895)* CHOOSE(CONTROL!$C$21, $C$9, 100%, $E$9)</f>
        <v>24.4895</v>
      </c>
      <c r="J513" s="17">
        <f>CHOOSE(CONTROL!$C$42, 24.3968, 24.3968)* CHOOSE(CONTROL!$C$21, $C$9, 100%, $E$9)</f>
        <v>24.396799999999999</v>
      </c>
      <c r="K513" s="52">
        <f>CHOOSE(CONTROL!$C$42, 24.4835, 24.4835) * CHOOSE(CONTROL!$C$21, $C$9, 100%, $E$9)</f>
        <v>24.483499999999999</v>
      </c>
      <c r="L513" s="17">
        <f>CHOOSE(CONTROL!$C$42, 25.2515, 25.2515) * CHOOSE(CONTROL!$C$21, $C$9, 100%, $E$9)</f>
        <v>25.2515</v>
      </c>
      <c r="M513" s="17">
        <f>CHOOSE(CONTROL!$C$42, 24.1844, 24.1844) * CHOOSE(CONTROL!$C$21, $C$9, 100%, $E$9)</f>
        <v>24.1844</v>
      </c>
      <c r="N513" s="17">
        <f>CHOOSE(CONTROL!$C$42, 24.2008, 24.2008) * CHOOSE(CONTROL!$C$21, $C$9, 100%, $E$9)</f>
        <v>24.200800000000001</v>
      </c>
      <c r="O513" s="17">
        <f>CHOOSE(CONTROL!$C$42, 24.4497, 24.4497) * CHOOSE(CONTROL!$C$21, $C$9, 100%, $E$9)</f>
        <v>24.4497</v>
      </c>
      <c r="P513" s="17">
        <f>CHOOSE(CONTROL!$C$42, 24.2757, 24.2757) * CHOOSE(CONTROL!$C$21, $C$9, 100%, $E$9)</f>
        <v>24.275700000000001</v>
      </c>
      <c r="Q513" s="17">
        <f>CHOOSE(CONTROL!$C$42, 25.0444, 25.0444) * CHOOSE(CONTROL!$C$21, $C$9, 100%, $E$9)</f>
        <v>25.0444</v>
      </c>
      <c r="R513" s="17">
        <f>CHOOSE(CONTROL!$C$42, 25.694, 25.694) * CHOOSE(CONTROL!$C$21, $C$9, 100%, $E$9)</f>
        <v>25.693999999999999</v>
      </c>
      <c r="S513" s="17">
        <f>CHOOSE(CONTROL!$C$42, 23.6419, 23.6419) * CHOOSE(CONTROL!$C$21, $C$9, 100%, $E$9)</f>
        <v>23.6419</v>
      </c>
      <c r="T51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13" s="56">
        <f>(1000*CHOOSE(CONTROL!$C$42, 695, 695)*CHOOSE(CONTROL!$C$42, 0.5599, 0.5599)*CHOOSE(CONTROL!$C$42, 30, 30))/1000000</f>
        <v>11.673914999999997</v>
      </c>
      <c r="V513" s="56">
        <f>(1000*CHOOSE(CONTROL!$C$42, 500, 500)*CHOOSE(CONTROL!$C$42, 0.275, 0.275)*CHOOSE(CONTROL!$C$42, 30, 30))/1000000</f>
        <v>4.125</v>
      </c>
      <c r="W513" s="56">
        <f>(1000*CHOOSE(CONTROL!$C$42, 0.0916, 0.0916)*CHOOSE(CONTROL!$C$42, 121.5, 121.5)*CHOOSE(CONTROL!$C$42, 30, 30))/1000000</f>
        <v>0.33388200000000001</v>
      </c>
      <c r="X513" s="56">
        <f>(30*0.1790888*145000/1000000)+(30*0.2374*100000/1000000)</f>
        <v>1.4912362799999999</v>
      </c>
      <c r="Y513" s="56"/>
      <c r="Z513" s="17"/>
      <c r="AA513" s="55"/>
      <c r="AB513" s="48">
        <f>(B513*194.205+C513*267.466+D513*133.845+E513*153.484+F513*40+G513*85+H513*0+I513*100+J513*300)/(194.205+267.466+133.845+153.484+0+40+85+100+300)</f>
        <v>24.465796835478809</v>
      </c>
      <c r="AC513" s="45">
        <f>(M513*'RAP TEMPLATE-GAS AVAILABILITY'!O512+N513*'RAP TEMPLATE-GAS AVAILABILITY'!P512+O513*'RAP TEMPLATE-GAS AVAILABILITY'!Q512+P513*'RAP TEMPLATE-GAS AVAILABILITY'!R512)/('RAP TEMPLATE-GAS AVAILABILITY'!O512+'RAP TEMPLATE-GAS AVAILABILITY'!P512+'RAP TEMPLATE-GAS AVAILABILITY'!Q512+'RAP TEMPLATE-GAS AVAILABILITY'!R512)</f>
        <v>24.275748920863307</v>
      </c>
    </row>
    <row r="514" spans="1:29" ht="15.75" x14ac:dyDescent="0.25">
      <c r="A514" s="14">
        <v>56553</v>
      </c>
      <c r="B514" s="17">
        <f>CHOOSE(CONTROL!$C$42, 23.8958, 23.8958) * CHOOSE(CONTROL!$C$21, $C$9, 100%, $E$9)</f>
        <v>23.895800000000001</v>
      </c>
      <c r="C514" s="17">
        <f>CHOOSE(CONTROL!$C$42, 23.9012, 23.9012) * CHOOSE(CONTROL!$C$21, $C$9, 100%, $E$9)</f>
        <v>23.901199999999999</v>
      </c>
      <c r="D514" s="17">
        <f>CHOOSE(CONTROL!$C$42, 24.1505, 24.1505) * CHOOSE(CONTROL!$C$21, $C$9, 100%, $E$9)</f>
        <v>24.150500000000001</v>
      </c>
      <c r="E514" s="17">
        <f>CHOOSE(CONTROL!$C$42, 24.1794, 24.1794) * CHOOSE(CONTROL!$C$21, $C$9, 100%, $E$9)</f>
        <v>24.179400000000001</v>
      </c>
      <c r="F514" s="17">
        <f>CHOOSE(CONTROL!$C$42, 23.9096, 23.9096)*CHOOSE(CONTROL!$C$21, $C$9, 100%, $E$9)</f>
        <v>23.909600000000001</v>
      </c>
      <c r="G514" s="17">
        <f>CHOOSE(CONTROL!$C$42, 23.9261, 23.9261)*CHOOSE(CONTROL!$C$21, $C$9, 100%, $E$9)</f>
        <v>23.926100000000002</v>
      </c>
      <c r="H514" s="17">
        <f>CHOOSE(CONTROL!$C$42, 24.1695, 24.1695) * CHOOSE(CONTROL!$C$21, $C$9, 100%, $E$9)</f>
        <v>24.169499999999999</v>
      </c>
      <c r="I514" s="17">
        <f>CHOOSE(CONTROL!$C$42, 23.993, 23.993)* CHOOSE(CONTROL!$C$21, $C$9, 100%, $E$9)</f>
        <v>23.992999999999999</v>
      </c>
      <c r="J514" s="17">
        <f>CHOOSE(CONTROL!$C$42, 23.9022, 23.9022)* CHOOSE(CONTROL!$C$21, $C$9, 100%, $E$9)</f>
        <v>23.902200000000001</v>
      </c>
      <c r="K514" s="52">
        <f>CHOOSE(CONTROL!$C$42, 23.9869, 23.9869) * CHOOSE(CONTROL!$C$21, $C$9, 100%, $E$9)</f>
        <v>23.986899999999999</v>
      </c>
      <c r="L514" s="17">
        <f>CHOOSE(CONTROL!$C$42, 24.7565, 24.7565) * CHOOSE(CONTROL!$C$21, $C$9, 100%, $E$9)</f>
        <v>24.756499999999999</v>
      </c>
      <c r="M514" s="17">
        <f>CHOOSE(CONTROL!$C$42, 23.6943, 23.6943) * CHOOSE(CONTROL!$C$21, $C$9, 100%, $E$9)</f>
        <v>23.694299999999998</v>
      </c>
      <c r="N514" s="17">
        <f>CHOOSE(CONTROL!$C$42, 23.7105, 23.7105) * CHOOSE(CONTROL!$C$21, $C$9, 100%, $E$9)</f>
        <v>23.7105</v>
      </c>
      <c r="O514" s="17">
        <f>CHOOSE(CONTROL!$C$42, 23.9592, 23.9592) * CHOOSE(CONTROL!$C$21, $C$9, 100%, $E$9)</f>
        <v>23.959199999999999</v>
      </c>
      <c r="P514" s="17">
        <f>CHOOSE(CONTROL!$C$42, 23.7836, 23.7836) * CHOOSE(CONTROL!$C$21, $C$9, 100%, $E$9)</f>
        <v>23.7836</v>
      </c>
      <c r="Q514" s="17">
        <f>CHOOSE(CONTROL!$C$42, 24.5539, 24.5539) * CHOOSE(CONTROL!$C$21, $C$9, 100%, $E$9)</f>
        <v>24.553899999999999</v>
      </c>
      <c r="R514" s="17">
        <f>CHOOSE(CONTROL!$C$42, 25.2022, 25.2022) * CHOOSE(CONTROL!$C$21, $C$9, 100%, $E$9)</f>
        <v>25.202200000000001</v>
      </c>
      <c r="S514" s="17">
        <f>CHOOSE(CONTROL!$C$42, 23.1619, 23.1619) * CHOOSE(CONTROL!$C$21, $C$9, 100%, $E$9)</f>
        <v>23.161899999999999</v>
      </c>
      <c r="T51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14" s="56">
        <f>(1000*CHOOSE(CONTROL!$C$42, 695, 695)*CHOOSE(CONTROL!$C$42, 0.5599, 0.5599)*CHOOSE(CONTROL!$C$42, 31, 31))/1000000</f>
        <v>12.063045499999998</v>
      </c>
      <c r="V514" s="56">
        <f>(1000*CHOOSE(CONTROL!$C$42, 500, 500)*CHOOSE(CONTROL!$C$42, 0.275, 0.275)*CHOOSE(CONTROL!$C$42, 31, 31))/1000000</f>
        <v>4.2625000000000002</v>
      </c>
      <c r="W514" s="56">
        <f>(1000*CHOOSE(CONTROL!$C$42, 0.0916, 0.0916)*CHOOSE(CONTROL!$C$42, 121.5, 121.5)*CHOOSE(CONTROL!$C$42, 31, 31))/1000000</f>
        <v>0.34501139999999997</v>
      </c>
      <c r="X514" s="56">
        <f>(31*0.1790888*145000/1000000)+(31*0.2374*100000/1000000)</f>
        <v>1.5409441560000001</v>
      </c>
      <c r="Y514" s="56"/>
      <c r="Z514" s="17"/>
      <c r="AA514" s="55"/>
      <c r="AB514" s="48">
        <f>(B514*131.881+C514*277.167+D514*79.08+E514*225.872+F514*40+G514*85+H514*0+I514*100+J514*300)/(131.881+277.167+79.08+225.872+0+40+85+100+300)</f>
        <v>23.976884081517351</v>
      </c>
      <c r="AC514" s="45">
        <f>(M514*'RAP TEMPLATE-GAS AVAILABILITY'!O513+N514*'RAP TEMPLATE-GAS AVAILABILITY'!P513+O514*'RAP TEMPLATE-GAS AVAILABILITY'!Q513+P514*'RAP TEMPLATE-GAS AVAILABILITY'!R513)/('RAP TEMPLATE-GAS AVAILABILITY'!O513+'RAP TEMPLATE-GAS AVAILABILITY'!P513+'RAP TEMPLATE-GAS AVAILABILITY'!Q513+'RAP TEMPLATE-GAS AVAILABILITY'!R513)</f>
        <v>23.785202877697841</v>
      </c>
    </row>
    <row r="515" spans="1:29" ht="15.75" x14ac:dyDescent="0.25">
      <c r="A515" s="14">
        <v>56583</v>
      </c>
      <c r="B515" s="17">
        <f>CHOOSE(CONTROL!$C$42, 24.5247, 24.5247) * CHOOSE(CONTROL!$C$21, $C$9, 100%, $E$9)</f>
        <v>24.524699999999999</v>
      </c>
      <c r="C515" s="17">
        <f>CHOOSE(CONTROL!$C$42, 24.5298, 24.5298) * CHOOSE(CONTROL!$C$21, $C$9, 100%, $E$9)</f>
        <v>24.529800000000002</v>
      </c>
      <c r="D515" s="17">
        <f>CHOOSE(CONTROL!$C$42, 24.6111, 24.6111) * CHOOSE(CONTROL!$C$21, $C$9, 100%, $E$9)</f>
        <v>24.6111</v>
      </c>
      <c r="E515" s="17">
        <f>CHOOSE(CONTROL!$C$42, 24.6449, 24.6449) * CHOOSE(CONTROL!$C$21, $C$9, 100%, $E$9)</f>
        <v>24.6449</v>
      </c>
      <c r="F515" s="17">
        <f>CHOOSE(CONTROL!$C$42, 24.5426, 24.5426)*CHOOSE(CONTROL!$C$21, $C$9, 100%, $E$9)</f>
        <v>24.5426</v>
      </c>
      <c r="G515" s="17">
        <f>CHOOSE(CONTROL!$C$42, 24.5593, 24.5593)*CHOOSE(CONTROL!$C$21, $C$9, 100%, $E$9)</f>
        <v>24.5593</v>
      </c>
      <c r="H515" s="17">
        <f>CHOOSE(CONTROL!$C$42, 24.6338, 24.6338) * CHOOSE(CONTROL!$C$21, $C$9, 100%, $E$9)</f>
        <v>24.633800000000001</v>
      </c>
      <c r="I515" s="17">
        <f>CHOOSE(CONTROL!$C$42, 24.6257, 24.6257)* CHOOSE(CONTROL!$C$21, $C$9, 100%, $E$9)</f>
        <v>24.625699999999998</v>
      </c>
      <c r="J515" s="17">
        <f>CHOOSE(CONTROL!$C$42, 24.5352, 24.5352)* CHOOSE(CONTROL!$C$21, $C$9, 100%, $E$9)</f>
        <v>24.5352</v>
      </c>
      <c r="K515" s="52">
        <f>CHOOSE(CONTROL!$C$42, 24.6197, 24.6197) * CHOOSE(CONTROL!$C$21, $C$9, 100%, $E$9)</f>
        <v>24.619700000000002</v>
      </c>
      <c r="L515" s="17">
        <f>CHOOSE(CONTROL!$C$42, 25.2208, 25.2208) * CHOOSE(CONTROL!$C$21, $C$9, 100%, $E$9)</f>
        <v>25.220800000000001</v>
      </c>
      <c r="M515" s="17">
        <f>CHOOSE(CONTROL!$C$42, 24.3216, 24.3216) * CHOOSE(CONTROL!$C$21, $C$9, 100%, $E$9)</f>
        <v>24.3216</v>
      </c>
      <c r="N515" s="17">
        <f>CHOOSE(CONTROL!$C$42, 24.3381, 24.3381) * CHOOSE(CONTROL!$C$21, $C$9, 100%, $E$9)</f>
        <v>24.338100000000001</v>
      </c>
      <c r="O515" s="17">
        <f>CHOOSE(CONTROL!$C$42, 24.4192, 24.4192) * CHOOSE(CONTROL!$C$21, $C$9, 100%, $E$9)</f>
        <v>24.4192</v>
      </c>
      <c r="P515" s="17">
        <f>CHOOSE(CONTROL!$C$42, 24.4106, 24.4106) * CHOOSE(CONTROL!$C$21, $C$9, 100%, $E$9)</f>
        <v>24.410599999999999</v>
      </c>
      <c r="Q515" s="17">
        <f>CHOOSE(CONTROL!$C$42, 25.0139, 25.0139) * CHOOSE(CONTROL!$C$21, $C$9, 100%, $E$9)</f>
        <v>25.0139</v>
      </c>
      <c r="R515" s="17">
        <f>CHOOSE(CONTROL!$C$42, 25.6635, 25.6635) * CHOOSE(CONTROL!$C$21, $C$9, 100%, $E$9)</f>
        <v>25.663499999999999</v>
      </c>
      <c r="S515" s="17">
        <f>CHOOSE(CONTROL!$C$42, 23.7721, 23.7721) * CHOOSE(CONTROL!$C$21, $C$9, 100%, $E$9)</f>
        <v>23.772099999999998</v>
      </c>
      <c r="T51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15" s="56">
        <f>(1000*CHOOSE(CONTROL!$C$42, 695, 695)*CHOOSE(CONTROL!$C$42, 0.5599, 0.5599)*CHOOSE(CONTROL!$C$42, 30, 30))/1000000</f>
        <v>11.673914999999997</v>
      </c>
      <c r="V515" s="56">
        <f>(1000*CHOOSE(CONTROL!$C$42, 500, 500)*CHOOSE(CONTROL!$C$42, 0.275, 0.275)*CHOOSE(CONTROL!$C$42, 30, 30))/1000000</f>
        <v>4.125</v>
      </c>
      <c r="W515" s="56">
        <f>(1000*CHOOSE(CONTROL!$C$42, 0.0916, 0.0916)*CHOOSE(CONTROL!$C$42, 121.5, 121.5)*CHOOSE(CONTROL!$C$42, 30, 30))/1000000</f>
        <v>0.33388200000000001</v>
      </c>
      <c r="X515" s="56">
        <f>(30*0.2374*100000/1000000)</f>
        <v>0.71220000000000006</v>
      </c>
      <c r="Y515" s="56"/>
      <c r="Z515" s="17"/>
      <c r="AA515" s="55"/>
      <c r="AB515" s="48">
        <f>(B515*122.58+C515*297.941+D515*89.177+E515*140.302+F515*40+G515*60+H515*0+I515*100+J515*300)/(122.58+297.941+89.177+140.302+0+40+60+100+300)</f>
        <v>24.561335384608697</v>
      </c>
      <c r="AC515" s="45">
        <f>(M515*'RAP TEMPLATE-GAS AVAILABILITY'!O514+N515*'RAP TEMPLATE-GAS AVAILABILITY'!P514+O515*'RAP TEMPLATE-GAS AVAILABILITY'!Q514+P515*'RAP TEMPLATE-GAS AVAILABILITY'!R514)/('RAP TEMPLATE-GAS AVAILABILITY'!O514+'RAP TEMPLATE-GAS AVAILABILITY'!P514+'RAP TEMPLATE-GAS AVAILABILITY'!Q514+'RAP TEMPLATE-GAS AVAILABILITY'!R514)</f>
        <v>24.379591366906478</v>
      </c>
    </row>
    <row r="516" spans="1:29" ht="15.75" x14ac:dyDescent="0.25">
      <c r="A516" s="14">
        <v>56614</v>
      </c>
      <c r="B516" s="17">
        <f>CHOOSE(CONTROL!$C$42, 26.196, 26.196) * CHOOSE(CONTROL!$C$21, $C$9, 100%, $E$9)</f>
        <v>26.196000000000002</v>
      </c>
      <c r="C516" s="17">
        <f>CHOOSE(CONTROL!$C$42, 26.2011, 26.2011) * CHOOSE(CONTROL!$C$21, $C$9, 100%, $E$9)</f>
        <v>26.2011</v>
      </c>
      <c r="D516" s="17">
        <f>CHOOSE(CONTROL!$C$42, 26.2825, 26.2825) * CHOOSE(CONTROL!$C$21, $C$9, 100%, $E$9)</f>
        <v>26.282499999999999</v>
      </c>
      <c r="E516" s="17">
        <f>CHOOSE(CONTROL!$C$42, 26.3162, 26.3162) * CHOOSE(CONTROL!$C$21, $C$9, 100%, $E$9)</f>
        <v>26.316199999999998</v>
      </c>
      <c r="F516" s="17">
        <f>CHOOSE(CONTROL!$C$42, 26.2164, 26.2164)*CHOOSE(CONTROL!$C$21, $C$9, 100%, $E$9)</f>
        <v>26.2164</v>
      </c>
      <c r="G516" s="17">
        <f>CHOOSE(CONTROL!$C$42, 26.2337, 26.2337)*CHOOSE(CONTROL!$C$21, $C$9, 100%, $E$9)</f>
        <v>26.233699999999999</v>
      </c>
      <c r="H516" s="17">
        <f>CHOOSE(CONTROL!$C$42, 26.3051, 26.3051) * CHOOSE(CONTROL!$C$21, $C$9, 100%, $E$9)</f>
        <v>26.305099999999999</v>
      </c>
      <c r="I516" s="17">
        <f>CHOOSE(CONTROL!$C$42, 26.3023, 26.3023)* CHOOSE(CONTROL!$C$21, $C$9, 100%, $E$9)</f>
        <v>26.302299999999999</v>
      </c>
      <c r="J516" s="17">
        <f>CHOOSE(CONTROL!$C$42, 26.209, 26.209)* CHOOSE(CONTROL!$C$21, $C$9, 100%, $E$9)</f>
        <v>26.209</v>
      </c>
      <c r="K516" s="52">
        <f>CHOOSE(CONTROL!$C$42, 26.2962, 26.2962) * CHOOSE(CONTROL!$C$21, $C$9, 100%, $E$9)</f>
        <v>26.296199999999999</v>
      </c>
      <c r="L516" s="17">
        <f>CHOOSE(CONTROL!$C$42, 26.8921, 26.8921) * CHOOSE(CONTROL!$C$21, $C$9, 100%, $E$9)</f>
        <v>26.892099999999999</v>
      </c>
      <c r="M516" s="17">
        <f>CHOOSE(CONTROL!$C$42, 25.9803, 25.9803) * CHOOSE(CONTROL!$C$21, $C$9, 100%, $E$9)</f>
        <v>25.9803</v>
      </c>
      <c r="N516" s="17">
        <f>CHOOSE(CONTROL!$C$42, 25.9974, 25.9974) * CHOOSE(CONTROL!$C$21, $C$9, 100%, $E$9)</f>
        <v>25.997399999999999</v>
      </c>
      <c r="O516" s="17">
        <f>CHOOSE(CONTROL!$C$42, 26.0756, 26.0756) * CHOOSE(CONTROL!$C$21, $C$9, 100%, $E$9)</f>
        <v>26.075600000000001</v>
      </c>
      <c r="P516" s="17">
        <f>CHOOSE(CONTROL!$C$42, 26.0721, 26.0721) * CHOOSE(CONTROL!$C$21, $C$9, 100%, $E$9)</f>
        <v>26.072099999999999</v>
      </c>
      <c r="Q516" s="17">
        <f>CHOOSE(CONTROL!$C$42, 26.6703, 26.6703) * CHOOSE(CONTROL!$C$21, $C$9, 100%, $E$9)</f>
        <v>26.670300000000001</v>
      </c>
      <c r="R516" s="17">
        <f>CHOOSE(CONTROL!$C$42, 27.3239, 27.3239) * CHOOSE(CONTROL!$C$21, $C$9, 100%, $E$9)</f>
        <v>27.323899999999998</v>
      </c>
      <c r="S516" s="17">
        <f>CHOOSE(CONTROL!$C$42, 25.3928, 25.3928) * CHOOSE(CONTROL!$C$21, $C$9, 100%, $E$9)</f>
        <v>25.392800000000001</v>
      </c>
      <c r="T51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16" s="56">
        <f>(1000*CHOOSE(CONTROL!$C$42, 695, 695)*CHOOSE(CONTROL!$C$42, 0.5599, 0.5599)*CHOOSE(CONTROL!$C$42, 31, 31))/1000000</f>
        <v>12.063045499999998</v>
      </c>
      <c r="V516" s="56">
        <f>(1000*CHOOSE(CONTROL!$C$42, 500, 500)*CHOOSE(CONTROL!$C$42, 0.275, 0.275)*CHOOSE(CONTROL!$C$42, 31, 31))/1000000</f>
        <v>4.2625000000000002</v>
      </c>
      <c r="W516" s="56">
        <f>(1000*CHOOSE(CONTROL!$C$42, 0.0916, 0.0916)*CHOOSE(CONTROL!$C$42, 121.5, 121.5)*CHOOSE(CONTROL!$C$42, 31, 31))/1000000</f>
        <v>0.34501139999999997</v>
      </c>
      <c r="X516" s="56">
        <f>(31*0.2374*100000/1000000)</f>
        <v>0.73594000000000004</v>
      </c>
      <c r="Y516" s="56"/>
      <c r="Z516" s="17"/>
      <c r="AA516" s="55"/>
      <c r="AB516" s="48">
        <f>(B516*122.58+C516*297.941+D516*89.177+E516*140.302+F516*40+G516*60+H516*0+I516*100+J516*300)/(122.58+297.941+89.177+140.302+0+40+60+100+300)</f>
        <v>26.234004878260869</v>
      </c>
      <c r="AC516" s="45">
        <f>(M516*'RAP TEMPLATE-GAS AVAILABILITY'!O515+N516*'RAP TEMPLATE-GAS AVAILABILITY'!P515+O516*'RAP TEMPLATE-GAS AVAILABILITY'!Q515+P516*'RAP TEMPLATE-GAS AVAILABILITY'!R515)/('RAP TEMPLATE-GAS AVAILABILITY'!O515+'RAP TEMPLATE-GAS AVAILABILITY'!P515+'RAP TEMPLATE-GAS AVAILABILITY'!Q515+'RAP TEMPLATE-GAS AVAILABILITY'!R515)</f>
        <v>26.037686330935252</v>
      </c>
    </row>
    <row r="517" spans="1:29" ht="15.75" x14ac:dyDescent="0.25">
      <c r="A517" s="13">
        <v>56645</v>
      </c>
      <c r="B517" s="17">
        <f>CHOOSE(CONTROL!$C$42, 28.3668, 28.3668) * CHOOSE(CONTROL!$C$21, $C$9, 100%, $E$9)</f>
        <v>28.366800000000001</v>
      </c>
      <c r="C517" s="17">
        <f>CHOOSE(CONTROL!$C$42, 28.3719, 28.3719) * CHOOSE(CONTROL!$C$21, $C$9, 100%, $E$9)</f>
        <v>28.3719</v>
      </c>
      <c r="D517" s="17">
        <f>CHOOSE(CONTROL!$C$42, 28.4688, 28.4688) * CHOOSE(CONTROL!$C$21, $C$9, 100%, $E$9)</f>
        <v>28.468800000000002</v>
      </c>
      <c r="E517" s="17">
        <f>CHOOSE(CONTROL!$C$42, 28.5025, 28.5025) * CHOOSE(CONTROL!$C$21, $C$9, 100%, $E$9)</f>
        <v>28.502500000000001</v>
      </c>
      <c r="F517" s="17">
        <f>CHOOSE(CONTROL!$C$42, 28.3811, 28.3811)*CHOOSE(CONTROL!$C$21, $C$9, 100%, $E$9)</f>
        <v>28.3811</v>
      </c>
      <c r="G517" s="17">
        <f>CHOOSE(CONTROL!$C$42, 28.3975, 28.3975)*CHOOSE(CONTROL!$C$21, $C$9, 100%, $E$9)</f>
        <v>28.397500000000001</v>
      </c>
      <c r="H517" s="17">
        <f>CHOOSE(CONTROL!$C$42, 28.4914, 28.4914) * CHOOSE(CONTROL!$C$21, $C$9, 100%, $E$9)</f>
        <v>28.491399999999999</v>
      </c>
      <c r="I517" s="17">
        <f>CHOOSE(CONTROL!$C$42, 28.4798, 28.4798)* CHOOSE(CONTROL!$C$21, $C$9, 100%, $E$9)</f>
        <v>28.479800000000001</v>
      </c>
      <c r="J517" s="17">
        <f>CHOOSE(CONTROL!$C$42, 28.3737, 28.3737)* CHOOSE(CONTROL!$C$21, $C$9, 100%, $E$9)</f>
        <v>28.373699999999999</v>
      </c>
      <c r="K517" s="52">
        <f>CHOOSE(CONTROL!$C$42, 28.4738, 28.4738) * CHOOSE(CONTROL!$C$21, $C$9, 100%, $E$9)</f>
        <v>28.473800000000001</v>
      </c>
      <c r="L517" s="17">
        <f>CHOOSE(CONTROL!$C$42, 29.0784, 29.0784) * CHOOSE(CONTROL!$C$21, $C$9, 100%, $E$9)</f>
        <v>29.078399999999998</v>
      </c>
      <c r="M517" s="17">
        <f>CHOOSE(CONTROL!$C$42, 28.1255, 28.1255) * CHOOSE(CONTROL!$C$21, $C$9, 100%, $E$9)</f>
        <v>28.125499999999999</v>
      </c>
      <c r="N517" s="17">
        <f>CHOOSE(CONTROL!$C$42, 28.1418, 28.1418) * CHOOSE(CONTROL!$C$21, $C$9, 100%, $E$9)</f>
        <v>28.1418</v>
      </c>
      <c r="O517" s="17">
        <f>CHOOSE(CONTROL!$C$42, 28.2422, 28.2422) * CHOOSE(CONTROL!$C$21, $C$9, 100%, $E$9)</f>
        <v>28.2422</v>
      </c>
      <c r="P517" s="17">
        <f>CHOOSE(CONTROL!$C$42, 28.23, 28.23) * CHOOSE(CONTROL!$C$21, $C$9, 100%, $E$9)</f>
        <v>28.23</v>
      </c>
      <c r="Q517" s="17">
        <f>CHOOSE(CONTROL!$C$42, 28.8369, 28.8369) * CHOOSE(CONTROL!$C$21, $C$9, 100%, $E$9)</f>
        <v>28.8369</v>
      </c>
      <c r="R517" s="17">
        <f>CHOOSE(CONTROL!$C$42, 29.496, 29.496) * CHOOSE(CONTROL!$C$21, $C$9, 100%, $E$9)</f>
        <v>29.495999999999999</v>
      </c>
      <c r="S517" s="17">
        <f>CHOOSE(CONTROL!$C$42, 27.4978, 27.4978) * CHOOSE(CONTROL!$C$21, $C$9, 100%, $E$9)</f>
        <v>27.497800000000002</v>
      </c>
      <c r="T51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17" s="56">
        <f>(1000*CHOOSE(CONTROL!$C$42, 695, 695)*CHOOSE(CONTROL!$C$42, 0.5599, 0.5599)*CHOOSE(CONTROL!$C$42, 31, 31))/1000000</f>
        <v>12.063045499999998</v>
      </c>
      <c r="V517" s="56">
        <f>(1000*CHOOSE(CONTROL!$C$42, 500, 500)*CHOOSE(CONTROL!$C$42, 0.275, 0.275)*CHOOSE(CONTROL!$C$42, 31, 31))/1000000</f>
        <v>4.2625000000000002</v>
      </c>
      <c r="W517" s="56">
        <f>(1000*CHOOSE(CONTROL!$C$42, 0.0916, 0.0916)*CHOOSE(CONTROL!$C$42, 121.5, 121.5)*CHOOSE(CONTROL!$C$42, 31, 31))/1000000</f>
        <v>0.34501139999999997</v>
      </c>
      <c r="X517" s="56">
        <f>(31*0.2374*100000/1000000)</f>
        <v>0.73594000000000004</v>
      </c>
      <c r="Y517" s="56"/>
      <c r="Z517" s="17"/>
      <c r="AA517" s="55"/>
      <c r="AB517" s="48">
        <f>(B517*122.58+C517*297.941+D517*89.177+E517*140.302+F517*40+G517*60+H517*0+I517*100+J517*300)/(122.58+297.941+89.177+140.302+0+40+60+100+300)</f>
        <v>28.406311769130433</v>
      </c>
      <c r="AC517" s="45">
        <f>(M517*'RAP TEMPLATE-GAS AVAILABILITY'!O516+N517*'RAP TEMPLATE-GAS AVAILABILITY'!P516+O517*'RAP TEMPLATE-GAS AVAILABILITY'!Q516+P517*'RAP TEMPLATE-GAS AVAILABILITY'!R516)/('RAP TEMPLATE-GAS AVAILABILITY'!O516+'RAP TEMPLATE-GAS AVAILABILITY'!P516+'RAP TEMPLATE-GAS AVAILABILITY'!Q516+'RAP TEMPLATE-GAS AVAILABILITY'!R516)</f>
        <v>28.194366906474819</v>
      </c>
    </row>
    <row r="518" spans="1:29" ht="15.75" x14ac:dyDescent="0.25">
      <c r="A518" s="13">
        <v>56673</v>
      </c>
      <c r="B518" s="17">
        <f>CHOOSE(CONTROL!$C$42, 28.8716, 28.8716) * CHOOSE(CONTROL!$C$21, $C$9, 100%, $E$9)</f>
        <v>28.871600000000001</v>
      </c>
      <c r="C518" s="17">
        <f>CHOOSE(CONTROL!$C$42, 28.8767, 28.8767) * CHOOSE(CONTROL!$C$21, $C$9, 100%, $E$9)</f>
        <v>28.8767</v>
      </c>
      <c r="D518" s="17">
        <f>CHOOSE(CONTROL!$C$42, 28.9735, 28.9735) * CHOOSE(CONTROL!$C$21, $C$9, 100%, $E$9)</f>
        <v>28.973500000000001</v>
      </c>
      <c r="E518" s="17">
        <f>CHOOSE(CONTROL!$C$42, 29.0073, 29.0073) * CHOOSE(CONTROL!$C$21, $C$9, 100%, $E$9)</f>
        <v>29.007300000000001</v>
      </c>
      <c r="F518" s="17">
        <f>CHOOSE(CONTROL!$C$42, 28.8859, 28.8859)*CHOOSE(CONTROL!$C$21, $C$9, 100%, $E$9)</f>
        <v>28.885899999999999</v>
      </c>
      <c r="G518" s="17">
        <f>CHOOSE(CONTROL!$C$42, 28.9023, 28.9023)*CHOOSE(CONTROL!$C$21, $C$9, 100%, $E$9)</f>
        <v>28.9023</v>
      </c>
      <c r="H518" s="17">
        <f>CHOOSE(CONTROL!$C$42, 28.9962, 28.9962) * CHOOSE(CONTROL!$C$21, $C$9, 100%, $E$9)</f>
        <v>28.996200000000002</v>
      </c>
      <c r="I518" s="17">
        <f>CHOOSE(CONTROL!$C$42, 28.9862, 28.9862)* CHOOSE(CONTROL!$C$21, $C$9, 100%, $E$9)</f>
        <v>28.9862</v>
      </c>
      <c r="J518" s="17">
        <f>CHOOSE(CONTROL!$C$42, 28.8785, 28.8785)* CHOOSE(CONTROL!$C$21, $C$9, 100%, $E$9)</f>
        <v>28.878499999999999</v>
      </c>
      <c r="K518" s="52">
        <f>CHOOSE(CONTROL!$C$42, 28.9801, 28.9801) * CHOOSE(CONTROL!$C$21, $C$9, 100%, $E$9)</f>
        <v>28.9801</v>
      </c>
      <c r="L518" s="17">
        <f>CHOOSE(CONTROL!$C$42, 29.5832, 29.5832) * CHOOSE(CONTROL!$C$21, $C$9, 100%, $E$9)</f>
        <v>29.583200000000001</v>
      </c>
      <c r="M518" s="17">
        <f>CHOOSE(CONTROL!$C$42, 28.6258, 28.6258) * CHOOSE(CONTROL!$C$21, $C$9, 100%, $E$9)</f>
        <v>28.625800000000002</v>
      </c>
      <c r="N518" s="17">
        <f>CHOOSE(CONTROL!$C$42, 28.642, 28.642) * CHOOSE(CONTROL!$C$21, $C$9, 100%, $E$9)</f>
        <v>28.641999999999999</v>
      </c>
      <c r="O518" s="17">
        <f>CHOOSE(CONTROL!$C$42, 28.7424, 28.7424) * CHOOSE(CONTROL!$C$21, $C$9, 100%, $E$9)</f>
        <v>28.7424</v>
      </c>
      <c r="P518" s="17">
        <f>CHOOSE(CONTROL!$C$42, 28.7317, 28.7317) * CHOOSE(CONTROL!$C$21, $C$9, 100%, $E$9)</f>
        <v>28.7317</v>
      </c>
      <c r="Q518" s="17">
        <f>CHOOSE(CONTROL!$C$42, 29.3371, 29.3371) * CHOOSE(CONTROL!$C$21, $C$9, 100%, $E$9)</f>
        <v>29.3371</v>
      </c>
      <c r="R518" s="17">
        <f>CHOOSE(CONTROL!$C$42, 29.9975, 29.9975) * CHOOSE(CONTROL!$C$21, $C$9, 100%, $E$9)</f>
        <v>29.997499999999999</v>
      </c>
      <c r="S518" s="17">
        <f>CHOOSE(CONTROL!$C$42, 27.9873, 27.9873) * CHOOSE(CONTROL!$C$21, $C$9, 100%, $E$9)</f>
        <v>27.987300000000001</v>
      </c>
      <c r="T51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18" s="56">
        <f>(1000*CHOOSE(CONTROL!$C$42, 695, 695)*CHOOSE(CONTROL!$C$42, 0.5599, 0.5599)*CHOOSE(CONTROL!$C$42, 28, 28))/1000000</f>
        <v>10.895653999999999</v>
      </c>
      <c r="V518" s="56">
        <f>(1000*CHOOSE(CONTROL!$C$42, 500, 500)*CHOOSE(CONTROL!$C$42, 0.275, 0.275)*CHOOSE(CONTROL!$C$42, 28, 28))/1000000</f>
        <v>3.85</v>
      </c>
      <c r="W518" s="56">
        <f>(1000*CHOOSE(CONTROL!$C$42, 0.0916, 0.0916)*CHOOSE(CONTROL!$C$42, 121.5, 121.5)*CHOOSE(CONTROL!$C$42, 28, 28))/1000000</f>
        <v>0.31162319999999999</v>
      </c>
      <c r="X518" s="56">
        <f>(28*0.2374*100000/1000000)</f>
        <v>0.66471999999999998</v>
      </c>
      <c r="Y518" s="56"/>
      <c r="Z518" s="17"/>
      <c r="AA518" s="55"/>
      <c r="AB518" s="48">
        <f>(B518*122.58+C518*297.941+D518*89.177+E518*140.302+F518*40+G518*60+H518*0+I518*100+J518*300)/(122.58+297.941+89.177+140.302+0+40+60+100+300)</f>
        <v>28.911243145043478</v>
      </c>
      <c r="AC518" s="45">
        <f>(M518*'RAP TEMPLATE-GAS AVAILABILITY'!O517+N518*'RAP TEMPLATE-GAS AVAILABILITY'!P517+O518*'RAP TEMPLATE-GAS AVAILABILITY'!Q517+P518*'RAP TEMPLATE-GAS AVAILABILITY'!R517)/('RAP TEMPLATE-GAS AVAILABILITY'!O517+'RAP TEMPLATE-GAS AVAILABILITY'!P517+'RAP TEMPLATE-GAS AVAILABILITY'!Q517+'RAP TEMPLATE-GAS AVAILABILITY'!R517)</f>
        <v>28.694817266187052</v>
      </c>
    </row>
    <row r="519" spans="1:29" ht="15.75" x14ac:dyDescent="0.25">
      <c r="A519" s="13">
        <v>56704</v>
      </c>
      <c r="B519" s="17">
        <f>CHOOSE(CONTROL!$C$42, 28.0522, 28.0522) * CHOOSE(CONTROL!$C$21, $C$9, 100%, $E$9)</f>
        <v>28.052199999999999</v>
      </c>
      <c r="C519" s="17">
        <f>CHOOSE(CONTROL!$C$42, 28.0573, 28.0573) * CHOOSE(CONTROL!$C$21, $C$9, 100%, $E$9)</f>
        <v>28.057300000000001</v>
      </c>
      <c r="D519" s="17">
        <f>CHOOSE(CONTROL!$C$42, 28.1542, 28.1542) * CHOOSE(CONTROL!$C$21, $C$9, 100%, $E$9)</f>
        <v>28.154199999999999</v>
      </c>
      <c r="E519" s="17">
        <f>CHOOSE(CONTROL!$C$42, 28.1879, 28.1879) * CHOOSE(CONTROL!$C$21, $C$9, 100%, $E$9)</f>
        <v>28.187899999999999</v>
      </c>
      <c r="F519" s="17">
        <f>CHOOSE(CONTROL!$C$42, 28.0659, 28.0659)*CHOOSE(CONTROL!$C$21, $C$9, 100%, $E$9)</f>
        <v>28.065899999999999</v>
      </c>
      <c r="G519" s="17">
        <f>CHOOSE(CONTROL!$C$42, 28.0821, 28.0821)*CHOOSE(CONTROL!$C$21, $C$9, 100%, $E$9)</f>
        <v>28.082100000000001</v>
      </c>
      <c r="H519" s="17">
        <f>CHOOSE(CONTROL!$C$42, 28.1768, 28.1768) * CHOOSE(CONTROL!$C$21, $C$9, 100%, $E$9)</f>
        <v>28.1768</v>
      </c>
      <c r="I519" s="17">
        <f>CHOOSE(CONTROL!$C$42, 28.1642, 28.1642)* CHOOSE(CONTROL!$C$21, $C$9, 100%, $E$9)</f>
        <v>28.164200000000001</v>
      </c>
      <c r="J519" s="17">
        <f>CHOOSE(CONTROL!$C$42, 28.0585, 28.0585)* CHOOSE(CONTROL!$C$21, $C$9, 100%, $E$9)</f>
        <v>28.058499999999999</v>
      </c>
      <c r="K519" s="52">
        <f>CHOOSE(CONTROL!$C$42, 28.1582, 28.1582) * CHOOSE(CONTROL!$C$21, $C$9, 100%, $E$9)</f>
        <v>28.158200000000001</v>
      </c>
      <c r="L519" s="17">
        <f>CHOOSE(CONTROL!$C$42, 28.7638, 28.7638) * CHOOSE(CONTROL!$C$21, $C$9, 100%, $E$9)</f>
        <v>28.7638</v>
      </c>
      <c r="M519" s="17">
        <f>CHOOSE(CONTROL!$C$42, 27.8131, 27.8131) * CHOOSE(CONTROL!$C$21, $C$9, 100%, $E$9)</f>
        <v>27.813099999999999</v>
      </c>
      <c r="N519" s="17">
        <f>CHOOSE(CONTROL!$C$42, 27.8292, 27.8292) * CHOOSE(CONTROL!$C$21, $C$9, 100%, $E$9)</f>
        <v>27.8292</v>
      </c>
      <c r="O519" s="17">
        <f>CHOOSE(CONTROL!$C$42, 27.9304, 27.9304) * CHOOSE(CONTROL!$C$21, $C$9, 100%, $E$9)</f>
        <v>27.930399999999999</v>
      </c>
      <c r="P519" s="17">
        <f>CHOOSE(CONTROL!$C$42, 27.9172, 27.9172) * CHOOSE(CONTROL!$C$21, $C$9, 100%, $E$9)</f>
        <v>27.917200000000001</v>
      </c>
      <c r="Q519" s="17">
        <f>CHOOSE(CONTROL!$C$42, 28.5251, 28.5251) * CHOOSE(CONTROL!$C$21, $C$9, 100%, $E$9)</f>
        <v>28.525099999999998</v>
      </c>
      <c r="R519" s="17">
        <f>CHOOSE(CONTROL!$C$42, 29.1834, 29.1834) * CHOOSE(CONTROL!$C$21, $C$9, 100%, $E$9)</f>
        <v>29.183399999999999</v>
      </c>
      <c r="S519" s="17">
        <f>CHOOSE(CONTROL!$C$42, 27.1927, 27.1927) * CHOOSE(CONTROL!$C$21, $C$9, 100%, $E$9)</f>
        <v>27.192699999999999</v>
      </c>
      <c r="T51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19" s="56">
        <f>(1000*CHOOSE(CONTROL!$C$42, 695, 695)*CHOOSE(CONTROL!$C$42, 0.5599, 0.5599)*CHOOSE(CONTROL!$C$42, 31, 31))/1000000</f>
        <v>12.063045499999998</v>
      </c>
      <c r="V519" s="56">
        <f>(1000*CHOOSE(CONTROL!$C$42, 500, 500)*CHOOSE(CONTROL!$C$42, 0.275, 0.275)*CHOOSE(CONTROL!$C$42, 31, 31))/1000000</f>
        <v>4.2625000000000002</v>
      </c>
      <c r="W519" s="56">
        <f>(1000*CHOOSE(CONTROL!$C$42, 0.0916, 0.0916)*CHOOSE(CONTROL!$C$42, 121.5, 121.5)*CHOOSE(CONTROL!$C$42, 31, 31))/1000000</f>
        <v>0.34501139999999997</v>
      </c>
      <c r="X519" s="56">
        <f>(31*0.2374*100000/1000000)</f>
        <v>0.73594000000000004</v>
      </c>
      <c r="Y519" s="56"/>
      <c r="Z519" s="17"/>
      <c r="AA519" s="55"/>
      <c r="AB519" s="48">
        <f>(B519*122.58+C519*297.941+D519*89.177+E519*140.302+F519*40+G519*60+H519*0+I519*100+J519*300)/(122.58+297.941+89.177+140.302+0+40+60+100+300)</f>
        <v>28.091405682173914</v>
      </c>
      <c r="AC519" s="45">
        <f>(M519*'RAP TEMPLATE-GAS AVAILABILITY'!O518+N519*'RAP TEMPLATE-GAS AVAILABILITY'!P518+O519*'RAP TEMPLATE-GAS AVAILABILITY'!Q518+P519*'RAP TEMPLATE-GAS AVAILABILITY'!R518)/('RAP TEMPLATE-GAS AVAILABILITY'!O518+'RAP TEMPLATE-GAS AVAILABILITY'!P518+'RAP TEMPLATE-GAS AVAILABILITY'!Q518+'RAP TEMPLATE-GAS AVAILABILITY'!R518)</f>
        <v>27.882169784172664</v>
      </c>
    </row>
    <row r="520" spans="1:29" ht="15.75" x14ac:dyDescent="0.25">
      <c r="A520" s="13">
        <v>56734</v>
      </c>
      <c r="B520" s="17">
        <f>CHOOSE(CONTROL!$C$42, 27.9693, 27.9693) * CHOOSE(CONTROL!$C$21, $C$9, 100%, $E$9)</f>
        <v>27.9693</v>
      </c>
      <c r="C520" s="17">
        <f>CHOOSE(CONTROL!$C$42, 27.9738, 27.9738) * CHOOSE(CONTROL!$C$21, $C$9, 100%, $E$9)</f>
        <v>27.973800000000001</v>
      </c>
      <c r="D520" s="17">
        <f>CHOOSE(CONTROL!$C$42, 28.2213, 28.2213) * CHOOSE(CONTROL!$C$21, $C$9, 100%, $E$9)</f>
        <v>28.221299999999999</v>
      </c>
      <c r="E520" s="17">
        <f>CHOOSE(CONTROL!$C$42, 28.2531, 28.2531) * CHOOSE(CONTROL!$C$21, $C$9, 100%, $E$9)</f>
        <v>28.2531</v>
      </c>
      <c r="F520" s="17">
        <f>CHOOSE(CONTROL!$C$42, 27.9809, 27.9809)*CHOOSE(CONTROL!$C$21, $C$9, 100%, $E$9)</f>
        <v>27.980899999999998</v>
      </c>
      <c r="G520" s="17">
        <f>CHOOSE(CONTROL!$C$42, 27.9968, 27.9968)*CHOOSE(CONTROL!$C$21, $C$9, 100%, $E$9)</f>
        <v>27.9968</v>
      </c>
      <c r="H520" s="17">
        <f>CHOOSE(CONTROL!$C$42, 28.2426, 28.2426) * CHOOSE(CONTROL!$C$21, $C$9, 100%, $E$9)</f>
        <v>28.242599999999999</v>
      </c>
      <c r="I520" s="17">
        <f>CHOOSE(CONTROL!$C$42, 28.0787, 28.0787)* CHOOSE(CONTROL!$C$21, $C$9, 100%, $E$9)</f>
        <v>28.078700000000001</v>
      </c>
      <c r="J520" s="17">
        <f>CHOOSE(CONTROL!$C$42, 27.9735, 27.9735)* CHOOSE(CONTROL!$C$21, $C$9, 100%, $E$9)</f>
        <v>27.973500000000001</v>
      </c>
      <c r="K520" s="52">
        <f>CHOOSE(CONTROL!$C$42, 28.0727, 28.0727) * CHOOSE(CONTROL!$C$21, $C$9, 100%, $E$9)</f>
        <v>28.072700000000001</v>
      </c>
      <c r="L520" s="17">
        <f>CHOOSE(CONTROL!$C$42, 28.8296, 28.8296) * CHOOSE(CONTROL!$C$21, $C$9, 100%, $E$9)</f>
        <v>28.829599999999999</v>
      </c>
      <c r="M520" s="17">
        <f>CHOOSE(CONTROL!$C$42, 27.7289, 27.7289) * CHOOSE(CONTROL!$C$21, $C$9, 100%, $E$9)</f>
        <v>27.728899999999999</v>
      </c>
      <c r="N520" s="17">
        <f>CHOOSE(CONTROL!$C$42, 27.7447, 27.7447) * CHOOSE(CONTROL!$C$21, $C$9, 100%, $E$9)</f>
        <v>27.744700000000002</v>
      </c>
      <c r="O520" s="17">
        <f>CHOOSE(CONTROL!$C$42, 27.9956, 27.9956) * CHOOSE(CONTROL!$C$21, $C$9, 100%, $E$9)</f>
        <v>27.9956</v>
      </c>
      <c r="P520" s="17">
        <f>CHOOSE(CONTROL!$C$42, 27.8325, 27.8325) * CHOOSE(CONTROL!$C$21, $C$9, 100%, $E$9)</f>
        <v>27.8325</v>
      </c>
      <c r="Q520" s="17">
        <f>CHOOSE(CONTROL!$C$42, 28.5903, 28.5903) * CHOOSE(CONTROL!$C$21, $C$9, 100%, $E$9)</f>
        <v>28.590299999999999</v>
      </c>
      <c r="R520" s="17">
        <f>CHOOSE(CONTROL!$C$42, 29.2488, 29.2488) * CHOOSE(CONTROL!$C$21, $C$9, 100%, $E$9)</f>
        <v>29.248799999999999</v>
      </c>
      <c r="S520" s="17">
        <f>CHOOSE(CONTROL!$C$42, 27.1115, 27.1115) * CHOOSE(CONTROL!$C$21, $C$9, 100%, $E$9)</f>
        <v>27.111499999999999</v>
      </c>
      <c r="T52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20" s="56">
        <f>(1000*CHOOSE(CONTROL!$C$42, 695, 695)*CHOOSE(CONTROL!$C$42, 0.5599, 0.5599)*CHOOSE(CONTROL!$C$42, 30, 30))/1000000</f>
        <v>11.673914999999997</v>
      </c>
      <c r="V520" s="56">
        <f>(1000*CHOOSE(CONTROL!$C$42, 500, 500)*CHOOSE(CONTROL!$C$42, 0.275, 0.275)*CHOOSE(CONTROL!$C$42, 30, 30))/1000000</f>
        <v>4.125</v>
      </c>
      <c r="W520" s="56">
        <f>(1000*CHOOSE(CONTROL!$C$42, 0.0916, 0.0916)*CHOOSE(CONTROL!$C$42, 121.5, 121.5)*CHOOSE(CONTROL!$C$42, 30, 30))/1000000</f>
        <v>0.33388200000000001</v>
      </c>
      <c r="X520" s="56">
        <f>(30*0.1790888*145000/1000000)+(30*0.2374*100000/1000000)</f>
        <v>1.4912362799999999</v>
      </c>
      <c r="Y520" s="56"/>
      <c r="Z520" s="17"/>
      <c r="AA520" s="55"/>
      <c r="AB520" s="48">
        <f>(B520*141.293+C520*267.993+D520*115.016+E520*189.698+F520*40+G520*85+H520*0+I520*100+J520*300)/(141.293+267.993+115.016+189.698+0+40+85+100+300)</f>
        <v>28.049225579418884</v>
      </c>
      <c r="AC520" s="45">
        <f>(M520*'RAP TEMPLATE-GAS AVAILABILITY'!O519+N520*'RAP TEMPLATE-GAS AVAILABILITY'!P519+O520*'RAP TEMPLATE-GAS AVAILABILITY'!Q519+P520*'RAP TEMPLATE-GAS AVAILABILITY'!R519)/('RAP TEMPLATE-GAS AVAILABILITY'!O519+'RAP TEMPLATE-GAS AVAILABILITY'!P519+'RAP TEMPLATE-GAS AVAILABILITY'!Q519+'RAP TEMPLATE-GAS AVAILABILITY'!R519)</f>
        <v>27.822273381294963</v>
      </c>
    </row>
    <row r="521" spans="1:29" ht="15.75" x14ac:dyDescent="0.25">
      <c r="A521" s="13">
        <v>56765</v>
      </c>
      <c r="B521" s="17">
        <f>CHOOSE(CONTROL!$C$42, 28.2174, 28.2174) * CHOOSE(CONTROL!$C$21, $C$9, 100%, $E$9)</f>
        <v>28.217400000000001</v>
      </c>
      <c r="C521" s="17">
        <f>CHOOSE(CONTROL!$C$42, 28.2254, 28.2254) * CHOOSE(CONTROL!$C$21, $C$9, 100%, $E$9)</f>
        <v>28.2254</v>
      </c>
      <c r="D521" s="17">
        <f>CHOOSE(CONTROL!$C$42, 28.4698, 28.4698) * CHOOSE(CONTROL!$C$21, $C$9, 100%, $E$9)</f>
        <v>28.469799999999999</v>
      </c>
      <c r="E521" s="17">
        <f>CHOOSE(CONTROL!$C$42, 28.501, 28.501) * CHOOSE(CONTROL!$C$21, $C$9, 100%, $E$9)</f>
        <v>28.501000000000001</v>
      </c>
      <c r="F521" s="17">
        <f>CHOOSE(CONTROL!$C$42, 28.2279, 28.2279)*CHOOSE(CONTROL!$C$21, $C$9, 100%, $E$9)</f>
        <v>28.227900000000002</v>
      </c>
      <c r="G521" s="17">
        <f>CHOOSE(CONTROL!$C$42, 28.2442, 28.2442)*CHOOSE(CONTROL!$C$21, $C$9, 100%, $E$9)</f>
        <v>28.244199999999999</v>
      </c>
      <c r="H521" s="17">
        <f>CHOOSE(CONTROL!$C$42, 28.4893, 28.4893) * CHOOSE(CONTROL!$C$21, $C$9, 100%, $E$9)</f>
        <v>28.4893</v>
      </c>
      <c r="I521" s="17">
        <f>CHOOSE(CONTROL!$C$42, 28.3262, 28.3262)* CHOOSE(CONTROL!$C$21, $C$9, 100%, $E$9)</f>
        <v>28.3262</v>
      </c>
      <c r="J521" s="17">
        <f>CHOOSE(CONTROL!$C$42, 28.2205, 28.2205)* CHOOSE(CONTROL!$C$21, $C$9, 100%, $E$9)</f>
        <v>28.220500000000001</v>
      </c>
      <c r="K521" s="52">
        <f>CHOOSE(CONTROL!$C$42, 28.3202, 28.3202) * CHOOSE(CONTROL!$C$21, $C$9, 100%, $E$9)</f>
        <v>28.3202</v>
      </c>
      <c r="L521" s="17">
        <f>CHOOSE(CONTROL!$C$42, 29.0763, 29.0763) * CHOOSE(CONTROL!$C$21, $C$9, 100%, $E$9)</f>
        <v>29.0763</v>
      </c>
      <c r="M521" s="17">
        <f>CHOOSE(CONTROL!$C$42, 27.9737, 27.9737) * CHOOSE(CONTROL!$C$21, $C$9, 100%, $E$9)</f>
        <v>27.973700000000001</v>
      </c>
      <c r="N521" s="17">
        <f>CHOOSE(CONTROL!$C$42, 27.9898, 27.9898) * CHOOSE(CONTROL!$C$21, $C$9, 100%, $E$9)</f>
        <v>27.989799999999999</v>
      </c>
      <c r="O521" s="17">
        <f>CHOOSE(CONTROL!$C$42, 28.2401, 28.2401) * CHOOSE(CONTROL!$C$21, $C$9, 100%, $E$9)</f>
        <v>28.240100000000002</v>
      </c>
      <c r="P521" s="17">
        <f>CHOOSE(CONTROL!$C$42, 28.0777, 28.0777) * CHOOSE(CONTROL!$C$21, $C$9, 100%, $E$9)</f>
        <v>28.0777</v>
      </c>
      <c r="Q521" s="17">
        <f>CHOOSE(CONTROL!$C$42, 28.8348, 28.8348) * CHOOSE(CONTROL!$C$21, $C$9, 100%, $E$9)</f>
        <v>28.834800000000001</v>
      </c>
      <c r="R521" s="17">
        <f>CHOOSE(CONTROL!$C$42, 29.4939, 29.4939) * CHOOSE(CONTROL!$C$21, $C$9, 100%, $E$9)</f>
        <v>29.4939</v>
      </c>
      <c r="S521" s="17">
        <f>CHOOSE(CONTROL!$C$42, 27.3508, 27.3508) * CHOOSE(CONTROL!$C$21, $C$9, 100%, $E$9)</f>
        <v>27.3508</v>
      </c>
      <c r="T52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21" s="56">
        <f>(1000*CHOOSE(CONTROL!$C$42, 695, 695)*CHOOSE(CONTROL!$C$42, 0.5599, 0.5599)*CHOOSE(CONTROL!$C$42, 31, 31))/1000000</f>
        <v>12.063045499999998</v>
      </c>
      <c r="V521" s="56">
        <f>(1000*CHOOSE(CONTROL!$C$42, 500, 500)*CHOOSE(CONTROL!$C$42, 0.275, 0.275)*CHOOSE(CONTROL!$C$42, 31, 31))/1000000</f>
        <v>4.2625000000000002</v>
      </c>
      <c r="W521" s="56">
        <f>(1000*CHOOSE(CONTROL!$C$42, 0.0916, 0.0916)*CHOOSE(CONTROL!$C$42, 121.5, 121.5)*CHOOSE(CONTROL!$C$42, 31, 31))/1000000</f>
        <v>0.34501139999999997</v>
      </c>
      <c r="X521" s="56">
        <f>(31*0.1790888*145000/1000000)+(31*0.2374*100000/1000000)</f>
        <v>1.5409441560000001</v>
      </c>
      <c r="Y521" s="56"/>
      <c r="Z521" s="17"/>
      <c r="AA521" s="55"/>
      <c r="AB521" s="48">
        <f>(B521*194.205+C521*267.466+D521*133.845+E521*153.484+F521*40+G521*85+H521*0+I521*100+J521*300)/(194.205+267.466+133.845+153.484+0+40+85+100+300)</f>
        <v>28.29115060313972</v>
      </c>
      <c r="AC521" s="45">
        <f>(M521*'RAP TEMPLATE-GAS AVAILABILITY'!O520+N521*'RAP TEMPLATE-GAS AVAILABILITY'!P520+O521*'RAP TEMPLATE-GAS AVAILABILITY'!Q520+P521*'RAP TEMPLATE-GAS AVAILABILITY'!R520)/('RAP TEMPLATE-GAS AVAILABILITY'!O520+'RAP TEMPLATE-GAS AVAILABILITY'!P520+'RAP TEMPLATE-GAS AVAILABILITY'!Q520+'RAP TEMPLATE-GAS AVAILABILITY'!R520)</f>
        <v>28.067115827338132</v>
      </c>
    </row>
    <row r="522" spans="1:29" ht="15.75" x14ac:dyDescent="0.25">
      <c r="A522" s="13">
        <v>56795</v>
      </c>
      <c r="B522" s="17">
        <f>CHOOSE(CONTROL!$C$42, 29.0175, 29.0175) * CHOOSE(CONTROL!$C$21, $C$9, 100%, $E$9)</f>
        <v>29.017499999999998</v>
      </c>
      <c r="C522" s="17">
        <f>CHOOSE(CONTROL!$C$42, 29.0254, 29.0254) * CHOOSE(CONTROL!$C$21, $C$9, 100%, $E$9)</f>
        <v>29.025400000000001</v>
      </c>
      <c r="D522" s="17">
        <f>CHOOSE(CONTROL!$C$42, 29.2699, 29.2699) * CHOOSE(CONTROL!$C$21, $C$9, 100%, $E$9)</f>
        <v>29.2699</v>
      </c>
      <c r="E522" s="17">
        <f>CHOOSE(CONTROL!$C$42, 29.3011, 29.3011) * CHOOSE(CONTROL!$C$21, $C$9, 100%, $E$9)</f>
        <v>29.301100000000002</v>
      </c>
      <c r="F522" s="17">
        <f>CHOOSE(CONTROL!$C$42, 29.0283, 29.0283)*CHOOSE(CONTROL!$C$21, $C$9, 100%, $E$9)</f>
        <v>29.028300000000002</v>
      </c>
      <c r="G522" s="17">
        <f>CHOOSE(CONTROL!$C$42, 29.0446, 29.0446)*CHOOSE(CONTROL!$C$21, $C$9, 100%, $E$9)</f>
        <v>29.044599999999999</v>
      </c>
      <c r="H522" s="17">
        <f>CHOOSE(CONTROL!$C$42, 29.2894, 29.2894) * CHOOSE(CONTROL!$C$21, $C$9, 100%, $E$9)</f>
        <v>29.289400000000001</v>
      </c>
      <c r="I522" s="17">
        <f>CHOOSE(CONTROL!$C$42, 29.1288, 29.1288)* CHOOSE(CONTROL!$C$21, $C$9, 100%, $E$9)</f>
        <v>29.128799999999998</v>
      </c>
      <c r="J522" s="17">
        <f>CHOOSE(CONTROL!$C$42, 29.0209, 29.0209)* CHOOSE(CONTROL!$C$21, $C$9, 100%, $E$9)</f>
        <v>29.020900000000001</v>
      </c>
      <c r="K522" s="52">
        <f>CHOOSE(CONTROL!$C$42, 29.1227, 29.1227) * CHOOSE(CONTROL!$C$21, $C$9, 100%, $E$9)</f>
        <v>29.122699999999998</v>
      </c>
      <c r="L522" s="17">
        <f>CHOOSE(CONTROL!$C$42, 29.8764, 29.8764) * CHOOSE(CONTROL!$C$21, $C$9, 100%, $E$9)</f>
        <v>29.8764</v>
      </c>
      <c r="M522" s="17">
        <f>CHOOSE(CONTROL!$C$42, 28.7669, 28.7669) * CHOOSE(CONTROL!$C$21, $C$9, 100%, $E$9)</f>
        <v>28.7669</v>
      </c>
      <c r="N522" s="17">
        <f>CHOOSE(CONTROL!$C$42, 28.7831, 28.7831) * CHOOSE(CONTROL!$C$21, $C$9, 100%, $E$9)</f>
        <v>28.783100000000001</v>
      </c>
      <c r="O522" s="17">
        <f>CHOOSE(CONTROL!$C$42, 29.033, 29.033) * CHOOSE(CONTROL!$C$21, $C$9, 100%, $E$9)</f>
        <v>29.033000000000001</v>
      </c>
      <c r="P522" s="17">
        <f>CHOOSE(CONTROL!$C$42, 28.8731, 28.8731) * CHOOSE(CONTROL!$C$21, $C$9, 100%, $E$9)</f>
        <v>28.873100000000001</v>
      </c>
      <c r="Q522" s="17">
        <f>CHOOSE(CONTROL!$C$42, 29.6277, 29.6277) * CHOOSE(CONTROL!$C$21, $C$9, 100%, $E$9)</f>
        <v>29.627700000000001</v>
      </c>
      <c r="R522" s="17">
        <f>CHOOSE(CONTROL!$C$42, 30.2888, 30.2888) * CHOOSE(CONTROL!$C$21, $C$9, 100%, $E$9)</f>
        <v>30.288799999999998</v>
      </c>
      <c r="S522" s="17">
        <f>CHOOSE(CONTROL!$C$42, 28.1266, 28.1266) * CHOOSE(CONTROL!$C$21, $C$9, 100%, $E$9)</f>
        <v>28.1266</v>
      </c>
      <c r="T52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22" s="56">
        <f>(1000*CHOOSE(CONTROL!$C$42, 695, 695)*CHOOSE(CONTROL!$C$42, 0.5599, 0.5599)*CHOOSE(CONTROL!$C$42, 30, 30))/1000000</f>
        <v>11.673914999999997</v>
      </c>
      <c r="V522" s="56">
        <f>(1000*CHOOSE(CONTROL!$C$42, 500, 500)*CHOOSE(CONTROL!$C$42, 0.275, 0.275)*CHOOSE(CONTROL!$C$42, 30, 30))/1000000</f>
        <v>4.125</v>
      </c>
      <c r="W522" s="56">
        <f>(1000*CHOOSE(CONTROL!$C$42, 0.0916, 0.0916)*CHOOSE(CONTROL!$C$42, 121.5, 121.5)*CHOOSE(CONTROL!$C$42, 30, 30))/1000000</f>
        <v>0.33388200000000001</v>
      </c>
      <c r="X522" s="56">
        <f>(30*0.1790888*145000/1000000)+(30*0.2374*100000/1000000)</f>
        <v>1.4912362799999999</v>
      </c>
      <c r="Y522" s="56"/>
      <c r="Z522" s="17"/>
      <c r="AA522" s="55"/>
      <c r="AB522" s="48">
        <f>(B522*194.205+C522*267.466+D522*133.845+E522*153.484+F522*40+G522*85+H522*0+I522*100+J522*300)/(194.205+267.466+133.845+153.484+0+40+85+100+300)</f>
        <v>29.091525919780224</v>
      </c>
      <c r="AC522" s="45">
        <f>(M522*'RAP TEMPLATE-GAS AVAILABILITY'!O521+N522*'RAP TEMPLATE-GAS AVAILABILITY'!P521+O522*'RAP TEMPLATE-GAS AVAILABILITY'!Q521+P522*'RAP TEMPLATE-GAS AVAILABILITY'!R521)/('RAP TEMPLATE-GAS AVAILABILITY'!O521+'RAP TEMPLATE-GAS AVAILABILITY'!P521+'RAP TEMPLATE-GAS AVAILABILITY'!Q521+'RAP TEMPLATE-GAS AVAILABILITY'!R521)</f>
        <v>28.860571223021584</v>
      </c>
    </row>
    <row r="523" spans="1:29" ht="15.75" x14ac:dyDescent="0.25">
      <c r="A523" s="13">
        <v>56826</v>
      </c>
      <c r="B523" s="17">
        <f>CHOOSE(CONTROL!$C$42, 28.461, 28.461) * CHOOSE(CONTROL!$C$21, $C$9, 100%, $E$9)</f>
        <v>28.460999999999999</v>
      </c>
      <c r="C523" s="17">
        <f>CHOOSE(CONTROL!$C$42, 28.469, 28.469) * CHOOSE(CONTROL!$C$21, $C$9, 100%, $E$9)</f>
        <v>28.469000000000001</v>
      </c>
      <c r="D523" s="17">
        <f>CHOOSE(CONTROL!$C$42, 28.7135, 28.7135) * CHOOSE(CONTROL!$C$21, $C$9, 100%, $E$9)</f>
        <v>28.7135</v>
      </c>
      <c r="E523" s="17">
        <f>CHOOSE(CONTROL!$C$42, 28.7446, 28.7446) * CHOOSE(CONTROL!$C$21, $C$9, 100%, $E$9)</f>
        <v>28.744599999999998</v>
      </c>
      <c r="F523" s="17">
        <f>CHOOSE(CONTROL!$C$42, 28.4723, 28.4723)*CHOOSE(CONTROL!$C$21, $C$9, 100%, $E$9)</f>
        <v>28.472300000000001</v>
      </c>
      <c r="G523" s="17">
        <f>CHOOSE(CONTROL!$C$42, 28.4888, 28.4888)*CHOOSE(CONTROL!$C$21, $C$9, 100%, $E$9)</f>
        <v>28.488800000000001</v>
      </c>
      <c r="H523" s="17">
        <f>CHOOSE(CONTROL!$C$42, 28.733, 28.733) * CHOOSE(CONTROL!$C$21, $C$9, 100%, $E$9)</f>
        <v>28.733000000000001</v>
      </c>
      <c r="I523" s="17">
        <f>CHOOSE(CONTROL!$C$42, 28.5706, 28.5706)* CHOOSE(CONTROL!$C$21, $C$9, 100%, $E$9)</f>
        <v>28.570599999999999</v>
      </c>
      <c r="J523" s="17">
        <f>CHOOSE(CONTROL!$C$42, 28.4649, 28.4649)* CHOOSE(CONTROL!$C$21, $C$9, 100%, $E$9)</f>
        <v>28.4649</v>
      </c>
      <c r="K523" s="52">
        <f>CHOOSE(CONTROL!$C$42, 28.5645, 28.5645) * CHOOSE(CONTROL!$C$21, $C$9, 100%, $E$9)</f>
        <v>28.564499999999999</v>
      </c>
      <c r="L523" s="17">
        <f>CHOOSE(CONTROL!$C$42, 29.32, 29.32) * CHOOSE(CONTROL!$C$21, $C$9, 100%, $E$9)</f>
        <v>29.32</v>
      </c>
      <c r="M523" s="17">
        <f>CHOOSE(CONTROL!$C$42, 28.2159, 28.2159) * CHOOSE(CONTROL!$C$21, $C$9, 100%, $E$9)</f>
        <v>28.215900000000001</v>
      </c>
      <c r="N523" s="17">
        <f>CHOOSE(CONTROL!$C$42, 28.2322, 28.2322) * CHOOSE(CONTROL!$C$21, $C$9, 100%, $E$9)</f>
        <v>28.232199999999999</v>
      </c>
      <c r="O523" s="17">
        <f>CHOOSE(CONTROL!$C$42, 28.4816, 28.4816) * CHOOSE(CONTROL!$C$21, $C$9, 100%, $E$9)</f>
        <v>28.4816</v>
      </c>
      <c r="P523" s="17">
        <f>CHOOSE(CONTROL!$C$42, 28.3199, 28.3199) * CHOOSE(CONTROL!$C$21, $C$9, 100%, $E$9)</f>
        <v>28.319900000000001</v>
      </c>
      <c r="Q523" s="17">
        <f>CHOOSE(CONTROL!$C$42, 29.0763, 29.0763) * CHOOSE(CONTROL!$C$21, $C$9, 100%, $E$9)</f>
        <v>29.0763</v>
      </c>
      <c r="R523" s="17">
        <f>CHOOSE(CONTROL!$C$42, 29.7359, 29.7359) * CHOOSE(CONTROL!$C$21, $C$9, 100%, $E$9)</f>
        <v>29.735900000000001</v>
      </c>
      <c r="S523" s="17">
        <f>CHOOSE(CONTROL!$C$42, 27.5871, 27.5871) * CHOOSE(CONTROL!$C$21, $C$9, 100%, $E$9)</f>
        <v>27.5871</v>
      </c>
      <c r="T52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23" s="56">
        <f>(1000*CHOOSE(CONTROL!$C$42, 695, 695)*CHOOSE(CONTROL!$C$42, 0.5599, 0.5599)*CHOOSE(CONTROL!$C$42, 31, 31))/1000000</f>
        <v>12.063045499999998</v>
      </c>
      <c r="V523" s="56">
        <f>(1000*CHOOSE(CONTROL!$C$42, 500, 500)*CHOOSE(CONTROL!$C$42, 0.275, 0.275)*CHOOSE(CONTROL!$C$42, 31, 31))/1000000</f>
        <v>4.2625000000000002</v>
      </c>
      <c r="W523" s="56">
        <f>(1000*CHOOSE(CONTROL!$C$42, 0.0916, 0.0916)*CHOOSE(CONTROL!$C$42, 121.5, 121.5)*CHOOSE(CONTROL!$C$42, 31, 31))/1000000</f>
        <v>0.34501139999999997</v>
      </c>
      <c r="X523" s="56">
        <f>(31*0.1790888*145000/1000000)+(31*0.2374*100000/1000000)</f>
        <v>1.5409441560000001</v>
      </c>
      <c r="Y523" s="56"/>
      <c r="Z523" s="17"/>
      <c r="AA523" s="55"/>
      <c r="AB523" s="48">
        <f>(B523*194.205+C523*267.466+D523*133.845+E523*153.484+F523*40+G523*85+H523*0+I523*100+J523*300)/(194.205+267.466+133.845+153.484+0+40+85+100+300)</f>
        <v>28.535104123155413</v>
      </c>
      <c r="AC523" s="45">
        <f>(M523*'RAP TEMPLATE-GAS AVAILABILITY'!O522+N523*'RAP TEMPLATE-GAS AVAILABILITY'!P522+O523*'RAP TEMPLATE-GAS AVAILABILITY'!Q522+P523*'RAP TEMPLATE-GAS AVAILABILITY'!R522)/('RAP TEMPLATE-GAS AVAILABILITY'!O522+'RAP TEMPLATE-GAS AVAILABILITY'!P522+'RAP TEMPLATE-GAS AVAILABILITY'!Q522+'RAP TEMPLATE-GAS AVAILABILITY'!R522)</f>
        <v>28.309165467625903</v>
      </c>
    </row>
    <row r="524" spans="1:29" ht="15.75" x14ac:dyDescent="0.25">
      <c r="A524" s="13">
        <v>56857</v>
      </c>
      <c r="B524" s="17">
        <f>CHOOSE(CONTROL!$C$42, 27.0558, 27.0558) * CHOOSE(CONTROL!$C$21, $C$9, 100%, $E$9)</f>
        <v>27.055800000000001</v>
      </c>
      <c r="C524" s="17">
        <f>CHOOSE(CONTROL!$C$42, 27.0638, 27.0638) * CHOOSE(CONTROL!$C$21, $C$9, 100%, $E$9)</f>
        <v>27.063800000000001</v>
      </c>
      <c r="D524" s="17">
        <f>CHOOSE(CONTROL!$C$42, 27.3083, 27.3083) * CHOOSE(CONTROL!$C$21, $C$9, 100%, $E$9)</f>
        <v>27.308299999999999</v>
      </c>
      <c r="E524" s="17">
        <f>CHOOSE(CONTROL!$C$42, 27.3394, 27.3394) * CHOOSE(CONTROL!$C$21, $C$9, 100%, $E$9)</f>
        <v>27.339400000000001</v>
      </c>
      <c r="F524" s="17">
        <f>CHOOSE(CONTROL!$C$42, 27.0674, 27.0674)*CHOOSE(CONTROL!$C$21, $C$9, 100%, $E$9)</f>
        <v>27.067399999999999</v>
      </c>
      <c r="G524" s="17">
        <f>CHOOSE(CONTROL!$C$42, 27.0839, 27.0839)*CHOOSE(CONTROL!$C$21, $C$9, 100%, $E$9)</f>
        <v>27.0839</v>
      </c>
      <c r="H524" s="17">
        <f>CHOOSE(CONTROL!$C$42, 27.3278, 27.3278) * CHOOSE(CONTROL!$C$21, $C$9, 100%, $E$9)</f>
        <v>27.3278</v>
      </c>
      <c r="I524" s="17">
        <f>CHOOSE(CONTROL!$C$42, 27.161, 27.161)* CHOOSE(CONTROL!$C$21, $C$9, 100%, $E$9)</f>
        <v>27.161000000000001</v>
      </c>
      <c r="J524" s="17">
        <f>CHOOSE(CONTROL!$C$42, 27.06, 27.06)* CHOOSE(CONTROL!$C$21, $C$9, 100%, $E$9)</f>
        <v>27.06</v>
      </c>
      <c r="K524" s="52">
        <f>CHOOSE(CONTROL!$C$42, 27.155, 27.155) * CHOOSE(CONTROL!$C$21, $C$9, 100%, $E$9)</f>
        <v>27.155000000000001</v>
      </c>
      <c r="L524" s="17">
        <f>CHOOSE(CONTROL!$C$42, 27.9148, 27.9148) * CHOOSE(CONTROL!$C$21, $C$9, 100%, $E$9)</f>
        <v>27.9148</v>
      </c>
      <c r="M524" s="17">
        <f>CHOOSE(CONTROL!$C$42, 26.8236, 26.8236) * CHOOSE(CONTROL!$C$21, $C$9, 100%, $E$9)</f>
        <v>26.823599999999999</v>
      </c>
      <c r="N524" s="17">
        <f>CHOOSE(CONTROL!$C$42, 26.84, 26.84) * CHOOSE(CONTROL!$C$21, $C$9, 100%, $E$9)</f>
        <v>26.84</v>
      </c>
      <c r="O524" s="17">
        <f>CHOOSE(CONTROL!$C$42, 27.089, 27.089) * CHOOSE(CONTROL!$C$21, $C$9, 100%, $E$9)</f>
        <v>27.088999999999999</v>
      </c>
      <c r="P524" s="17">
        <f>CHOOSE(CONTROL!$C$42, 26.9231, 26.9231) * CHOOSE(CONTROL!$C$21, $C$9, 100%, $E$9)</f>
        <v>26.923100000000002</v>
      </c>
      <c r="Q524" s="17">
        <f>CHOOSE(CONTROL!$C$42, 27.6837, 27.6837) * CHOOSE(CONTROL!$C$21, $C$9, 100%, $E$9)</f>
        <v>27.683700000000002</v>
      </c>
      <c r="R524" s="17">
        <f>CHOOSE(CONTROL!$C$42, 28.3399, 28.3399) * CHOOSE(CONTROL!$C$21, $C$9, 100%, $E$9)</f>
        <v>28.3399</v>
      </c>
      <c r="S524" s="17">
        <f>CHOOSE(CONTROL!$C$42, 26.2244, 26.2244) * CHOOSE(CONTROL!$C$21, $C$9, 100%, $E$9)</f>
        <v>26.224399999999999</v>
      </c>
      <c r="T52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24" s="56">
        <f>(1000*CHOOSE(CONTROL!$C$42, 695, 695)*CHOOSE(CONTROL!$C$42, 0.5599, 0.5599)*CHOOSE(CONTROL!$C$42, 31, 31))/1000000</f>
        <v>12.063045499999998</v>
      </c>
      <c r="V524" s="56">
        <f>(1000*CHOOSE(CONTROL!$C$42, 500, 500)*CHOOSE(CONTROL!$C$42, 0.275, 0.275)*CHOOSE(CONTROL!$C$42, 31, 31))/1000000</f>
        <v>4.2625000000000002</v>
      </c>
      <c r="W524" s="56">
        <f>(1000*CHOOSE(CONTROL!$C$42, 0.0916, 0.0916)*CHOOSE(CONTROL!$C$42, 121.5, 121.5)*CHOOSE(CONTROL!$C$42, 31, 31))/1000000</f>
        <v>0.34501139999999997</v>
      </c>
      <c r="X524" s="56">
        <f>(31*0.1790888*145000/1000000)+(31*0.2374*100000/1000000)</f>
        <v>1.5409441560000001</v>
      </c>
      <c r="Y524" s="56"/>
      <c r="Z524" s="17"/>
      <c r="AA524" s="55"/>
      <c r="AB524" s="48">
        <f>(B524*194.205+C524*267.466+D524*133.845+E524*153.484+F524*40+G524*85+H524*0+I524*100+J524*300)/(194.205+267.466+133.845+153.484+0+40+85+100+300)</f>
        <v>27.129658832731554</v>
      </c>
      <c r="AC524" s="45">
        <f>(M524*'RAP TEMPLATE-GAS AVAILABILITY'!O523+N524*'RAP TEMPLATE-GAS AVAILABILITY'!P523+O524*'RAP TEMPLATE-GAS AVAILABILITY'!Q523+P524*'RAP TEMPLATE-GAS AVAILABILITY'!R523)/('RAP TEMPLATE-GAS AVAILABILITY'!O523+'RAP TEMPLATE-GAS AVAILABILITY'!P523+'RAP TEMPLATE-GAS AVAILABILITY'!Q523+'RAP TEMPLATE-GAS AVAILABILITY'!R523)</f>
        <v>26.916156834532373</v>
      </c>
    </row>
    <row r="525" spans="1:29" ht="15.75" x14ac:dyDescent="0.25">
      <c r="A525" s="13">
        <v>56887</v>
      </c>
      <c r="B525" s="17">
        <f>CHOOSE(CONTROL!$C$42, 25.3387, 25.3387) * CHOOSE(CONTROL!$C$21, $C$9, 100%, $E$9)</f>
        <v>25.338699999999999</v>
      </c>
      <c r="C525" s="17">
        <f>CHOOSE(CONTROL!$C$42, 25.3467, 25.3467) * CHOOSE(CONTROL!$C$21, $C$9, 100%, $E$9)</f>
        <v>25.346699999999998</v>
      </c>
      <c r="D525" s="17">
        <f>CHOOSE(CONTROL!$C$42, 25.5911, 25.5911) * CHOOSE(CONTROL!$C$21, $C$9, 100%, $E$9)</f>
        <v>25.591100000000001</v>
      </c>
      <c r="E525" s="17">
        <f>CHOOSE(CONTROL!$C$42, 25.6223, 25.6223) * CHOOSE(CONTROL!$C$21, $C$9, 100%, $E$9)</f>
        <v>25.622299999999999</v>
      </c>
      <c r="F525" s="17">
        <f>CHOOSE(CONTROL!$C$42, 25.3503, 25.3503)*CHOOSE(CONTROL!$C$21, $C$9, 100%, $E$9)</f>
        <v>25.350300000000001</v>
      </c>
      <c r="G525" s="17">
        <f>CHOOSE(CONTROL!$C$42, 25.3668, 25.3668)*CHOOSE(CONTROL!$C$21, $C$9, 100%, $E$9)</f>
        <v>25.366800000000001</v>
      </c>
      <c r="H525" s="17">
        <f>CHOOSE(CONTROL!$C$42, 25.6106, 25.6106) * CHOOSE(CONTROL!$C$21, $C$9, 100%, $E$9)</f>
        <v>25.610600000000002</v>
      </c>
      <c r="I525" s="17">
        <f>CHOOSE(CONTROL!$C$42, 25.4386, 25.4386)* CHOOSE(CONTROL!$C$21, $C$9, 100%, $E$9)</f>
        <v>25.438600000000001</v>
      </c>
      <c r="J525" s="17">
        <f>CHOOSE(CONTROL!$C$42, 25.3429, 25.3429)* CHOOSE(CONTROL!$C$21, $C$9, 100%, $E$9)</f>
        <v>25.3429</v>
      </c>
      <c r="K525" s="52">
        <f>CHOOSE(CONTROL!$C$42, 25.4325, 25.4325) * CHOOSE(CONTROL!$C$21, $C$9, 100%, $E$9)</f>
        <v>25.432500000000001</v>
      </c>
      <c r="L525" s="17">
        <f>CHOOSE(CONTROL!$C$42, 26.1976, 26.1976) * CHOOSE(CONTROL!$C$21, $C$9, 100%, $E$9)</f>
        <v>26.197600000000001</v>
      </c>
      <c r="M525" s="17">
        <f>CHOOSE(CONTROL!$C$42, 25.122, 25.122) * CHOOSE(CONTROL!$C$21, $C$9, 100%, $E$9)</f>
        <v>25.122</v>
      </c>
      <c r="N525" s="17">
        <f>CHOOSE(CONTROL!$C$42, 25.1383, 25.1383) * CHOOSE(CONTROL!$C$21, $C$9, 100%, $E$9)</f>
        <v>25.138300000000001</v>
      </c>
      <c r="O525" s="17">
        <f>CHOOSE(CONTROL!$C$42, 25.3873, 25.3873) * CHOOSE(CONTROL!$C$21, $C$9, 100%, $E$9)</f>
        <v>25.3873</v>
      </c>
      <c r="P525" s="17">
        <f>CHOOSE(CONTROL!$C$42, 25.2161, 25.2161) * CHOOSE(CONTROL!$C$21, $C$9, 100%, $E$9)</f>
        <v>25.216100000000001</v>
      </c>
      <c r="Q525" s="17">
        <f>CHOOSE(CONTROL!$C$42, 25.982, 25.982) * CHOOSE(CONTROL!$C$21, $C$9, 100%, $E$9)</f>
        <v>25.981999999999999</v>
      </c>
      <c r="R525" s="17">
        <f>CHOOSE(CONTROL!$C$42, 26.634, 26.634) * CHOOSE(CONTROL!$C$21, $C$9, 100%, $E$9)</f>
        <v>26.634</v>
      </c>
      <c r="S525" s="17">
        <f>CHOOSE(CONTROL!$C$42, 24.5593, 24.5593) * CHOOSE(CONTROL!$C$21, $C$9, 100%, $E$9)</f>
        <v>24.5593</v>
      </c>
      <c r="T52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25" s="56">
        <f>(1000*CHOOSE(CONTROL!$C$42, 695, 695)*CHOOSE(CONTROL!$C$42, 0.5599, 0.5599)*CHOOSE(CONTROL!$C$42, 30, 30))/1000000</f>
        <v>11.673914999999997</v>
      </c>
      <c r="V525" s="56">
        <f>(1000*CHOOSE(CONTROL!$C$42, 500, 500)*CHOOSE(CONTROL!$C$42, 0.275, 0.275)*CHOOSE(CONTROL!$C$42, 30, 30))/1000000</f>
        <v>4.125</v>
      </c>
      <c r="W525" s="56">
        <f>(1000*CHOOSE(CONTROL!$C$42, 0.0916, 0.0916)*CHOOSE(CONTROL!$C$42, 121.5, 121.5)*CHOOSE(CONTROL!$C$42, 30, 30))/1000000</f>
        <v>0.33388200000000001</v>
      </c>
      <c r="X525" s="56">
        <f>(30*0.1790888*145000/1000000)+(30*0.2374*100000/1000000)</f>
        <v>1.4912362799999999</v>
      </c>
      <c r="Y525" s="56"/>
      <c r="Z525" s="17"/>
      <c r="AA525" s="55"/>
      <c r="AB525" s="48">
        <f>(B525*194.205+C525*267.466+D525*133.845+E525*153.484+F525*40+G525*85+H525*0+I525*100+J525*300)/(194.205+267.466+133.845+153.484+0+40+85+100+300)</f>
        <v>25.412132314285714</v>
      </c>
      <c r="AC525" s="45">
        <f>(M525*'RAP TEMPLATE-GAS AVAILABILITY'!O524+N525*'RAP TEMPLATE-GAS AVAILABILITY'!P524+O525*'RAP TEMPLATE-GAS AVAILABILITY'!Q524+P525*'RAP TEMPLATE-GAS AVAILABILITY'!R524)/('RAP TEMPLATE-GAS AVAILABILITY'!O524+'RAP TEMPLATE-GAS AVAILABILITY'!P524+'RAP TEMPLATE-GAS AVAILABILITY'!Q524+'RAP TEMPLATE-GAS AVAILABILITY'!R524)</f>
        <v>25.213728776978417</v>
      </c>
    </row>
    <row r="526" spans="1:29" ht="15.75" x14ac:dyDescent="0.25">
      <c r="A526" s="13">
        <v>56918</v>
      </c>
      <c r="B526" s="17">
        <f>CHOOSE(CONTROL!$C$42, 24.8227, 24.8227) * CHOOSE(CONTROL!$C$21, $C$9, 100%, $E$9)</f>
        <v>24.822700000000001</v>
      </c>
      <c r="C526" s="17">
        <f>CHOOSE(CONTROL!$C$42, 24.8281, 24.8281) * CHOOSE(CONTROL!$C$21, $C$9, 100%, $E$9)</f>
        <v>24.828099999999999</v>
      </c>
      <c r="D526" s="17">
        <f>CHOOSE(CONTROL!$C$42, 25.0774, 25.0774) * CHOOSE(CONTROL!$C$21, $C$9, 100%, $E$9)</f>
        <v>25.077400000000001</v>
      </c>
      <c r="E526" s="17">
        <f>CHOOSE(CONTROL!$C$42, 25.1063, 25.1063) * CHOOSE(CONTROL!$C$21, $C$9, 100%, $E$9)</f>
        <v>25.106300000000001</v>
      </c>
      <c r="F526" s="17">
        <f>CHOOSE(CONTROL!$C$42, 24.8365, 24.8365)*CHOOSE(CONTROL!$C$21, $C$9, 100%, $E$9)</f>
        <v>24.836500000000001</v>
      </c>
      <c r="G526" s="17">
        <f>CHOOSE(CONTROL!$C$42, 24.8529, 24.8529)*CHOOSE(CONTROL!$C$21, $C$9, 100%, $E$9)</f>
        <v>24.852900000000002</v>
      </c>
      <c r="H526" s="17">
        <f>CHOOSE(CONTROL!$C$42, 25.0964, 25.0964) * CHOOSE(CONTROL!$C$21, $C$9, 100%, $E$9)</f>
        <v>25.096399999999999</v>
      </c>
      <c r="I526" s="17">
        <f>CHOOSE(CONTROL!$C$42, 24.9228, 24.9228)* CHOOSE(CONTROL!$C$21, $C$9, 100%, $E$9)</f>
        <v>24.922799999999999</v>
      </c>
      <c r="J526" s="17">
        <f>CHOOSE(CONTROL!$C$42, 24.8291, 24.8291)* CHOOSE(CONTROL!$C$21, $C$9, 100%, $E$9)</f>
        <v>24.8291</v>
      </c>
      <c r="K526" s="52">
        <f>CHOOSE(CONTROL!$C$42, 24.9167, 24.9167) * CHOOSE(CONTROL!$C$21, $C$9, 100%, $E$9)</f>
        <v>24.916699999999999</v>
      </c>
      <c r="L526" s="17">
        <f>CHOOSE(CONTROL!$C$42, 25.6834, 25.6834) * CHOOSE(CONTROL!$C$21, $C$9, 100%, $E$9)</f>
        <v>25.683399999999999</v>
      </c>
      <c r="M526" s="17">
        <f>CHOOSE(CONTROL!$C$42, 24.6128, 24.6128) * CHOOSE(CONTROL!$C$21, $C$9, 100%, $E$9)</f>
        <v>24.6128</v>
      </c>
      <c r="N526" s="17">
        <f>CHOOSE(CONTROL!$C$42, 24.6291, 24.6291) * CHOOSE(CONTROL!$C$21, $C$9, 100%, $E$9)</f>
        <v>24.629100000000001</v>
      </c>
      <c r="O526" s="17">
        <f>CHOOSE(CONTROL!$C$42, 24.8777, 24.8777) * CHOOSE(CONTROL!$C$21, $C$9, 100%, $E$9)</f>
        <v>24.877700000000001</v>
      </c>
      <c r="P526" s="17">
        <f>CHOOSE(CONTROL!$C$42, 24.705, 24.705) * CHOOSE(CONTROL!$C$21, $C$9, 100%, $E$9)</f>
        <v>24.704999999999998</v>
      </c>
      <c r="Q526" s="17">
        <f>CHOOSE(CONTROL!$C$42, 25.4724, 25.4724) * CHOOSE(CONTROL!$C$21, $C$9, 100%, $E$9)</f>
        <v>25.4724</v>
      </c>
      <c r="R526" s="17">
        <f>CHOOSE(CONTROL!$C$42, 26.1231, 26.1231) * CHOOSE(CONTROL!$C$21, $C$9, 100%, $E$9)</f>
        <v>26.123100000000001</v>
      </c>
      <c r="S526" s="17">
        <f>CHOOSE(CONTROL!$C$42, 24.0607, 24.0607) * CHOOSE(CONTROL!$C$21, $C$9, 100%, $E$9)</f>
        <v>24.060700000000001</v>
      </c>
      <c r="T52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26" s="56">
        <f>(1000*CHOOSE(CONTROL!$C$42, 695, 695)*CHOOSE(CONTROL!$C$42, 0.5599, 0.5599)*CHOOSE(CONTROL!$C$42, 31, 31))/1000000</f>
        <v>12.063045499999998</v>
      </c>
      <c r="V526" s="56">
        <f>(1000*CHOOSE(CONTROL!$C$42, 500, 500)*CHOOSE(CONTROL!$C$42, 0.275, 0.275)*CHOOSE(CONTROL!$C$42, 31, 31))/1000000</f>
        <v>4.2625000000000002</v>
      </c>
      <c r="W526" s="56">
        <f>(1000*CHOOSE(CONTROL!$C$42, 0.0916, 0.0916)*CHOOSE(CONTROL!$C$42, 121.5, 121.5)*CHOOSE(CONTROL!$C$42, 31, 31))/1000000</f>
        <v>0.34501139999999997</v>
      </c>
      <c r="X526" s="56">
        <f>(31*0.1790888*145000/1000000)+(31*0.2374*100000/1000000)</f>
        <v>1.5409441560000001</v>
      </c>
      <c r="Y526" s="56"/>
      <c r="Z526" s="17"/>
      <c r="AA526" s="55"/>
      <c r="AB526" s="48">
        <f>(B526*131.881+C526*277.167+D526*79.08+E526*225.872+F526*40+G526*85+H526*0+I526*100+J526*300)/(131.881+277.167+79.08+225.872+0+40+85+100+300)</f>
        <v>24.904011280871668</v>
      </c>
      <c r="AC526" s="45">
        <f>(M526*'RAP TEMPLATE-GAS AVAILABILITY'!O525+N526*'RAP TEMPLATE-GAS AVAILABILITY'!P525+O526*'RAP TEMPLATE-GAS AVAILABILITY'!Q525+P526*'RAP TEMPLATE-GAS AVAILABILITY'!R525)/('RAP TEMPLATE-GAS AVAILABILITY'!O525+'RAP TEMPLATE-GAS AVAILABILITY'!P525+'RAP TEMPLATE-GAS AVAILABILITY'!Q525+'RAP TEMPLATE-GAS AVAILABILITY'!R525)</f>
        <v>24.704143165467624</v>
      </c>
    </row>
    <row r="527" spans="1:29" ht="15.75" x14ac:dyDescent="0.25">
      <c r="A527" s="13">
        <v>56948</v>
      </c>
      <c r="B527" s="17">
        <f>CHOOSE(CONTROL!$C$42, 25.476, 25.476) * CHOOSE(CONTROL!$C$21, $C$9, 100%, $E$9)</f>
        <v>25.475999999999999</v>
      </c>
      <c r="C527" s="17">
        <f>CHOOSE(CONTROL!$C$42, 25.4811, 25.4811) * CHOOSE(CONTROL!$C$21, $C$9, 100%, $E$9)</f>
        <v>25.481100000000001</v>
      </c>
      <c r="D527" s="17">
        <f>CHOOSE(CONTROL!$C$42, 25.5624, 25.5624) * CHOOSE(CONTROL!$C$21, $C$9, 100%, $E$9)</f>
        <v>25.5624</v>
      </c>
      <c r="E527" s="17">
        <f>CHOOSE(CONTROL!$C$42, 25.5962, 25.5962) * CHOOSE(CONTROL!$C$21, $C$9, 100%, $E$9)</f>
        <v>25.5962</v>
      </c>
      <c r="F527" s="17">
        <f>CHOOSE(CONTROL!$C$42, 25.4939, 25.4939)*CHOOSE(CONTROL!$C$21, $C$9, 100%, $E$9)</f>
        <v>25.4939</v>
      </c>
      <c r="G527" s="17">
        <f>CHOOSE(CONTROL!$C$42, 25.5106, 25.5106)*CHOOSE(CONTROL!$C$21, $C$9, 100%, $E$9)</f>
        <v>25.5106</v>
      </c>
      <c r="H527" s="17">
        <f>CHOOSE(CONTROL!$C$42, 25.5851, 25.5851) * CHOOSE(CONTROL!$C$21, $C$9, 100%, $E$9)</f>
        <v>25.585100000000001</v>
      </c>
      <c r="I527" s="17">
        <f>CHOOSE(CONTROL!$C$42, 25.58, 25.58)* CHOOSE(CONTROL!$C$21, $C$9, 100%, $E$9)</f>
        <v>25.58</v>
      </c>
      <c r="J527" s="17">
        <f>CHOOSE(CONTROL!$C$42, 25.4865, 25.4865)* CHOOSE(CONTROL!$C$21, $C$9, 100%, $E$9)</f>
        <v>25.486499999999999</v>
      </c>
      <c r="K527" s="52">
        <f>CHOOSE(CONTROL!$C$42, 25.574, 25.574) * CHOOSE(CONTROL!$C$21, $C$9, 100%, $E$9)</f>
        <v>25.574000000000002</v>
      </c>
      <c r="L527" s="17">
        <f>CHOOSE(CONTROL!$C$42, 26.1721, 26.1721) * CHOOSE(CONTROL!$C$21, $C$9, 100%, $E$9)</f>
        <v>26.1721</v>
      </c>
      <c r="M527" s="17">
        <f>CHOOSE(CONTROL!$C$42, 25.2643, 25.2643) * CHOOSE(CONTROL!$C$21, $C$9, 100%, $E$9)</f>
        <v>25.264299999999999</v>
      </c>
      <c r="N527" s="17">
        <f>CHOOSE(CONTROL!$C$42, 25.2809, 25.2809) * CHOOSE(CONTROL!$C$21, $C$9, 100%, $E$9)</f>
        <v>25.280899999999999</v>
      </c>
      <c r="O527" s="17">
        <f>CHOOSE(CONTROL!$C$42, 25.362, 25.362) * CHOOSE(CONTROL!$C$21, $C$9, 100%, $E$9)</f>
        <v>25.361999999999998</v>
      </c>
      <c r="P527" s="17">
        <f>CHOOSE(CONTROL!$C$42, 25.3563, 25.3563) * CHOOSE(CONTROL!$C$21, $C$9, 100%, $E$9)</f>
        <v>25.356300000000001</v>
      </c>
      <c r="Q527" s="17">
        <f>CHOOSE(CONTROL!$C$42, 25.9567, 25.9567) * CHOOSE(CONTROL!$C$21, $C$9, 100%, $E$9)</f>
        <v>25.956700000000001</v>
      </c>
      <c r="R527" s="17">
        <f>CHOOSE(CONTROL!$C$42, 26.6086, 26.6086) * CHOOSE(CONTROL!$C$21, $C$9, 100%, $E$9)</f>
        <v>26.608599999999999</v>
      </c>
      <c r="S527" s="17">
        <f>CHOOSE(CONTROL!$C$42, 24.6946, 24.6946) * CHOOSE(CONTROL!$C$21, $C$9, 100%, $E$9)</f>
        <v>24.694600000000001</v>
      </c>
      <c r="T52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27" s="56">
        <f>(1000*CHOOSE(CONTROL!$C$42, 695, 695)*CHOOSE(CONTROL!$C$42, 0.5599, 0.5599)*CHOOSE(CONTROL!$C$42, 30, 30))/1000000</f>
        <v>11.673914999999997</v>
      </c>
      <c r="V527" s="56">
        <f>(1000*CHOOSE(CONTROL!$C$42, 500, 500)*CHOOSE(CONTROL!$C$42, 0.275, 0.275)*CHOOSE(CONTROL!$C$42, 30, 30))/1000000</f>
        <v>4.125</v>
      </c>
      <c r="W527" s="56">
        <f>(1000*CHOOSE(CONTROL!$C$42, 0.0916, 0.0916)*CHOOSE(CONTROL!$C$42, 121.5, 121.5)*CHOOSE(CONTROL!$C$42, 30, 30))/1000000</f>
        <v>0.33388200000000001</v>
      </c>
      <c r="X527" s="56">
        <f>(30*0.2374*100000/1000000)</f>
        <v>0.71220000000000006</v>
      </c>
      <c r="Y527" s="56"/>
      <c r="Z527" s="17"/>
      <c r="AA527" s="55"/>
      <c r="AB527" s="48">
        <f>(B527*122.58+C527*297.941+D527*89.177+E527*140.302+F527*40+G527*60+H527*0+I527*100+J527*300)/(122.58+297.941+89.177+140.302+0+40+60+100+300)</f>
        <v>25.512896254173913</v>
      </c>
      <c r="AC527" s="45">
        <f>(M527*'RAP TEMPLATE-GAS AVAILABILITY'!O526+N527*'RAP TEMPLATE-GAS AVAILABILITY'!P526+O527*'RAP TEMPLATE-GAS AVAILABILITY'!Q526+P527*'RAP TEMPLATE-GAS AVAILABILITY'!R526)/('RAP TEMPLATE-GAS AVAILABILITY'!O526+'RAP TEMPLATE-GAS AVAILABILITY'!P526+'RAP TEMPLATE-GAS AVAILABILITY'!Q526+'RAP TEMPLATE-GAS AVAILABILITY'!R526)</f>
        <v>25.322774100719425</v>
      </c>
    </row>
    <row r="528" spans="1:29" ht="15.75" x14ac:dyDescent="0.25">
      <c r="A528" s="13">
        <v>56979</v>
      </c>
      <c r="B528" s="17">
        <f>CHOOSE(CONTROL!$C$42, 27.2122, 27.2122) * CHOOSE(CONTROL!$C$21, $C$9, 100%, $E$9)</f>
        <v>27.212199999999999</v>
      </c>
      <c r="C528" s="17">
        <f>CHOOSE(CONTROL!$C$42, 27.2173, 27.2173) * CHOOSE(CONTROL!$C$21, $C$9, 100%, $E$9)</f>
        <v>27.217300000000002</v>
      </c>
      <c r="D528" s="17">
        <f>CHOOSE(CONTROL!$C$42, 27.2987, 27.2987) * CHOOSE(CONTROL!$C$21, $C$9, 100%, $E$9)</f>
        <v>27.2987</v>
      </c>
      <c r="E528" s="17">
        <f>CHOOSE(CONTROL!$C$42, 27.3324, 27.3324) * CHOOSE(CONTROL!$C$21, $C$9, 100%, $E$9)</f>
        <v>27.3324</v>
      </c>
      <c r="F528" s="17">
        <f>CHOOSE(CONTROL!$C$42, 27.2325, 27.2325)*CHOOSE(CONTROL!$C$21, $C$9, 100%, $E$9)</f>
        <v>27.232500000000002</v>
      </c>
      <c r="G528" s="17">
        <f>CHOOSE(CONTROL!$C$42, 27.2499, 27.2499)*CHOOSE(CONTROL!$C$21, $C$9, 100%, $E$9)</f>
        <v>27.2499</v>
      </c>
      <c r="H528" s="17">
        <f>CHOOSE(CONTROL!$C$42, 27.3213, 27.3213) * CHOOSE(CONTROL!$C$21, $C$9, 100%, $E$9)</f>
        <v>27.321300000000001</v>
      </c>
      <c r="I528" s="17">
        <f>CHOOSE(CONTROL!$C$42, 27.3216, 27.3216)* CHOOSE(CONTROL!$C$21, $C$9, 100%, $E$9)</f>
        <v>27.3216</v>
      </c>
      <c r="J528" s="17">
        <f>CHOOSE(CONTROL!$C$42, 27.2251, 27.2251)* CHOOSE(CONTROL!$C$21, $C$9, 100%, $E$9)</f>
        <v>27.225100000000001</v>
      </c>
      <c r="K528" s="52">
        <f>CHOOSE(CONTROL!$C$42, 27.3156, 27.3156) * CHOOSE(CONTROL!$C$21, $C$9, 100%, $E$9)</f>
        <v>27.3156</v>
      </c>
      <c r="L528" s="17">
        <f>CHOOSE(CONTROL!$C$42, 27.9083, 27.9083) * CHOOSE(CONTROL!$C$21, $C$9, 100%, $E$9)</f>
        <v>27.908300000000001</v>
      </c>
      <c r="M528" s="17">
        <f>CHOOSE(CONTROL!$C$42, 26.9873, 26.9873) * CHOOSE(CONTROL!$C$21, $C$9, 100%, $E$9)</f>
        <v>26.987300000000001</v>
      </c>
      <c r="N528" s="17">
        <f>CHOOSE(CONTROL!$C$42, 27.0045, 27.0045) * CHOOSE(CONTROL!$C$21, $C$9, 100%, $E$9)</f>
        <v>27.0045</v>
      </c>
      <c r="O528" s="17">
        <f>CHOOSE(CONTROL!$C$42, 27.0826, 27.0826) * CHOOSE(CONTROL!$C$21, $C$9, 100%, $E$9)</f>
        <v>27.082599999999999</v>
      </c>
      <c r="P528" s="17">
        <f>CHOOSE(CONTROL!$C$42, 27.0822, 27.0822) * CHOOSE(CONTROL!$C$21, $C$9, 100%, $E$9)</f>
        <v>27.0822</v>
      </c>
      <c r="Q528" s="17">
        <f>CHOOSE(CONTROL!$C$42, 27.6773, 27.6773) * CHOOSE(CONTROL!$C$21, $C$9, 100%, $E$9)</f>
        <v>27.677299999999999</v>
      </c>
      <c r="R528" s="17">
        <f>CHOOSE(CONTROL!$C$42, 28.3335, 28.3335) * CHOOSE(CONTROL!$C$21, $C$9, 100%, $E$9)</f>
        <v>28.333500000000001</v>
      </c>
      <c r="S528" s="17">
        <f>CHOOSE(CONTROL!$C$42, 26.3782, 26.3782) * CHOOSE(CONTROL!$C$21, $C$9, 100%, $E$9)</f>
        <v>26.3782</v>
      </c>
      <c r="T52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28" s="56">
        <f>(1000*CHOOSE(CONTROL!$C$42, 695, 695)*CHOOSE(CONTROL!$C$42, 0.5599, 0.5599)*CHOOSE(CONTROL!$C$42, 31, 31))/1000000</f>
        <v>12.063045499999998</v>
      </c>
      <c r="V528" s="56">
        <f>(1000*CHOOSE(CONTROL!$C$42, 500, 500)*CHOOSE(CONTROL!$C$42, 0.275, 0.275)*CHOOSE(CONTROL!$C$42, 31, 31))/1000000</f>
        <v>4.2625000000000002</v>
      </c>
      <c r="W528" s="56">
        <f>(1000*CHOOSE(CONTROL!$C$42, 0.0916, 0.0916)*CHOOSE(CONTROL!$C$42, 121.5, 121.5)*CHOOSE(CONTROL!$C$42, 31, 31))/1000000</f>
        <v>0.34501139999999997</v>
      </c>
      <c r="X528" s="56">
        <f>(31*0.2374*100000/1000000)</f>
        <v>0.73594000000000004</v>
      </c>
      <c r="Y528" s="56"/>
      <c r="Z528" s="17"/>
      <c r="AA528" s="55"/>
      <c r="AB528" s="48">
        <f>(B528*122.58+C528*297.941+D528*89.177+E528*140.302+F528*40+G528*60+H528*0+I528*100+J528*300)/(122.58+297.941+89.177+140.302+0+40+60+100+300)</f>
        <v>27.250444878260865</v>
      </c>
      <c r="AC528" s="45">
        <f>(M528*'RAP TEMPLATE-GAS AVAILABILITY'!O527+N528*'RAP TEMPLATE-GAS AVAILABILITY'!P527+O528*'RAP TEMPLATE-GAS AVAILABILITY'!Q527+P528*'RAP TEMPLATE-GAS AVAILABILITY'!R527)/('RAP TEMPLATE-GAS AVAILABILITY'!O527+'RAP TEMPLATE-GAS AVAILABILITY'!P527+'RAP TEMPLATE-GAS AVAILABILITY'!Q527+'RAP TEMPLATE-GAS AVAILABILITY'!R527)</f>
        <v>27.045138129496408</v>
      </c>
    </row>
    <row r="529" spans="1:29" ht="15.75" x14ac:dyDescent="0.25">
      <c r="A529" s="13">
        <v>57010</v>
      </c>
      <c r="B529" s="17">
        <f>CHOOSE(CONTROL!$C$42, 29.4673, 29.4673) * CHOOSE(CONTROL!$C$21, $C$9, 100%, $E$9)</f>
        <v>29.467300000000002</v>
      </c>
      <c r="C529" s="17">
        <f>CHOOSE(CONTROL!$C$42, 29.4723, 29.4723) * CHOOSE(CONTROL!$C$21, $C$9, 100%, $E$9)</f>
        <v>29.472300000000001</v>
      </c>
      <c r="D529" s="17">
        <f>CHOOSE(CONTROL!$C$42, 29.5692, 29.5692) * CHOOSE(CONTROL!$C$21, $C$9, 100%, $E$9)</f>
        <v>29.569199999999999</v>
      </c>
      <c r="E529" s="17">
        <f>CHOOSE(CONTROL!$C$42, 29.6029, 29.6029) * CHOOSE(CONTROL!$C$21, $C$9, 100%, $E$9)</f>
        <v>29.602900000000002</v>
      </c>
      <c r="F529" s="17">
        <f>CHOOSE(CONTROL!$C$42, 29.4815, 29.4815)*CHOOSE(CONTROL!$C$21, $C$9, 100%, $E$9)</f>
        <v>29.4815</v>
      </c>
      <c r="G529" s="17">
        <f>CHOOSE(CONTROL!$C$42, 29.4979, 29.4979)*CHOOSE(CONTROL!$C$21, $C$9, 100%, $E$9)</f>
        <v>29.497900000000001</v>
      </c>
      <c r="H529" s="17">
        <f>CHOOSE(CONTROL!$C$42, 29.5918, 29.5918) * CHOOSE(CONTROL!$C$21, $C$9, 100%, $E$9)</f>
        <v>29.591799999999999</v>
      </c>
      <c r="I529" s="17">
        <f>CHOOSE(CONTROL!$C$42, 29.5836, 29.5836)* CHOOSE(CONTROL!$C$21, $C$9, 100%, $E$9)</f>
        <v>29.583600000000001</v>
      </c>
      <c r="J529" s="17">
        <f>CHOOSE(CONTROL!$C$42, 29.4741, 29.4741)* CHOOSE(CONTROL!$C$21, $C$9, 100%, $E$9)</f>
        <v>29.4741</v>
      </c>
      <c r="K529" s="52">
        <f>CHOOSE(CONTROL!$C$42, 29.5776, 29.5776) * CHOOSE(CONTROL!$C$21, $C$9, 100%, $E$9)</f>
        <v>29.5776</v>
      </c>
      <c r="L529" s="17">
        <f>CHOOSE(CONTROL!$C$42, 30.1788, 30.1788) * CHOOSE(CONTROL!$C$21, $C$9, 100%, $E$9)</f>
        <v>30.178799999999999</v>
      </c>
      <c r="M529" s="17">
        <f>CHOOSE(CONTROL!$C$42, 29.216, 29.216) * CHOOSE(CONTROL!$C$21, $C$9, 100%, $E$9)</f>
        <v>29.216000000000001</v>
      </c>
      <c r="N529" s="17">
        <f>CHOOSE(CONTROL!$C$42, 29.2323, 29.2323) * CHOOSE(CONTROL!$C$21, $C$9, 100%, $E$9)</f>
        <v>29.232299999999999</v>
      </c>
      <c r="O529" s="17">
        <f>CHOOSE(CONTROL!$C$42, 29.3327, 29.3327) * CHOOSE(CONTROL!$C$21, $C$9, 100%, $E$9)</f>
        <v>29.332699999999999</v>
      </c>
      <c r="P529" s="17">
        <f>CHOOSE(CONTROL!$C$42, 29.3238, 29.3238) * CHOOSE(CONTROL!$C$21, $C$9, 100%, $E$9)</f>
        <v>29.323799999999999</v>
      </c>
      <c r="Q529" s="17">
        <f>CHOOSE(CONTROL!$C$42, 29.9274, 29.9274) * CHOOSE(CONTROL!$C$21, $C$9, 100%, $E$9)</f>
        <v>29.927399999999999</v>
      </c>
      <c r="R529" s="17">
        <f>CHOOSE(CONTROL!$C$42, 30.5892, 30.5892) * CHOOSE(CONTROL!$C$21, $C$9, 100%, $E$9)</f>
        <v>30.589200000000002</v>
      </c>
      <c r="S529" s="17">
        <f>CHOOSE(CONTROL!$C$42, 28.5649, 28.5649) * CHOOSE(CONTROL!$C$21, $C$9, 100%, $E$9)</f>
        <v>28.564900000000002</v>
      </c>
      <c r="T52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29" s="56">
        <f>(1000*CHOOSE(CONTROL!$C$42, 695, 695)*CHOOSE(CONTROL!$C$42, 0.5599, 0.5599)*CHOOSE(CONTROL!$C$42, 31, 31))/1000000</f>
        <v>12.063045499999998</v>
      </c>
      <c r="V529" s="56">
        <f>(1000*CHOOSE(CONTROL!$C$42, 500, 500)*CHOOSE(CONTROL!$C$42, 0.275, 0.275)*CHOOSE(CONTROL!$C$42, 31, 31))/1000000</f>
        <v>4.2625000000000002</v>
      </c>
      <c r="W529" s="56">
        <f>(1000*CHOOSE(CONTROL!$C$42, 0.0916, 0.0916)*CHOOSE(CONTROL!$C$42, 121.5, 121.5)*CHOOSE(CONTROL!$C$42, 31, 31))/1000000</f>
        <v>0.34501139999999997</v>
      </c>
      <c r="X529" s="56">
        <f>(31*0.2374*100000/1000000)</f>
        <v>0.73594000000000004</v>
      </c>
      <c r="Y529" s="56"/>
      <c r="Z529" s="17"/>
      <c r="AA529" s="55"/>
      <c r="AB529" s="48">
        <f>(B529*122.58+C529*297.941+D529*89.177+E529*140.302+F529*40+G529*60+H529*0+I529*100+J529*300)/(122.58+297.941+89.177+140.302+0+40+60+100+300)</f>
        <v>29.507018080434786</v>
      </c>
      <c r="AC529" s="45">
        <f>(M529*'RAP TEMPLATE-GAS AVAILABILITY'!O528+N529*'RAP TEMPLATE-GAS AVAILABILITY'!P528+O529*'RAP TEMPLATE-GAS AVAILABILITY'!Q528+P529*'RAP TEMPLATE-GAS AVAILABILITY'!R528)/('RAP TEMPLATE-GAS AVAILABILITY'!O528+'RAP TEMPLATE-GAS AVAILABILITY'!P528+'RAP TEMPLATE-GAS AVAILABILITY'!Q528+'RAP TEMPLATE-GAS AVAILABILITY'!R528)</f>
        <v>29.285341726618704</v>
      </c>
    </row>
    <row r="530" spans="1:29" ht="15.75" x14ac:dyDescent="0.25">
      <c r="A530" s="13">
        <v>57038</v>
      </c>
      <c r="B530" s="17">
        <f>CHOOSE(CONTROL!$C$42, 29.9916, 29.9916) * CHOOSE(CONTROL!$C$21, $C$9, 100%, $E$9)</f>
        <v>29.991599999999998</v>
      </c>
      <c r="C530" s="17">
        <f>CHOOSE(CONTROL!$C$42, 29.9967, 29.9967) * CHOOSE(CONTROL!$C$21, $C$9, 100%, $E$9)</f>
        <v>29.996700000000001</v>
      </c>
      <c r="D530" s="17">
        <f>CHOOSE(CONTROL!$C$42, 30.0935, 30.0935) * CHOOSE(CONTROL!$C$21, $C$9, 100%, $E$9)</f>
        <v>30.093499999999999</v>
      </c>
      <c r="E530" s="17">
        <f>CHOOSE(CONTROL!$C$42, 30.1273, 30.1273) * CHOOSE(CONTROL!$C$21, $C$9, 100%, $E$9)</f>
        <v>30.127300000000002</v>
      </c>
      <c r="F530" s="17">
        <f>CHOOSE(CONTROL!$C$42, 30.0059, 30.0059)*CHOOSE(CONTROL!$C$21, $C$9, 100%, $E$9)</f>
        <v>30.0059</v>
      </c>
      <c r="G530" s="17">
        <f>CHOOSE(CONTROL!$C$42, 30.0223, 30.0223)*CHOOSE(CONTROL!$C$21, $C$9, 100%, $E$9)</f>
        <v>30.022300000000001</v>
      </c>
      <c r="H530" s="17">
        <f>CHOOSE(CONTROL!$C$42, 30.1162, 30.1162) * CHOOSE(CONTROL!$C$21, $C$9, 100%, $E$9)</f>
        <v>30.116199999999999</v>
      </c>
      <c r="I530" s="17">
        <f>CHOOSE(CONTROL!$C$42, 30.1096, 30.1096)* CHOOSE(CONTROL!$C$21, $C$9, 100%, $E$9)</f>
        <v>30.1096</v>
      </c>
      <c r="J530" s="17">
        <f>CHOOSE(CONTROL!$C$42, 29.9985, 29.9985)* CHOOSE(CONTROL!$C$21, $C$9, 100%, $E$9)</f>
        <v>29.9985</v>
      </c>
      <c r="K530" s="52">
        <f>CHOOSE(CONTROL!$C$42, 30.1036, 30.1036) * CHOOSE(CONTROL!$C$21, $C$9, 100%, $E$9)</f>
        <v>30.1036</v>
      </c>
      <c r="L530" s="17">
        <f>CHOOSE(CONTROL!$C$42, 30.7032, 30.7032) * CHOOSE(CONTROL!$C$21, $C$9, 100%, $E$9)</f>
        <v>30.703199999999999</v>
      </c>
      <c r="M530" s="17">
        <f>CHOOSE(CONTROL!$C$42, 29.7357, 29.7357) * CHOOSE(CONTROL!$C$21, $C$9, 100%, $E$9)</f>
        <v>29.735700000000001</v>
      </c>
      <c r="N530" s="17">
        <f>CHOOSE(CONTROL!$C$42, 29.752, 29.752) * CHOOSE(CONTROL!$C$21, $C$9, 100%, $E$9)</f>
        <v>29.751999999999999</v>
      </c>
      <c r="O530" s="17">
        <f>CHOOSE(CONTROL!$C$42, 29.8523, 29.8523) * CHOOSE(CONTROL!$C$21, $C$9, 100%, $E$9)</f>
        <v>29.8523</v>
      </c>
      <c r="P530" s="17">
        <f>CHOOSE(CONTROL!$C$42, 29.8451, 29.8451) * CHOOSE(CONTROL!$C$21, $C$9, 100%, $E$9)</f>
        <v>29.845099999999999</v>
      </c>
      <c r="Q530" s="17">
        <f>CHOOSE(CONTROL!$C$42, 30.447, 30.447) * CHOOSE(CONTROL!$C$21, $C$9, 100%, $E$9)</f>
        <v>30.446999999999999</v>
      </c>
      <c r="R530" s="17">
        <f>CHOOSE(CONTROL!$C$42, 31.1102, 31.1102) * CHOOSE(CONTROL!$C$21, $C$9, 100%, $E$9)</f>
        <v>31.110199999999999</v>
      </c>
      <c r="S530" s="17">
        <f>CHOOSE(CONTROL!$C$42, 29.0734, 29.0734) * CHOOSE(CONTROL!$C$21, $C$9, 100%, $E$9)</f>
        <v>29.073399999999999</v>
      </c>
      <c r="T530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30" s="56">
        <f>(1000*CHOOSE(CONTROL!$C$42, 695, 695)*CHOOSE(CONTROL!$C$42, 0.5599, 0.5599)*CHOOSE(CONTROL!$C$42, 29, 29))/1000000</f>
        <v>11.284784499999999</v>
      </c>
      <c r="V530" s="56">
        <f>(1000*CHOOSE(CONTROL!$C$42, 500, 500)*CHOOSE(CONTROL!$C$42, 0.275, 0.275)*CHOOSE(CONTROL!$C$42, 29, 29))/1000000</f>
        <v>3.9874999999999998</v>
      </c>
      <c r="W530" s="56">
        <f>(1000*CHOOSE(CONTROL!$C$42, 0.0916, 0.0916)*CHOOSE(CONTROL!$C$42, 121.5, 121.5)*CHOOSE(CONTROL!$C$42, 29, 29))/1000000</f>
        <v>0.3227526</v>
      </c>
      <c r="X530" s="56">
        <f>(29*0.2374*100000/1000000)</f>
        <v>0.68845999999999996</v>
      </c>
      <c r="Y530" s="56"/>
      <c r="Z530" s="17"/>
      <c r="AA530" s="55"/>
      <c r="AB530" s="48">
        <f>(B530*122.58+C530*297.941+D530*89.177+E530*140.302+F530*40+G530*60+H530*0+I530*100+J530*300)/(122.58+297.941+89.177+140.302+0+40+60+100+300)</f>
        <v>30.031538797217387</v>
      </c>
      <c r="AC530" s="45">
        <f>(M530*'RAP TEMPLATE-GAS AVAILABILITY'!O529+N530*'RAP TEMPLATE-GAS AVAILABILITY'!P529+O530*'RAP TEMPLATE-GAS AVAILABILITY'!Q529+P530*'RAP TEMPLATE-GAS AVAILABILITY'!R529)/('RAP TEMPLATE-GAS AVAILABILITY'!O529+'RAP TEMPLATE-GAS AVAILABILITY'!P529+'RAP TEMPLATE-GAS AVAILABILITY'!Q529+'RAP TEMPLATE-GAS AVAILABILITY'!R529)</f>
        <v>29.805226618705035</v>
      </c>
    </row>
    <row r="531" spans="1:29" ht="15.75" x14ac:dyDescent="0.25">
      <c r="A531" s="13">
        <v>57070</v>
      </c>
      <c r="B531" s="17">
        <f>CHOOSE(CONTROL!$C$42, 29.1404, 29.1404) * CHOOSE(CONTROL!$C$21, $C$9, 100%, $E$9)</f>
        <v>29.1404</v>
      </c>
      <c r="C531" s="17">
        <f>CHOOSE(CONTROL!$C$42, 29.1455, 29.1455) * CHOOSE(CONTROL!$C$21, $C$9, 100%, $E$9)</f>
        <v>29.145499999999998</v>
      </c>
      <c r="D531" s="17">
        <f>CHOOSE(CONTROL!$C$42, 29.2424, 29.2424) * CHOOSE(CONTROL!$C$21, $C$9, 100%, $E$9)</f>
        <v>29.2424</v>
      </c>
      <c r="E531" s="17">
        <f>CHOOSE(CONTROL!$C$42, 29.2761, 29.2761) * CHOOSE(CONTROL!$C$21, $C$9, 100%, $E$9)</f>
        <v>29.2761</v>
      </c>
      <c r="F531" s="17">
        <f>CHOOSE(CONTROL!$C$42, 29.1541, 29.1541)*CHOOSE(CONTROL!$C$21, $C$9, 100%, $E$9)</f>
        <v>29.1541</v>
      </c>
      <c r="G531" s="17">
        <f>CHOOSE(CONTROL!$C$42, 29.1703, 29.1703)*CHOOSE(CONTROL!$C$21, $C$9, 100%, $E$9)</f>
        <v>29.170300000000001</v>
      </c>
      <c r="H531" s="17">
        <f>CHOOSE(CONTROL!$C$42, 29.265, 29.265) * CHOOSE(CONTROL!$C$21, $C$9, 100%, $E$9)</f>
        <v>29.265000000000001</v>
      </c>
      <c r="I531" s="17">
        <f>CHOOSE(CONTROL!$C$42, 29.2558, 29.2558)* CHOOSE(CONTROL!$C$21, $C$9, 100%, $E$9)</f>
        <v>29.255800000000001</v>
      </c>
      <c r="J531" s="17">
        <f>CHOOSE(CONTROL!$C$42, 29.1467, 29.1467)* CHOOSE(CONTROL!$C$21, $C$9, 100%, $E$9)</f>
        <v>29.146699999999999</v>
      </c>
      <c r="K531" s="52">
        <f>CHOOSE(CONTROL!$C$42, 29.2498, 29.2498) * CHOOSE(CONTROL!$C$21, $C$9, 100%, $E$9)</f>
        <v>29.2498</v>
      </c>
      <c r="L531" s="17">
        <f>CHOOSE(CONTROL!$C$42, 29.852, 29.852) * CHOOSE(CONTROL!$C$21, $C$9, 100%, $E$9)</f>
        <v>29.852</v>
      </c>
      <c r="M531" s="17">
        <f>CHOOSE(CONTROL!$C$42, 28.8915, 28.8915) * CHOOSE(CONTROL!$C$21, $C$9, 100%, $E$9)</f>
        <v>28.891500000000001</v>
      </c>
      <c r="N531" s="17">
        <f>CHOOSE(CONTROL!$C$42, 28.9076, 28.9076) * CHOOSE(CONTROL!$C$21, $C$9, 100%, $E$9)</f>
        <v>28.907599999999999</v>
      </c>
      <c r="O531" s="17">
        <f>CHOOSE(CONTROL!$C$42, 29.0088, 29.0088) * CHOOSE(CONTROL!$C$21, $C$9, 100%, $E$9)</f>
        <v>29.008800000000001</v>
      </c>
      <c r="P531" s="17">
        <f>CHOOSE(CONTROL!$C$42, 28.999, 28.999) * CHOOSE(CONTROL!$C$21, $C$9, 100%, $E$9)</f>
        <v>28.998999999999999</v>
      </c>
      <c r="Q531" s="17">
        <f>CHOOSE(CONTROL!$C$42, 29.6035, 29.6035) * CHOOSE(CONTROL!$C$21, $C$9, 100%, $E$9)</f>
        <v>29.6035</v>
      </c>
      <c r="R531" s="17">
        <f>CHOOSE(CONTROL!$C$42, 30.2645, 30.2645) * CHOOSE(CONTROL!$C$21, $C$9, 100%, $E$9)</f>
        <v>30.264500000000002</v>
      </c>
      <c r="S531" s="17">
        <f>CHOOSE(CONTROL!$C$42, 28.248, 28.248) * CHOOSE(CONTROL!$C$21, $C$9, 100%, $E$9)</f>
        <v>28.248000000000001</v>
      </c>
      <c r="T53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31" s="56">
        <f>(1000*CHOOSE(CONTROL!$C$42, 695, 695)*CHOOSE(CONTROL!$C$42, 0.5599, 0.5599)*CHOOSE(CONTROL!$C$42, 31, 31))/1000000</f>
        <v>12.063045499999998</v>
      </c>
      <c r="V531" s="56">
        <f>(1000*CHOOSE(CONTROL!$C$42, 500, 500)*CHOOSE(CONTROL!$C$42, 0.275, 0.275)*CHOOSE(CONTROL!$C$42, 31, 31))/1000000</f>
        <v>4.2625000000000002</v>
      </c>
      <c r="W531" s="56">
        <f>(1000*CHOOSE(CONTROL!$C$42, 0.0916, 0.0916)*CHOOSE(CONTROL!$C$42, 121.5, 121.5)*CHOOSE(CONTROL!$C$42, 31, 31))/1000000</f>
        <v>0.34501139999999997</v>
      </c>
      <c r="X531" s="56">
        <f>(31*0.2374*100000/1000000)</f>
        <v>0.73594000000000004</v>
      </c>
      <c r="Y531" s="56"/>
      <c r="Z531" s="17"/>
      <c r="AA531" s="55"/>
      <c r="AB531" s="48">
        <f>(B531*122.58+C531*297.941+D531*89.177+E531*140.302+F531*40+G531*60+H531*0+I531*100+J531*300)/(122.58+297.941+89.177+140.302+0+40+60+100+300)</f>
        <v>29.179901334347829</v>
      </c>
      <c r="AC531" s="45">
        <f>(M531*'RAP TEMPLATE-GAS AVAILABILITY'!O530+N531*'RAP TEMPLATE-GAS AVAILABILITY'!P530+O531*'RAP TEMPLATE-GAS AVAILABILITY'!Q530+P531*'RAP TEMPLATE-GAS AVAILABILITY'!R530)/('RAP TEMPLATE-GAS AVAILABILITY'!O530+'RAP TEMPLATE-GAS AVAILABILITY'!P530+'RAP TEMPLATE-GAS AVAILABILITY'!Q530+'RAP TEMPLATE-GAS AVAILABILITY'!R530)</f>
        <v>28.961058992805757</v>
      </c>
    </row>
    <row r="532" spans="1:29" ht="15.75" x14ac:dyDescent="0.25">
      <c r="A532" s="13">
        <v>57100</v>
      </c>
      <c r="B532" s="17">
        <f>CHOOSE(CONTROL!$C$42, 29.0542, 29.0542) * CHOOSE(CONTROL!$C$21, $C$9, 100%, $E$9)</f>
        <v>29.054200000000002</v>
      </c>
      <c r="C532" s="17">
        <f>CHOOSE(CONTROL!$C$42, 29.0587, 29.0587) * CHOOSE(CONTROL!$C$21, $C$9, 100%, $E$9)</f>
        <v>29.058700000000002</v>
      </c>
      <c r="D532" s="17">
        <f>CHOOSE(CONTROL!$C$42, 29.3063, 29.3063) * CHOOSE(CONTROL!$C$21, $C$9, 100%, $E$9)</f>
        <v>29.3063</v>
      </c>
      <c r="E532" s="17">
        <f>CHOOSE(CONTROL!$C$42, 29.3381, 29.3381) * CHOOSE(CONTROL!$C$21, $C$9, 100%, $E$9)</f>
        <v>29.338100000000001</v>
      </c>
      <c r="F532" s="17">
        <f>CHOOSE(CONTROL!$C$42, 29.0658, 29.0658)*CHOOSE(CONTROL!$C$21, $C$9, 100%, $E$9)</f>
        <v>29.065799999999999</v>
      </c>
      <c r="G532" s="17">
        <f>CHOOSE(CONTROL!$C$42, 29.0818, 29.0818)*CHOOSE(CONTROL!$C$21, $C$9, 100%, $E$9)</f>
        <v>29.081800000000001</v>
      </c>
      <c r="H532" s="17">
        <f>CHOOSE(CONTROL!$C$42, 29.3275, 29.3275) * CHOOSE(CONTROL!$C$21, $C$9, 100%, $E$9)</f>
        <v>29.327500000000001</v>
      </c>
      <c r="I532" s="17">
        <f>CHOOSE(CONTROL!$C$42, 29.167, 29.167)* CHOOSE(CONTROL!$C$21, $C$9, 100%, $E$9)</f>
        <v>29.167000000000002</v>
      </c>
      <c r="J532" s="17">
        <f>CHOOSE(CONTROL!$C$42, 29.0584, 29.0584)* CHOOSE(CONTROL!$C$21, $C$9, 100%, $E$9)</f>
        <v>29.058399999999999</v>
      </c>
      <c r="K532" s="52">
        <f>CHOOSE(CONTROL!$C$42, 29.161, 29.161) * CHOOSE(CONTROL!$C$21, $C$9, 100%, $E$9)</f>
        <v>29.161000000000001</v>
      </c>
      <c r="L532" s="17">
        <f>CHOOSE(CONTROL!$C$42, 29.9145, 29.9145) * CHOOSE(CONTROL!$C$21, $C$9, 100%, $E$9)</f>
        <v>29.9145</v>
      </c>
      <c r="M532" s="17">
        <f>CHOOSE(CONTROL!$C$42, 28.8041, 28.8041) * CHOOSE(CONTROL!$C$21, $C$9, 100%, $E$9)</f>
        <v>28.804099999999998</v>
      </c>
      <c r="N532" s="17">
        <f>CHOOSE(CONTROL!$C$42, 28.8199, 28.8199) * CHOOSE(CONTROL!$C$21, $C$9, 100%, $E$9)</f>
        <v>28.819900000000001</v>
      </c>
      <c r="O532" s="17">
        <f>CHOOSE(CONTROL!$C$42, 29.0708, 29.0708) * CHOOSE(CONTROL!$C$21, $C$9, 100%, $E$9)</f>
        <v>29.070799999999998</v>
      </c>
      <c r="P532" s="17">
        <f>CHOOSE(CONTROL!$C$42, 28.9109, 28.9109) * CHOOSE(CONTROL!$C$21, $C$9, 100%, $E$9)</f>
        <v>28.910900000000002</v>
      </c>
      <c r="Q532" s="17">
        <f>CHOOSE(CONTROL!$C$42, 29.6655, 29.6655) * CHOOSE(CONTROL!$C$21, $C$9, 100%, $E$9)</f>
        <v>29.665500000000002</v>
      </c>
      <c r="R532" s="17">
        <f>CHOOSE(CONTROL!$C$42, 30.3266, 30.3266) * CHOOSE(CONTROL!$C$21, $C$9, 100%, $E$9)</f>
        <v>30.326599999999999</v>
      </c>
      <c r="S532" s="17">
        <f>CHOOSE(CONTROL!$C$42, 28.1636, 28.1636) * CHOOSE(CONTROL!$C$21, $C$9, 100%, $E$9)</f>
        <v>28.163599999999999</v>
      </c>
      <c r="T53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32" s="56">
        <f>(1000*CHOOSE(CONTROL!$C$42, 695, 695)*CHOOSE(CONTROL!$C$42, 0.5599, 0.5599)*CHOOSE(CONTROL!$C$42, 30, 30))/1000000</f>
        <v>11.673914999999997</v>
      </c>
      <c r="V532" s="56">
        <f>(1000*CHOOSE(CONTROL!$C$42, 500, 500)*CHOOSE(CONTROL!$C$42, 0.275, 0.275)*CHOOSE(CONTROL!$C$42, 30, 30))/1000000</f>
        <v>4.125</v>
      </c>
      <c r="W532" s="56">
        <f>(1000*CHOOSE(CONTROL!$C$42, 0.0916, 0.0916)*CHOOSE(CONTROL!$C$42, 121.5, 121.5)*CHOOSE(CONTROL!$C$42, 30, 30))/1000000</f>
        <v>0.33388200000000001</v>
      </c>
      <c r="X532" s="56">
        <f>(30*0.1790888*145000/1000000)+(30*0.2374*100000/1000000)</f>
        <v>1.4912362799999999</v>
      </c>
      <c r="Y532" s="56"/>
      <c r="Z532" s="17"/>
      <c r="AA532" s="55"/>
      <c r="AB532" s="48">
        <f>(B532*141.293+C532*267.993+D532*115.016+E532*189.698+F532*40+G532*85+H532*0+I532*100+J532*300)/(141.293+267.993+115.016+189.698+0+40+85+100+300)</f>
        <v>29.134431448184021</v>
      </c>
      <c r="AC532" s="45">
        <f>(M532*'RAP TEMPLATE-GAS AVAILABILITY'!O531+N532*'RAP TEMPLATE-GAS AVAILABILITY'!P531+O532*'RAP TEMPLATE-GAS AVAILABILITY'!Q531+P532*'RAP TEMPLATE-GAS AVAILABILITY'!R531)/('RAP TEMPLATE-GAS AVAILABILITY'!O531+'RAP TEMPLATE-GAS AVAILABILITY'!P531+'RAP TEMPLATE-GAS AVAILABILITY'!Q531+'RAP TEMPLATE-GAS AVAILABILITY'!R531)</f>
        <v>28.897933812949638</v>
      </c>
    </row>
    <row r="533" spans="1:29" ht="15.75" x14ac:dyDescent="0.25">
      <c r="A533" s="13">
        <v>57131</v>
      </c>
      <c r="B533" s="17">
        <f>CHOOSE(CONTROL!$C$42, 29.3119, 29.3119) * CHOOSE(CONTROL!$C$21, $C$9, 100%, $E$9)</f>
        <v>29.311900000000001</v>
      </c>
      <c r="C533" s="17">
        <f>CHOOSE(CONTROL!$C$42, 29.3199, 29.3199) * CHOOSE(CONTROL!$C$21, $C$9, 100%, $E$9)</f>
        <v>29.319900000000001</v>
      </c>
      <c r="D533" s="17">
        <f>CHOOSE(CONTROL!$C$42, 29.5644, 29.5644) * CHOOSE(CONTROL!$C$21, $C$9, 100%, $E$9)</f>
        <v>29.564399999999999</v>
      </c>
      <c r="E533" s="17">
        <f>CHOOSE(CONTROL!$C$42, 29.5955, 29.5955) * CHOOSE(CONTROL!$C$21, $C$9, 100%, $E$9)</f>
        <v>29.595500000000001</v>
      </c>
      <c r="F533" s="17">
        <f>CHOOSE(CONTROL!$C$42, 29.3225, 29.3225)*CHOOSE(CONTROL!$C$21, $C$9, 100%, $E$9)</f>
        <v>29.322500000000002</v>
      </c>
      <c r="G533" s="17">
        <f>CHOOSE(CONTROL!$C$42, 29.3387, 29.3387)*CHOOSE(CONTROL!$C$21, $C$9, 100%, $E$9)</f>
        <v>29.338699999999999</v>
      </c>
      <c r="H533" s="17">
        <f>CHOOSE(CONTROL!$C$42, 29.5839, 29.5839) * CHOOSE(CONTROL!$C$21, $C$9, 100%, $E$9)</f>
        <v>29.5839</v>
      </c>
      <c r="I533" s="17">
        <f>CHOOSE(CONTROL!$C$42, 29.4241, 29.4241)* CHOOSE(CONTROL!$C$21, $C$9, 100%, $E$9)</f>
        <v>29.424099999999999</v>
      </c>
      <c r="J533" s="17">
        <f>CHOOSE(CONTROL!$C$42, 29.3151, 29.3151)* CHOOSE(CONTROL!$C$21, $C$9, 100%, $E$9)</f>
        <v>29.315100000000001</v>
      </c>
      <c r="K533" s="52">
        <f>CHOOSE(CONTROL!$C$42, 29.4181, 29.4181) * CHOOSE(CONTROL!$C$21, $C$9, 100%, $E$9)</f>
        <v>29.418099999999999</v>
      </c>
      <c r="L533" s="17">
        <f>CHOOSE(CONTROL!$C$42, 30.1709, 30.1709) * CHOOSE(CONTROL!$C$21, $C$9, 100%, $E$9)</f>
        <v>30.1709</v>
      </c>
      <c r="M533" s="17">
        <f>CHOOSE(CONTROL!$C$42, 29.0584, 29.0584) * CHOOSE(CONTROL!$C$21, $C$9, 100%, $E$9)</f>
        <v>29.058399999999999</v>
      </c>
      <c r="N533" s="17">
        <f>CHOOSE(CONTROL!$C$42, 29.0745, 29.0745) * CHOOSE(CONTROL!$C$21, $C$9, 100%, $E$9)</f>
        <v>29.0745</v>
      </c>
      <c r="O533" s="17">
        <f>CHOOSE(CONTROL!$C$42, 29.3248, 29.3248) * CHOOSE(CONTROL!$C$21, $C$9, 100%, $E$9)</f>
        <v>29.3248</v>
      </c>
      <c r="P533" s="17">
        <f>CHOOSE(CONTROL!$C$42, 29.1658, 29.1658) * CHOOSE(CONTROL!$C$21, $C$9, 100%, $E$9)</f>
        <v>29.165800000000001</v>
      </c>
      <c r="Q533" s="17">
        <f>CHOOSE(CONTROL!$C$42, 29.9195, 29.9195) * CHOOSE(CONTROL!$C$21, $C$9, 100%, $E$9)</f>
        <v>29.919499999999999</v>
      </c>
      <c r="R533" s="17">
        <f>CHOOSE(CONTROL!$C$42, 30.5813, 30.5813) * CHOOSE(CONTROL!$C$21, $C$9, 100%, $E$9)</f>
        <v>30.581299999999999</v>
      </c>
      <c r="S533" s="17">
        <f>CHOOSE(CONTROL!$C$42, 28.4122, 28.4122) * CHOOSE(CONTROL!$C$21, $C$9, 100%, $E$9)</f>
        <v>28.412199999999999</v>
      </c>
      <c r="T53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33" s="56">
        <f>(1000*CHOOSE(CONTROL!$C$42, 695, 695)*CHOOSE(CONTROL!$C$42, 0.5599, 0.5599)*CHOOSE(CONTROL!$C$42, 31, 31))/1000000</f>
        <v>12.063045499999998</v>
      </c>
      <c r="V533" s="56">
        <f>(1000*CHOOSE(CONTROL!$C$42, 500, 500)*CHOOSE(CONTROL!$C$42, 0.275, 0.275)*CHOOSE(CONTROL!$C$42, 31, 31))/1000000</f>
        <v>4.2625000000000002</v>
      </c>
      <c r="W533" s="56">
        <f>(1000*CHOOSE(CONTROL!$C$42, 0.0916, 0.0916)*CHOOSE(CONTROL!$C$42, 121.5, 121.5)*CHOOSE(CONTROL!$C$42, 31, 31))/1000000</f>
        <v>0.34501139999999997</v>
      </c>
      <c r="X533" s="56">
        <f>(31*0.1790888*145000/1000000)+(31*0.2374*100000/1000000)</f>
        <v>1.5409441560000001</v>
      </c>
      <c r="Y533" s="56"/>
      <c r="Z533" s="17"/>
      <c r="AA533" s="55"/>
      <c r="AB533" s="48">
        <f>(B533*194.205+C533*267.466+D533*133.845+E533*153.484+F533*40+G533*85+H533*0+I533*100+J533*300)/(194.205+267.466+133.845+153.484+0+40+85+100+300)</f>
        <v>29.385954672605969</v>
      </c>
      <c r="AC533" s="45">
        <f>(M533*'RAP TEMPLATE-GAS AVAILABILITY'!O532+N533*'RAP TEMPLATE-GAS AVAILABILITY'!P532+O533*'RAP TEMPLATE-GAS AVAILABILITY'!Q532+P533*'RAP TEMPLATE-GAS AVAILABILITY'!R532)/('RAP TEMPLATE-GAS AVAILABILITY'!O532+'RAP TEMPLATE-GAS AVAILABILITY'!P532+'RAP TEMPLATE-GAS AVAILABILITY'!Q532+'RAP TEMPLATE-GAS AVAILABILITY'!R532)</f>
        <v>29.152305035971221</v>
      </c>
    </row>
    <row r="534" spans="1:29" ht="15.75" x14ac:dyDescent="0.25">
      <c r="A534" s="13">
        <v>57161</v>
      </c>
      <c r="B534" s="17">
        <f>CHOOSE(CONTROL!$C$42, 30.143, 30.143) * CHOOSE(CONTROL!$C$21, $C$9, 100%, $E$9)</f>
        <v>30.143000000000001</v>
      </c>
      <c r="C534" s="17">
        <f>CHOOSE(CONTROL!$C$42, 30.151, 30.151) * CHOOSE(CONTROL!$C$21, $C$9, 100%, $E$9)</f>
        <v>30.151</v>
      </c>
      <c r="D534" s="17">
        <f>CHOOSE(CONTROL!$C$42, 30.3955, 30.3955) * CHOOSE(CONTROL!$C$21, $C$9, 100%, $E$9)</f>
        <v>30.395499999999998</v>
      </c>
      <c r="E534" s="17">
        <f>CHOOSE(CONTROL!$C$42, 30.4266, 30.4266) * CHOOSE(CONTROL!$C$21, $C$9, 100%, $E$9)</f>
        <v>30.426600000000001</v>
      </c>
      <c r="F534" s="17">
        <f>CHOOSE(CONTROL!$C$42, 30.1539, 30.1539)*CHOOSE(CONTROL!$C$21, $C$9, 100%, $E$9)</f>
        <v>30.1539</v>
      </c>
      <c r="G534" s="17">
        <f>CHOOSE(CONTROL!$C$42, 30.1702, 30.1702)*CHOOSE(CONTROL!$C$21, $C$9, 100%, $E$9)</f>
        <v>30.170200000000001</v>
      </c>
      <c r="H534" s="17">
        <f>CHOOSE(CONTROL!$C$42, 30.415, 30.415) * CHOOSE(CONTROL!$C$21, $C$9, 100%, $E$9)</f>
        <v>30.414999999999999</v>
      </c>
      <c r="I534" s="17">
        <f>CHOOSE(CONTROL!$C$42, 30.2578, 30.2578)* CHOOSE(CONTROL!$C$21, $C$9, 100%, $E$9)</f>
        <v>30.2578</v>
      </c>
      <c r="J534" s="17">
        <f>CHOOSE(CONTROL!$C$42, 30.1465, 30.1465)* CHOOSE(CONTROL!$C$21, $C$9, 100%, $E$9)</f>
        <v>30.1465</v>
      </c>
      <c r="K534" s="52">
        <f>CHOOSE(CONTROL!$C$42, 30.2518, 30.2518) * CHOOSE(CONTROL!$C$21, $C$9, 100%, $E$9)</f>
        <v>30.251799999999999</v>
      </c>
      <c r="L534" s="17">
        <f>CHOOSE(CONTROL!$C$42, 31.002, 31.002) * CHOOSE(CONTROL!$C$21, $C$9, 100%, $E$9)</f>
        <v>31.001999999999999</v>
      </c>
      <c r="M534" s="17">
        <f>CHOOSE(CONTROL!$C$42, 29.8824, 29.8824) * CHOOSE(CONTROL!$C$21, $C$9, 100%, $E$9)</f>
        <v>29.882400000000001</v>
      </c>
      <c r="N534" s="17">
        <f>CHOOSE(CONTROL!$C$42, 29.8985, 29.8985) * CHOOSE(CONTROL!$C$21, $C$9, 100%, $E$9)</f>
        <v>29.898499999999999</v>
      </c>
      <c r="O534" s="17">
        <f>CHOOSE(CONTROL!$C$42, 30.1484, 30.1484) * CHOOSE(CONTROL!$C$21, $C$9, 100%, $E$9)</f>
        <v>30.148399999999999</v>
      </c>
      <c r="P534" s="17">
        <f>CHOOSE(CONTROL!$C$42, 29.9919, 29.9919) * CHOOSE(CONTROL!$C$21, $C$9, 100%, $E$9)</f>
        <v>29.991900000000001</v>
      </c>
      <c r="Q534" s="17">
        <f>CHOOSE(CONTROL!$C$42, 30.7431, 30.7431) * CHOOSE(CONTROL!$C$21, $C$9, 100%, $E$9)</f>
        <v>30.743099999999998</v>
      </c>
      <c r="R534" s="17">
        <f>CHOOSE(CONTROL!$C$42, 31.407, 31.407) * CHOOSE(CONTROL!$C$21, $C$9, 100%, $E$9)</f>
        <v>31.407</v>
      </c>
      <c r="S534" s="17">
        <f>CHOOSE(CONTROL!$C$42, 29.2181, 29.2181) * CHOOSE(CONTROL!$C$21, $C$9, 100%, $E$9)</f>
        <v>29.2181</v>
      </c>
      <c r="T53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34" s="56">
        <f>(1000*CHOOSE(CONTROL!$C$42, 695, 695)*CHOOSE(CONTROL!$C$42, 0.5599, 0.5599)*CHOOSE(CONTROL!$C$42, 30, 30))/1000000</f>
        <v>11.673914999999997</v>
      </c>
      <c r="V534" s="56">
        <f>(1000*CHOOSE(CONTROL!$C$42, 500, 500)*CHOOSE(CONTROL!$C$42, 0.275, 0.275)*CHOOSE(CONTROL!$C$42, 30, 30))/1000000</f>
        <v>4.125</v>
      </c>
      <c r="W534" s="56">
        <f>(1000*CHOOSE(CONTROL!$C$42, 0.0916, 0.0916)*CHOOSE(CONTROL!$C$42, 121.5, 121.5)*CHOOSE(CONTROL!$C$42, 30, 30))/1000000</f>
        <v>0.33388200000000001</v>
      </c>
      <c r="X534" s="56">
        <f>(30*0.1790888*145000/1000000)+(30*0.2374*100000/1000000)</f>
        <v>1.4912362799999999</v>
      </c>
      <c r="Y534" s="56"/>
      <c r="Z534" s="17"/>
      <c r="AA534" s="55"/>
      <c r="AB534" s="48">
        <f>(B534*194.205+C534*267.466+D534*133.845+E534*153.484+F534*40+G534*85+H534*0+I534*100+J534*300)/(194.205+267.466+133.845+153.484+0+40+85+100+300)</f>
        <v>30.217365504631086</v>
      </c>
      <c r="AC534" s="45">
        <f>(M534*'RAP TEMPLATE-GAS AVAILABILITY'!O533+N534*'RAP TEMPLATE-GAS AVAILABILITY'!P533+O534*'RAP TEMPLATE-GAS AVAILABILITY'!Q533+P534*'RAP TEMPLATE-GAS AVAILABILITY'!R533)/('RAP TEMPLATE-GAS AVAILABILITY'!O533+'RAP TEMPLATE-GAS AVAILABILITY'!P533+'RAP TEMPLATE-GAS AVAILABILITY'!Q533+'RAP TEMPLATE-GAS AVAILABILITY'!R533)</f>
        <v>29.976494964028777</v>
      </c>
    </row>
    <row r="535" spans="1:29" ht="15.75" x14ac:dyDescent="0.25">
      <c r="A535" s="13">
        <v>57192</v>
      </c>
      <c r="B535" s="17">
        <f>CHOOSE(CONTROL!$C$42, 29.565, 29.565) * CHOOSE(CONTROL!$C$21, $C$9, 100%, $E$9)</f>
        <v>29.565000000000001</v>
      </c>
      <c r="C535" s="17">
        <f>CHOOSE(CONTROL!$C$42, 29.573, 29.573) * CHOOSE(CONTROL!$C$21, $C$9, 100%, $E$9)</f>
        <v>29.573</v>
      </c>
      <c r="D535" s="17">
        <f>CHOOSE(CONTROL!$C$42, 29.8174, 29.8174) * CHOOSE(CONTROL!$C$21, $C$9, 100%, $E$9)</f>
        <v>29.817399999999999</v>
      </c>
      <c r="E535" s="17">
        <f>CHOOSE(CONTROL!$C$42, 29.8486, 29.8486) * CHOOSE(CONTROL!$C$21, $C$9, 100%, $E$9)</f>
        <v>29.848600000000001</v>
      </c>
      <c r="F535" s="17">
        <f>CHOOSE(CONTROL!$C$42, 29.5763, 29.5763)*CHOOSE(CONTROL!$C$21, $C$9, 100%, $E$9)</f>
        <v>29.5763</v>
      </c>
      <c r="G535" s="17">
        <f>CHOOSE(CONTROL!$C$42, 29.5927, 29.5927)*CHOOSE(CONTROL!$C$21, $C$9, 100%, $E$9)</f>
        <v>29.592700000000001</v>
      </c>
      <c r="H535" s="17">
        <f>CHOOSE(CONTROL!$C$42, 29.8369, 29.8369) * CHOOSE(CONTROL!$C$21, $C$9, 100%, $E$9)</f>
        <v>29.8369</v>
      </c>
      <c r="I535" s="17">
        <f>CHOOSE(CONTROL!$C$42, 29.678, 29.678)* CHOOSE(CONTROL!$C$21, $C$9, 100%, $E$9)</f>
        <v>29.678000000000001</v>
      </c>
      <c r="J535" s="17">
        <f>CHOOSE(CONTROL!$C$42, 29.5689, 29.5689)* CHOOSE(CONTROL!$C$21, $C$9, 100%, $E$9)</f>
        <v>29.568899999999999</v>
      </c>
      <c r="K535" s="52">
        <f>CHOOSE(CONTROL!$C$42, 29.6719, 29.6719) * CHOOSE(CONTROL!$C$21, $C$9, 100%, $E$9)</f>
        <v>29.671900000000001</v>
      </c>
      <c r="L535" s="17">
        <f>CHOOSE(CONTROL!$C$42, 30.4239, 30.4239) * CHOOSE(CONTROL!$C$21, $C$9, 100%, $E$9)</f>
        <v>30.4239</v>
      </c>
      <c r="M535" s="17">
        <f>CHOOSE(CONTROL!$C$42, 29.31, 29.31) * CHOOSE(CONTROL!$C$21, $C$9, 100%, $E$9)</f>
        <v>29.31</v>
      </c>
      <c r="N535" s="17">
        <f>CHOOSE(CONTROL!$C$42, 29.3263, 29.3263) * CHOOSE(CONTROL!$C$21, $C$9, 100%, $E$9)</f>
        <v>29.3263</v>
      </c>
      <c r="O535" s="17">
        <f>CHOOSE(CONTROL!$C$42, 29.5756, 29.5756) * CHOOSE(CONTROL!$C$21, $C$9, 100%, $E$9)</f>
        <v>29.575600000000001</v>
      </c>
      <c r="P535" s="17">
        <f>CHOOSE(CONTROL!$C$42, 29.4173, 29.4173) * CHOOSE(CONTROL!$C$21, $C$9, 100%, $E$9)</f>
        <v>29.417300000000001</v>
      </c>
      <c r="Q535" s="17">
        <f>CHOOSE(CONTROL!$C$42, 30.1703, 30.1703) * CHOOSE(CONTROL!$C$21, $C$9, 100%, $E$9)</f>
        <v>30.170300000000001</v>
      </c>
      <c r="R535" s="17">
        <f>CHOOSE(CONTROL!$C$42, 30.8327, 30.8327) * CHOOSE(CONTROL!$C$21, $C$9, 100%, $E$9)</f>
        <v>30.832699999999999</v>
      </c>
      <c r="S535" s="17">
        <f>CHOOSE(CONTROL!$C$42, 28.6576, 28.6576) * CHOOSE(CONTROL!$C$21, $C$9, 100%, $E$9)</f>
        <v>28.657599999999999</v>
      </c>
      <c r="T53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35" s="56">
        <f>(1000*CHOOSE(CONTROL!$C$42, 695, 695)*CHOOSE(CONTROL!$C$42, 0.5599, 0.5599)*CHOOSE(CONTROL!$C$42, 31, 31))/1000000</f>
        <v>12.063045499999998</v>
      </c>
      <c r="V535" s="56">
        <f>(1000*CHOOSE(CONTROL!$C$42, 500, 500)*CHOOSE(CONTROL!$C$42, 0.275, 0.275)*CHOOSE(CONTROL!$C$42, 31, 31))/1000000</f>
        <v>4.2625000000000002</v>
      </c>
      <c r="W535" s="56">
        <f>(1000*CHOOSE(CONTROL!$C$42, 0.0916, 0.0916)*CHOOSE(CONTROL!$C$42, 121.5, 121.5)*CHOOSE(CONTROL!$C$42, 31, 31))/1000000</f>
        <v>0.34501139999999997</v>
      </c>
      <c r="X535" s="56">
        <f>(31*0.1790888*145000/1000000)+(31*0.2374*100000/1000000)</f>
        <v>1.5409441560000001</v>
      </c>
      <c r="Y535" s="56"/>
      <c r="Z535" s="17"/>
      <c r="AA535" s="55"/>
      <c r="AB535" s="48">
        <f>(B535*194.205+C535*267.466+D535*133.845+E535*153.484+F535*40+G535*85+H535*0+I535*100+J535*300)/(194.205+267.466+133.845+153.484+0+40+85+100+300)</f>
        <v>29.639353821350081</v>
      </c>
      <c r="AC535" s="45">
        <f>(M535*'RAP TEMPLATE-GAS AVAILABILITY'!O534+N535*'RAP TEMPLATE-GAS AVAILABILITY'!P534+O535*'RAP TEMPLATE-GAS AVAILABILITY'!Q534+P535*'RAP TEMPLATE-GAS AVAILABILITY'!R534)/('RAP TEMPLATE-GAS AVAILABILITY'!O534+'RAP TEMPLATE-GAS AVAILABILITY'!P534+'RAP TEMPLATE-GAS AVAILABILITY'!Q534+'RAP TEMPLATE-GAS AVAILABILITY'!R534)</f>
        <v>29.403712230215824</v>
      </c>
    </row>
    <row r="536" spans="1:29" ht="15.75" x14ac:dyDescent="0.25">
      <c r="A536" s="13">
        <v>57223</v>
      </c>
      <c r="B536" s="17">
        <f>CHOOSE(CONTROL!$C$42, 28.1052, 28.1052) * CHOOSE(CONTROL!$C$21, $C$9, 100%, $E$9)</f>
        <v>28.1052</v>
      </c>
      <c r="C536" s="17">
        <f>CHOOSE(CONTROL!$C$42, 28.1132, 28.1132) * CHOOSE(CONTROL!$C$21, $C$9, 100%, $E$9)</f>
        <v>28.113199999999999</v>
      </c>
      <c r="D536" s="17">
        <f>CHOOSE(CONTROL!$C$42, 28.3577, 28.3577) * CHOOSE(CONTROL!$C$21, $C$9, 100%, $E$9)</f>
        <v>28.357700000000001</v>
      </c>
      <c r="E536" s="17">
        <f>CHOOSE(CONTROL!$C$42, 28.3889, 28.3889) * CHOOSE(CONTROL!$C$21, $C$9, 100%, $E$9)</f>
        <v>28.3889</v>
      </c>
      <c r="F536" s="17">
        <f>CHOOSE(CONTROL!$C$42, 28.1168, 28.1168)*CHOOSE(CONTROL!$C$21, $C$9, 100%, $E$9)</f>
        <v>28.116800000000001</v>
      </c>
      <c r="G536" s="17">
        <f>CHOOSE(CONTROL!$C$42, 28.1333, 28.1333)*CHOOSE(CONTROL!$C$21, $C$9, 100%, $E$9)</f>
        <v>28.133299999999998</v>
      </c>
      <c r="H536" s="17">
        <f>CHOOSE(CONTROL!$C$42, 28.3772, 28.3772) * CHOOSE(CONTROL!$C$21, $C$9, 100%, $E$9)</f>
        <v>28.377199999999998</v>
      </c>
      <c r="I536" s="17">
        <f>CHOOSE(CONTROL!$C$42, 28.2137, 28.2137)* CHOOSE(CONTROL!$C$21, $C$9, 100%, $E$9)</f>
        <v>28.213699999999999</v>
      </c>
      <c r="J536" s="17">
        <f>CHOOSE(CONTROL!$C$42, 28.1094, 28.1094)* CHOOSE(CONTROL!$C$21, $C$9, 100%, $E$9)</f>
        <v>28.109400000000001</v>
      </c>
      <c r="K536" s="52">
        <f>CHOOSE(CONTROL!$C$42, 28.2077, 28.2077) * CHOOSE(CONTROL!$C$21, $C$9, 100%, $E$9)</f>
        <v>28.207699999999999</v>
      </c>
      <c r="L536" s="17">
        <f>CHOOSE(CONTROL!$C$42, 28.9642, 28.9642) * CHOOSE(CONTROL!$C$21, $C$9, 100%, $E$9)</f>
        <v>28.964200000000002</v>
      </c>
      <c r="M536" s="17">
        <f>CHOOSE(CONTROL!$C$42, 27.8636, 27.8636) * CHOOSE(CONTROL!$C$21, $C$9, 100%, $E$9)</f>
        <v>27.863600000000002</v>
      </c>
      <c r="N536" s="17">
        <f>CHOOSE(CONTROL!$C$42, 27.88, 27.88) * CHOOSE(CONTROL!$C$21, $C$9, 100%, $E$9)</f>
        <v>27.88</v>
      </c>
      <c r="O536" s="17">
        <f>CHOOSE(CONTROL!$C$42, 28.129, 28.129) * CHOOSE(CONTROL!$C$21, $C$9, 100%, $E$9)</f>
        <v>28.129000000000001</v>
      </c>
      <c r="P536" s="17">
        <f>CHOOSE(CONTROL!$C$42, 27.9663, 27.9663) * CHOOSE(CONTROL!$C$21, $C$9, 100%, $E$9)</f>
        <v>27.9663</v>
      </c>
      <c r="Q536" s="17">
        <f>CHOOSE(CONTROL!$C$42, 28.7237, 28.7237) * CHOOSE(CONTROL!$C$21, $C$9, 100%, $E$9)</f>
        <v>28.723700000000001</v>
      </c>
      <c r="R536" s="17">
        <f>CHOOSE(CONTROL!$C$42, 29.3825, 29.3825) * CHOOSE(CONTROL!$C$21, $C$9, 100%, $E$9)</f>
        <v>29.3825</v>
      </c>
      <c r="S536" s="17">
        <f>CHOOSE(CONTROL!$C$42, 27.2421, 27.2421) * CHOOSE(CONTROL!$C$21, $C$9, 100%, $E$9)</f>
        <v>27.242100000000001</v>
      </c>
      <c r="T53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36" s="56">
        <f>(1000*CHOOSE(CONTROL!$C$42, 695, 695)*CHOOSE(CONTROL!$C$42, 0.5599, 0.5599)*CHOOSE(CONTROL!$C$42, 31, 31))/1000000</f>
        <v>12.063045499999998</v>
      </c>
      <c r="V536" s="56">
        <f>(1000*CHOOSE(CONTROL!$C$42, 500, 500)*CHOOSE(CONTROL!$C$42, 0.275, 0.275)*CHOOSE(CONTROL!$C$42, 31, 31))/1000000</f>
        <v>4.2625000000000002</v>
      </c>
      <c r="W536" s="56">
        <f>(1000*CHOOSE(CONTROL!$C$42, 0.0916, 0.0916)*CHOOSE(CONTROL!$C$42, 121.5, 121.5)*CHOOSE(CONTROL!$C$42, 31, 31))/1000000</f>
        <v>0.34501139999999997</v>
      </c>
      <c r="X536" s="56">
        <f>(31*0.1790888*145000/1000000)+(31*0.2374*100000/1000000)</f>
        <v>1.5409441560000001</v>
      </c>
      <c r="Y536" s="56"/>
      <c r="Z536" s="17"/>
      <c r="AA536" s="55"/>
      <c r="AB536" s="48">
        <f>(B536*194.205+C536*267.466+D536*133.845+E536*153.484+F536*40+G536*85+H536*0+I536*100+J536*300)/(194.205+267.466+133.845+153.484+0+40+85+100+300)</f>
        <v>28.179329906828883</v>
      </c>
      <c r="AC536" s="45">
        <f>(M536*'RAP TEMPLATE-GAS AVAILABILITY'!O535+N536*'RAP TEMPLATE-GAS AVAILABILITY'!P535+O536*'RAP TEMPLATE-GAS AVAILABILITY'!Q535+P536*'RAP TEMPLATE-GAS AVAILABILITY'!R535)/('RAP TEMPLATE-GAS AVAILABILITY'!O535+'RAP TEMPLATE-GAS AVAILABILITY'!P535+'RAP TEMPLATE-GAS AVAILABILITY'!Q535+'RAP TEMPLATE-GAS AVAILABILITY'!R535)</f>
        <v>27.956617266187052</v>
      </c>
    </row>
    <row r="537" spans="1:29" ht="15.75" x14ac:dyDescent="0.25">
      <c r="A537" s="13">
        <v>57253</v>
      </c>
      <c r="B537" s="17">
        <f>CHOOSE(CONTROL!$C$42, 26.3215, 26.3215) * CHOOSE(CONTROL!$C$21, $C$9, 100%, $E$9)</f>
        <v>26.3215</v>
      </c>
      <c r="C537" s="17">
        <f>CHOOSE(CONTROL!$C$42, 26.3295, 26.3295) * CHOOSE(CONTROL!$C$21, $C$9, 100%, $E$9)</f>
        <v>26.329499999999999</v>
      </c>
      <c r="D537" s="17">
        <f>CHOOSE(CONTROL!$C$42, 26.5739, 26.5739) * CHOOSE(CONTROL!$C$21, $C$9, 100%, $E$9)</f>
        <v>26.573899999999998</v>
      </c>
      <c r="E537" s="17">
        <f>CHOOSE(CONTROL!$C$42, 26.6051, 26.6051) * CHOOSE(CONTROL!$C$21, $C$9, 100%, $E$9)</f>
        <v>26.6051</v>
      </c>
      <c r="F537" s="17">
        <f>CHOOSE(CONTROL!$C$42, 26.3331, 26.3331)*CHOOSE(CONTROL!$C$21, $C$9, 100%, $E$9)</f>
        <v>26.333100000000002</v>
      </c>
      <c r="G537" s="17">
        <f>CHOOSE(CONTROL!$C$42, 26.3496, 26.3496)*CHOOSE(CONTROL!$C$21, $C$9, 100%, $E$9)</f>
        <v>26.349599999999999</v>
      </c>
      <c r="H537" s="17">
        <f>CHOOSE(CONTROL!$C$42, 26.5934, 26.5934) * CHOOSE(CONTROL!$C$21, $C$9, 100%, $E$9)</f>
        <v>26.593399999999999</v>
      </c>
      <c r="I537" s="17">
        <f>CHOOSE(CONTROL!$C$42, 26.4244, 26.4244)* CHOOSE(CONTROL!$C$21, $C$9, 100%, $E$9)</f>
        <v>26.424399999999999</v>
      </c>
      <c r="J537" s="17">
        <f>CHOOSE(CONTROL!$C$42, 26.3257, 26.3257)* CHOOSE(CONTROL!$C$21, $C$9, 100%, $E$9)</f>
        <v>26.325700000000001</v>
      </c>
      <c r="K537" s="52">
        <f>CHOOSE(CONTROL!$C$42, 26.4184, 26.4184) * CHOOSE(CONTROL!$C$21, $C$9, 100%, $E$9)</f>
        <v>26.418399999999998</v>
      </c>
      <c r="L537" s="17">
        <f>CHOOSE(CONTROL!$C$42, 27.1804, 27.1804) * CHOOSE(CONTROL!$C$21, $C$9, 100%, $E$9)</f>
        <v>27.180399999999999</v>
      </c>
      <c r="M537" s="17">
        <f>CHOOSE(CONTROL!$C$42, 26.0959, 26.0959) * CHOOSE(CONTROL!$C$21, $C$9, 100%, $E$9)</f>
        <v>26.0959</v>
      </c>
      <c r="N537" s="17">
        <f>CHOOSE(CONTROL!$C$42, 26.1123, 26.1123) * CHOOSE(CONTROL!$C$21, $C$9, 100%, $E$9)</f>
        <v>26.112300000000001</v>
      </c>
      <c r="O537" s="17">
        <f>CHOOSE(CONTROL!$C$42, 26.3613, 26.3613) * CHOOSE(CONTROL!$C$21, $C$9, 100%, $E$9)</f>
        <v>26.3613</v>
      </c>
      <c r="P537" s="17">
        <f>CHOOSE(CONTROL!$C$42, 26.1931, 26.1931) * CHOOSE(CONTROL!$C$21, $C$9, 100%, $E$9)</f>
        <v>26.193100000000001</v>
      </c>
      <c r="Q537" s="17">
        <f>CHOOSE(CONTROL!$C$42, 26.956, 26.956) * CHOOSE(CONTROL!$C$21, $C$9, 100%, $E$9)</f>
        <v>26.956</v>
      </c>
      <c r="R537" s="17">
        <f>CHOOSE(CONTROL!$C$42, 27.6104, 27.6104) * CHOOSE(CONTROL!$C$21, $C$9, 100%, $E$9)</f>
        <v>27.610399999999998</v>
      </c>
      <c r="S537" s="17">
        <f>CHOOSE(CONTROL!$C$42, 25.5124, 25.5124) * CHOOSE(CONTROL!$C$21, $C$9, 100%, $E$9)</f>
        <v>25.5124</v>
      </c>
      <c r="T53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37" s="56">
        <f>(1000*CHOOSE(CONTROL!$C$42, 695, 695)*CHOOSE(CONTROL!$C$42, 0.5599, 0.5599)*CHOOSE(CONTROL!$C$42, 30, 30))/1000000</f>
        <v>11.673914999999997</v>
      </c>
      <c r="V537" s="56">
        <f>(1000*CHOOSE(CONTROL!$C$42, 500, 500)*CHOOSE(CONTROL!$C$42, 0.275, 0.275)*CHOOSE(CONTROL!$C$42, 30, 30))/1000000</f>
        <v>4.125</v>
      </c>
      <c r="W537" s="56">
        <f>(1000*CHOOSE(CONTROL!$C$42, 0.0916, 0.0916)*CHOOSE(CONTROL!$C$42, 121.5, 121.5)*CHOOSE(CONTROL!$C$42, 30, 30))/1000000</f>
        <v>0.33388200000000001</v>
      </c>
      <c r="X537" s="56">
        <f>(30*0.1790888*145000/1000000)+(30*0.2374*100000/1000000)</f>
        <v>1.4912362799999999</v>
      </c>
      <c r="Y537" s="56"/>
      <c r="Z537" s="17"/>
      <c r="AA537" s="55"/>
      <c r="AB537" s="48">
        <f>(B537*194.205+C537*267.466+D537*133.845+E537*153.484+F537*40+G537*85+H537*0+I537*100+J537*300)/(194.205+267.466+133.845+153.484+0+40+85+100+300)</f>
        <v>26.395167793092622</v>
      </c>
      <c r="AC537" s="45">
        <f>(M537*'RAP TEMPLATE-GAS AVAILABILITY'!O536+N537*'RAP TEMPLATE-GAS AVAILABILITY'!P536+O537*'RAP TEMPLATE-GAS AVAILABILITY'!Q536+P537*'RAP TEMPLATE-GAS AVAILABILITY'!R536)/('RAP TEMPLATE-GAS AVAILABILITY'!O536+'RAP TEMPLATE-GAS AVAILABILITY'!P536+'RAP TEMPLATE-GAS AVAILABILITY'!Q536+'RAP TEMPLATE-GAS AVAILABILITY'!R536)</f>
        <v>26.188125899280578</v>
      </c>
    </row>
    <row r="538" spans="1:29" ht="15.75" x14ac:dyDescent="0.25">
      <c r="A538" s="13">
        <v>57284</v>
      </c>
      <c r="B538" s="17">
        <f>CHOOSE(CONTROL!$C$42, 25.7856, 25.7856) * CHOOSE(CONTROL!$C$21, $C$9, 100%, $E$9)</f>
        <v>25.785599999999999</v>
      </c>
      <c r="C538" s="17">
        <f>CHOOSE(CONTROL!$C$42, 25.7909, 25.7909) * CHOOSE(CONTROL!$C$21, $C$9, 100%, $E$9)</f>
        <v>25.790900000000001</v>
      </c>
      <c r="D538" s="17">
        <f>CHOOSE(CONTROL!$C$42, 26.0403, 26.0403) * CHOOSE(CONTROL!$C$21, $C$9, 100%, $E$9)</f>
        <v>26.040299999999998</v>
      </c>
      <c r="E538" s="17">
        <f>CHOOSE(CONTROL!$C$42, 26.0691, 26.0691) * CHOOSE(CONTROL!$C$21, $C$9, 100%, $E$9)</f>
        <v>26.069099999999999</v>
      </c>
      <c r="F538" s="17">
        <f>CHOOSE(CONTROL!$C$42, 25.7994, 25.7994)*CHOOSE(CONTROL!$C$21, $C$9, 100%, $E$9)</f>
        <v>25.799399999999999</v>
      </c>
      <c r="G538" s="17">
        <f>CHOOSE(CONTROL!$C$42, 25.8158, 25.8158)*CHOOSE(CONTROL!$C$21, $C$9, 100%, $E$9)</f>
        <v>25.815799999999999</v>
      </c>
      <c r="H538" s="17">
        <f>CHOOSE(CONTROL!$C$42, 26.0593, 26.0593) * CHOOSE(CONTROL!$C$21, $C$9, 100%, $E$9)</f>
        <v>26.0593</v>
      </c>
      <c r="I538" s="17">
        <f>CHOOSE(CONTROL!$C$42, 25.8886, 25.8886)* CHOOSE(CONTROL!$C$21, $C$9, 100%, $E$9)</f>
        <v>25.8886</v>
      </c>
      <c r="J538" s="17">
        <f>CHOOSE(CONTROL!$C$42, 25.792, 25.792)* CHOOSE(CONTROL!$C$21, $C$9, 100%, $E$9)</f>
        <v>25.792000000000002</v>
      </c>
      <c r="K538" s="52">
        <f>CHOOSE(CONTROL!$C$42, 25.8826, 25.8826) * CHOOSE(CONTROL!$C$21, $C$9, 100%, $E$9)</f>
        <v>25.8826</v>
      </c>
      <c r="L538" s="17">
        <f>CHOOSE(CONTROL!$C$42, 26.6463, 26.6463) * CHOOSE(CONTROL!$C$21, $C$9, 100%, $E$9)</f>
        <v>26.6463</v>
      </c>
      <c r="M538" s="17">
        <f>CHOOSE(CONTROL!$C$42, 25.567, 25.567) * CHOOSE(CONTROL!$C$21, $C$9, 100%, $E$9)</f>
        <v>25.567</v>
      </c>
      <c r="N538" s="17">
        <f>CHOOSE(CONTROL!$C$42, 25.5833, 25.5833) * CHOOSE(CONTROL!$C$21, $C$9, 100%, $E$9)</f>
        <v>25.583300000000001</v>
      </c>
      <c r="O538" s="17">
        <f>CHOOSE(CONTROL!$C$42, 25.8319, 25.8319) * CHOOSE(CONTROL!$C$21, $C$9, 100%, $E$9)</f>
        <v>25.831900000000001</v>
      </c>
      <c r="P538" s="17">
        <f>CHOOSE(CONTROL!$C$42, 25.6621, 25.6621) * CHOOSE(CONTROL!$C$21, $C$9, 100%, $E$9)</f>
        <v>25.662099999999999</v>
      </c>
      <c r="Q538" s="17">
        <f>CHOOSE(CONTROL!$C$42, 26.4266, 26.4266) * CHOOSE(CONTROL!$C$21, $C$9, 100%, $E$9)</f>
        <v>26.426600000000001</v>
      </c>
      <c r="R538" s="17">
        <f>CHOOSE(CONTROL!$C$42, 27.0797, 27.0797) * CHOOSE(CONTROL!$C$21, $C$9, 100%, $E$9)</f>
        <v>27.079699999999999</v>
      </c>
      <c r="S538" s="17">
        <f>CHOOSE(CONTROL!$C$42, 24.9944, 24.9944) * CHOOSE(CONTROL!$C$21, $C$9, 100%, $E$9)</f>
        <v>24.994399999999999</v>
      </c>
      <c r="T53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38" s="56">
        <f>(1000*CHOOSE(CONTROL!$C$42, 695, 695)*CHOOSE(CONTROL!$C$42, 0.5599, 0.5599)*CHOOSE(CONTROL!$C$42, 31, 31))/1000000</f>
        <v>12.063045499999998</v>
      </c>
      <c r="V538" s="56">
        <f>(1000*CHOOSE(CONTROL!$C$42, 500, 500)*CHOOSE(CONTROL!$C$42, 0.275, 0.275)*CHOOSE(CONTROL!$C$42, 31, 31))/1000000</f>
        <v>4.2625000000000002</v>
      </c>
      <c r="W538" s="56">
        <f>(1000*CHOOSE(CONTROL!$C$42, 0.0916, 0.0916)*CHOOSE(CONTROL!$C$42, 121.5, 121.5)*CHOOSE(CONTROL!$C$42, 31, 31))/1000000</f>
        <v>0.34501139999999997</v>
      </c>
      <c r="X538" s="56">
        <f>(31*0.1790888*145000/1000000)+(31*0.2374*100000/1000000)</f>
        <v>1.5409441560000001</v>
      </c>
      <c r="Y538" s="56"/>
      <c r="Z538" s="17"/>
      <c r="AA538" s="55"/>
      <c r="AB538" s="48">
        <f>(B538*131.881+C538*277.167+D538*79.08+E538*225.872+F538*40+G538*85+H538*0+I538*100+J538*300)/(131.881+277.167+79.08+225.872+0+40+85+100+300)</f>
        <v>25.867104740193703</v>
      </c>
      <c r="AC538" s="45">
        <f>(M538*'RAP TEMPLATE-GAS AVAILABILITY'!O537+N538*'RAP TEMPLATE-GAS AVAILABILITY'!P537+O538*'RAP TEMPLATE-GAS AVAILABILITY'!Q537+P538*'RAP TEMPLATE-GAS AVAILABILITY'!R537)/('RAP TEMPLATE-GAS AVAILABILITY'!O537+'RAP TEMPLATE-GAS AVAILABILITY'!P537+'RAP TEMPLATE-GAS AVAILABILITY'!Q537+'RAP TEMPLATE-GAS AVAILABILITY'!R537)</f>
        <v>25.658760431654674</v>
      </c>
    </row>
    <row r="539" spans="1:29" ht="15.75" x14ac:dyDescent="0.25">
      <c r="A539" s="13">
        <v>57314</v>
      </c>
      <c r="B539" s="17">
        <f>CHOOSE(CONTROL!$C$42, 26.4642, 26.4642) * CHOOSE(CONTROL!$C$21, $C$9, 100%, $E$9)</f>
        <v>26.464200000000002</v>
      </c>
      <c r="C539" s="17">
        <f>CHOOSE(CONTROL!$C$42, 26.4693, 26.4693) * CHOOSE(CONTROL!$C$21, $C$9, 100%, $E$9)</f>
        <v>26.4693</v>
      </c>
      <c r="D539" s="17">
        <f>CHOOSE(CONTROL!$C$42, 26.5507, 26.5507) * CHOOSE(CONTROL!$C$21, $C$9, 100%, $E$9)</f>
        <v>26.550699999999999</v>
      </c>
      <c r="E539" s="17">
        <f>CHOOSE(CONTROL!$C$42, 26.5844, 26.5844) * CHOOSE(CONTROL!$C$21, $C$9, 100%, $E$9)</f>
        <v>26.584399999999999</v>
      </c>
      <c r="F539" s="17">
        <f>CHOOSE(CONTROL!$C$42, 26.4822, 26.4822)*CHOOSE(CONTROL!$C$21, $C$9, 100%, $E$9)</f>
        <v>26.482199999999999</v>
      </c>
      <c r="G539" s="17">
        <f>CHOOSE(CONTROL!$C$42, 26.4989, 26.4989)*CHOOSE(CONTROL!$C$21, $C$9, 100%, $E$9)</f>
        <v>26.498899999999999</v>
      </c>
      <c r="H539" s="17">
        <f>CHOOSE(CONTROL!$C$42, 26.5733, 26.5733) * CHOOSE(CONTROL!$C$21, $C$9, 100%, $E$9)</f>
        <v>26.5733</v>
      </c>
      <c r="I539" s="17">
        <f>CHOOSE(CONTROL!$C$42, 26.5713, 26.5713)* CHOOSE(CONTROL!$C$21, $C$9, 100%, $E$9)</f>
        <v>26.571300000000001</v>
      </c>
      <c r="J539" s="17">
        <f>CHOOSE(CONTROL!$C$42, 26.4748, 26.4748)* CHOOSE(CONTROL!$C$21, $C$9, 100%, $E$9)</f>
        <v>26.474799999999998</v>
      </c>
      <c r="K539" s="52">
        <f>CHOOSE(CONTROL!$C$42, 26.5652, 26.5652) * CHOOSE(CONTROL!$C$21, $C$9, 100%, $E$9)</f>
        <v>26.565200000000001</v>
      </c>
      <c r="L539" s="17">
        <f>CHOOSE(CONTROL!$C$42, 27.1603, 27.1603) * CHOOSE(CONTROL!$C$21, $C$9, 100%, $E$9)</f>
        <v>27.160299999999999</v>
      </c>
      <c r="M539" s="17">
        <f>CHOOSE(CONTROL!$C$42, 26.2437, 26.2437) * CHOOSE(CONTROL!$C$21, $C$9, 100%, $E$9)</f>
        <v>26.2437</v>
      </c>
      <c r="N539" s="17">
        <f>CHOOSE(CONTROL!$C$42, 26.2602, 26.2602) * CHOOSE(CONTROL!$C$21, $C$9, 100%, $E$9)</f>
        <v>26.260200000000001</v>
      </c>
      <c r="O539" s="17">
        <f>CHOOSE(CONTROL!$C$42, 26.3413, 26.3413) * CHOOSE(CONTROL!$C$21, $C$9, 100%, $E$9)</f>
        <v>26.3413</v>
      </c>
      <c r="P539" s="17">
        <f>CHOOSE(CONTROL!$C$42, 26.3386, 26.3386) * CHOOSE(CONTROL!$C$21, $C$9, 100%, $E$9)</f>
        <v>26.3386</v>
      </c>
      <c r="Q539" s="17">
        <f>CHOOSE(CONTROL!$C$42, 26.936, 26.936) * CHOOSE(CONTROL!$C$21, $C$9, 100%, $E$9)</f>
        <v>26.936</v>
      </c>
      <c r="R539" s="17">
        <f>CHOOSE(CONTROL!$C$42, 27.5904, 27.5904) * CHOOSE(CONTROL!$C$21, $C$9, 100%, $E$9)</f>
        <v>27.590399999999999</v>
      </c>
      <c r="S539" s="17">
        <f>CHOOSE(CONTROL!$C$42, 25.6528, 25.6528) * CHOOSE(CONTROL!$C$21, $C$9, 100%, $E$9)</f>
        <v>25.652799999999999</v>
      </c>
      <c r="T53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39" s="56">
        <f>(1000*CHOOSE(CONTROL!$C$42, 695, 695)*CHOOSE(CONTROL!$C$42, 0.5599, 0.5599)*CHOOSE(CONTROL!$C$42, 30, 30))/1000000</f>
        <v>11.673914999999997</v>
      </c>
      <c r="V539" s="56">
        <f>(1000*CHOOSE(CONTROL!$C$42, 500, 500)*CHOOSE(CONTROL!$C$42, 0.275, 0.275)*CHOOSE(CONTROL!$C$42, 30, 30))/1000000</f>
        <v>4.125</v>
      </c>
      <c r="W539" s="56">
        <f>(1000*CHOOSE(CONTROL!$C$42, 0.0916, 0.0916)*CHOOSE(CONTROL!$C$42, 121.5, 121.5)*CHOOSE(CONTROL!$C$42, 30, 30))/1000000</f>
        <v>0.33388200000000001</v>
      </c>
      <c r="X539" s="56">
        <f>(30*0.2374*100000/1000000)</f>
        <v>0.71220000000000006</v>
      </c>
      <c r="Y539" s="56"/>
      <c r="Z539" s="17"/>
      <c r="AA539" s="55"/>
      <c r="AB539" s="48">
        <f>(B539*122.58+C539*297.941+D539*89.177+E539*140.302+F539*40+G539*60+H539*0+I539*100+J539*300)/(122.58+297.941+89.177+140.302+0+40+60+100+300)</f>
        <v>26.50140835652174</v>
      </c>
      <c r="AC539" s="45">
        <f>(M539*'RAP TEMPLATE-GAS AVAILABILITY'!O538+N539*'RAP TEMPLATE-GAS AVAILABILITY'!P538+O539*'RAP TEMPLATE-GAS AVAILABILITY'!Q538+P539*'RAP TEMPLATE-GAS AVAILABILITY'!R538)/('RAP TEMPLATE-GAS AVAILABILITY'!O538+'RAP TEMPLATE-GAS AVAILABILITY'!P538+'RAP TEMPLATE-GAS AVAILABILITY'!Q538+'RAP TEMPLATE-GAS AVAILABILITY'!R538)</f>
        <v>26.302540287769787</v>
      </c>
    </row>
    <row r="540" spans="1:29" ht="15.75" x14ac:dyDescent="0.25">
      <c r="A540" s="13">
        <v>57345</v>
      </c>
      <c r="B540" s="17">
        <f>CHOOSE(CONTROL!$C$42, 28.2678, 28.2678) * CHOOSE(CONTROL!$C$21, $C$9, 100%, $E$9)</f>
        <v>28.267800000000001</v>
      </c>
      <c r="C540" s="17">
        <f>CHOOSE(CONTROL!$C$42, 28.2729, 28.2729) * CHOOSE(CONTROL!$C$21, $C$9, 100%, $E$9)</f>
        <v>28.2729</v>
      </c>
      <c r="D540" s="17">
        <f>CHOOSE(CONTROL!$C$42, 28.3543, 28.3543) * CHOOSE(CONTROL!$C$21, $C$9, 100%, $E$9)</f>
        <v>28.354299999999999</v>
      </c>
      <c r="E540" s="17">
        <f>CHOOSE(CONTROL!$C$42, 28.388, 28.388) * CHOOSE(CONTROL!$C$21, $C$9, 100%, $E$9)</f>
        <v>28.388000000000002</v>
      </c>
      <c r="F540" s="17">
        <f>CHOOSE(CONTROL!$C$42, 28.2881, 28.2881)*CHOOSE(CONTROL!$C$21, $C$9, 100%, $E$9)</f>
        <v>28.2881</v>
      </c>
      <c r="G540" s="17">
        <f>CHOOSE(CONTROL!$C$42, 28.3055, 28.3055)*CHOOSE(CONTROL!$C$21, $C$9, 100%, $E$9)</f>
        <v>28.305499999999999</v>
      </c>
      <c r="H540" s="17">
        <f>CHOOSE(CONTROL!$C$42, 28.3769, 28.3769) * CHOOSE(CONTROL!$C$21, $C$9, 100%, $E$9)</f>
        <v>28.376899999999999</v>
      </c>
      <c r="I540" s="17">
        <f>CHOOSE(CONTROL!$C$42, 28.3805, 28.3805)* CHOOSE(CONTROL!$C$21, $C$9, 100%, $E$9)</f>
        <v>28.380500000000001</v>
      </c>
      <c r="J540" s="17">
        <f>CHOOSE(CONTROL!$C$42, 28.2807, 28.2807)* CHOOSE(CONTROL!$C$21, $C$9, 100%, $E$9)</f>
        <v>28.2807</v>
      </c>
      <c r="K540" s="52">
        <f>CHOOSE(CONTROL!$C$42, 28.3744, 28.3744) * CHOOSE(CONTROL!$C$21, $C$9, 100%, $E$9)</f>
        <v>28.374400000000001</v>
      </c>
      <c r="L540" s="17">
        <f>CHOOSE(CONTROL!$C$42, 28.9639, 28.9639) * CHOOSE(CONTROL!$C$21, $C$9, 100%, $E$9)</f>
        <v>28.963899999999999</v>
      </c>
      <c r="M540" s="17">
        <f>CHOOSE(CONTROL!$C$42, 28.0334, 28.0334) * CHOOSE(CONTROL!$C$21, $C$9, 100%, $E$9)</f>
        <v>28.0334</v>
      </c>
      <c r="N540" s="17">
        <f>CHOOSE(CONTROL!$C$42, 28.0506, 28.0506) * CHOOSE(CONTROL!$C$21, $C$9, 100%, $E$9)</f>
        <v>28.050599999999999</v>
      </c>
      <c r="O540" s="17">
        <f>CHOOSE(CONTROL!$C$42, 28.1287, 28.1287) * CHOOSE(CONTROL!$C$21, $C$9, 100%, $E$9)</f>
        <v>28.128699999999998</v>
      </c>
      <c r="P540" s="17">
        <f>CHOOSE(CONTROL!$C$42, 28.1315, 28.1315) * CHOOSE(CONTROL!$C$21, $C$9, 100%, $E$9)</f>
        <v>28.131499999999999</v>
      </c>
      <c r="Q540" s="17">
        <f>CHOOSE(CONTROL!$C$42, 28.7234, 28.7234) * CHOOSE(CONTROL!$C$21, $C$9, 100%, $E$9)</f>
        <v>28.723400000000002</v>
      </c>
      <c r="R540" s="17">
        <f>CHOOSE(CONTROL!$C$42, 29.3822, 29.3822) * CHOOSE(CONTROL!$C$21, $C$9, 100%, $E$9)</f>
        <v>29.382200000000001</v>
      </c>
      <c r="S540" s="17">
        <f>CHOOSE(CONTROL!$C$42, 27.4018, 27.4018) * CHOOSE(CONTROL!$C$21, $C$9, 100%, $E$9)</f>
        <v>27.401800000000001</v>
      </c>
      <c r="T54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40" s="56">
        <f>(1000*CHOOSE(CONTROL!$C$42, 695, 695)*CHOOSE(CONTROL!$C$42, 0.5599, 0.5599)*CHOOSE(CONTROL!$C$42, 31, 31))/1000000</f>
        <v>12.063045499999998</v>
      </c>
      <c r="V540" s="56">
        <f>(1000*CHOOSE(CONTROL!$C$42, 500, 500)*CHOOSE(CONTROL!$C$42, 0.275, 0.275)*CHOOSE(CONTROL!$C$42, 31, 31))/1000000</f>
        <v>4.2625000000000002</v>
      </c>
      <c r="W540" s="56">
        <f>(1000*CHOOSE(CONTROL!$C$42, 0.0916, 0.0916)*CHOOSE(CONTROL!$C$42, 121.5, 121.5)*CHOOSE(CONTROL!$C$42, 31, 31))/1000000</f>
        <v>0.34501139999999997</v>
      </c>
      <c r="X540" s="56">
        <f>(31*0.2374*100000/1000000)</f>
        <v>0.73594000000000004</v>
      </c>
      <c r="Y540" s="56"/>
      <c r="Z540" s="17"/>
      <c r="AA540" s="55"/>
      <c r="AB540" s="48">
        <f>(B540*122.58+C540*297.941+D540*89.177+E540*140.302+F540*40+G540*60+H540*0+I540*100+J540*300)/(122.58+297.941+89.177+140.302+0+40+60+100+300)</f>
        <v>28.306331834782611</v>
      </c>
      <c r="AC540" s="45">
        <f>(M540*'RAP TEMPLATE-GAS AVAILABILITY'!O539+N540*'RAP TEMPLATE-GAS AVAILABILITY'!P539+O540*'RAP TEMPLATE-GAS AVAILABILITY'!Q539+P540*'RAP TEMPLATE-GAS AVAILABILITY'!R539)/('RAP TEMPLATE-GAS AVAILABILITY'!O539+'RAP TEMPLATE-GAS AVAILABILITY'!P539+'RAP TEMPLATE-GAS AVAILABILITY'!Q539+'RAP TEMPLATE-GAS AVAILABILITY'!R539)</f>
        <v>28.091698561151077</v>
      </c>
    </row>
    <row r="541" spans="1:29" ht="15.75" x14ac:dyDescent="0.25">
      <c r="A541" s="13">
        <v>57376</v>
      </c>
      <c r="B541" s="17">
        <f>CHOOSE(CONTROL!$C$42, 30.6104, 30.6104) * CHOOSE(CONTROL!$C$21, $C$9, 100%, $E$9)</f>
        <v>30.610399999999998</v>
      </c>
      <c r="C541" s="17">
        <f>CHOOSE(CONTROL!$C$42, 30.6154, 30.6154) * CHOOSE(CONTROL!$C$21, $C$9, 100%, $E$9)</f>
        <v>30.615400000000001</v>
      </c>
      <c r="D541" s="17">
        <f>CHOOSE(CONTROL!$C$42, 30.7123, 30.7123) * CHOOSE(CONTROL!$C$21, $C$9, 100%, $E$9)</f>
        <v>30.712299999999999</v>
      </c>
      <c r="E541" s="17">
        <f>CHOOSE(CONTROL!$C$42, 30.746, 30.746) * CHOOSE(CONTROL!$C$21, $C$9, 100%, $E$9)</f>
        <v>30.745999999999999</v>
      </c>
      <c r="F541" s="17">
        <f>CHOOSE(CONTROL!$C$42, 30.6246, 30.6246)*CHOOSE(CONTROL!$C$21, $C$9, 100%, $E$9)</f>
        <v>30.624600000000001</v>
      </c>
      <c r="G541" s="17">
        <f>CHOOSE(CONTROL!$C$42, 30.641, 30.641)*CHOOSE(CONTROL!$C$21, $C$9, 100%, $E$9)</f>
        <v>30.640999999999998</v>
      </c>
      <c r="H541" s="17">
        <f>CHOOSE(CONTROL!$C$42, 30.7349, 30.7349) * CHOOSE(CONTROL!$C$21, $C$9, 100%, $E$9)</f>
        <v>30.7349</v>
      </c>
      <c r="I541" s="17">
        <f>CHOOSE(CONTROL!$C$42, 30.7303, 30.7303)* CHOOSE(CONTROL!$C$21, $C$9, 100%, $E$9)</f>
        <v>30.7303</v>
      </c>
      <c r="J541" s="17">
        <f>CHOOSE(CONTROL!$C$42, 30.6172, 30.6172)* CHOOSE(CONTROL!$C$21, $C$9, 100%, $E$9)</f>
        <v>30.6172</v>
      </c>
      <c r="K541" s="52">
        <f>CHOOSE(CONTROL!$C$42, 30.7243, 30.7243) * CHOOSE(CONTROL!$C$21, $C$9, 100%, $E$9)</f>
        <v>30.724299999999999</v>
      </c>
      <c r="L541" s="17">
        <f>CHOOSE(CONTROL!$C$42, 31.3219, 31.3219) * CHOOSE(CONTROL!$C$21, $C$9, 100%, $E$9)</f>
        <v>31.321899999999999</v>
      </c>
      <c r="M541" s="17">
        <f>CHOOSE(CONTROL!$C$42, 30.3489, 30.3489) * CHOOSE(CONTROL!$C$21, $C$9, 100%, $E$9)</f>
        <v>30.3489</v>
      </c>
      <c r="N541" s="17">
        <f>CHOOSE(CONTROL!$C$42, 30.3652, 30.3652) * CHOOSE(CONTROL!$C$21, $C$9, 100%, $E$9)</f>
        <v>30.365200000000002</v>
      </c>
      <c r="O541" s="17">
        <f>CHOOSE(CONTROL!$C$42, 30.4655, 30.4655) * CHOOSE(CONTROL!$C$21, $C$9, 100%, $E$9)</f>
        <v>30.465499999999999</v>
      </c>
      <c r="P541" s="17">
        <f>CHOOSE(CONTROL!$C$42, 30.4601, 30.4601) * CHOOSE(CONTROL!$C$21, $C$9, 100%, $E$9)</f>
        <v>30.460100000000001</v>
      </c>
      <c r="Q541" s="17">
        <f>CHOOSE(CONTROL!$C$42, 31.0602, 31.0602) * CHOOSE(CONTROL!$C$21, $C$9, 100%, $E$9)</f>
        <v>31.060199999999998</v>
      </c>
      <c r="R541" s="17">
        <f>CHOOSE(CONTROL!$C$42, 31.7249, 31.7249) * CHOOSE(CONTROL!$C$21, $C$9, 100%, $E$9)</f>
        <v>31.724900000000002</v>
      </c>
      <c r="S541" s="17">
        <f>CHOOSE(CONTROL!$C$42, 29.6734, 29.6734) * CHOOSE(CONTROL!$C$21, $C$9, 100%, $E$9)</f>
        <v>29.673400000000001</v>
      </c>
      <c r="T54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41" s="56">
        <f>(1000*CHOOSE(CONTROL!$C$42, 695, 695)*CHOOSE(CONTROL!$C$42, 0.5599, 0.5599)*CHOOSE(CONTROL!$C$42, 31, 31))/1000000</f>
        <v>12.063045499999998</v>
      </c>
      <c r="V541" s="56">
        <f>(1000*CHOOSE(CONTROL!$C$42, 500, 500)*CHOOSE(CONTROL!$C$42, 0.275, 0.275)*CHOOSE(CONTROL!$C$42, 31, 31))/1000000</f>
        <v>4.2625000000000002</v>
      </c>
      <c r="W541" s="56">
        <f>(1000*CHOOSE(CONTROL!$C$42, 0.0916, 0.0916)*CHOOSE(CONTROL!$C$42, 121.5, 121.5)*CHOOSE(CONTROL!$C$42, 31, 31))/1000000</f>
        <v>0.34501139999999997</v>
      </c>
      <c r="X541" s="56">
        <f>(31*0.2374*100000/1000000)</f>
        <v>0.73594000000000004</v>
      </c>
      <c r="Y541" s="56"/>
      <c r="Z541" s="17"/>
      <c r="AA541" s="55"/>
      <c r="AB541" s="48">
        <f>(B541*122.58+C541*297.941+D541*89.177+E541*140.302+F541*40+G541*60+H541*0+I541*100+J541*300)/(122.58+297.941+89.177+140.302+0+40+60+100+300)</f>
        <v>30.650431123913041</v>
      </c>
      <c r="AC541" s="45">
        <f>(M541*'RAP TEMPLATE-GAS AVAILABILITY'!O540+N541*'RAP TEMPLATE-GAS AVAILABILITY'!P540+O541*'RAP TEMPLATE-GAS AVAILABILITY'!Q540+P541*'RAP TEMPLATE-GAS AVAILABILITY'!R540)/('RAP TEMPLATE-GAS AVAILABILITY'!O540+'RAP TEMPLATE-GAS AVAILABILITY'!P540+'RAP TEMPLATE-GAS AVAILABILITY'!Q540+'RAP TEMPLATE-GAS AVAILABILITY'!R540)</f>
        <v>30.418685611510789</v>
      </c>
    </row>
    <row r="542" spans="1:29" ht="15.75" x14ac:dyDescent="0.25">
      <c r="A542" s="13">
        <v>57404</v>
      </c>
      <c r="B542" s="17">
        <f>CHOOSE(CONTROL!$C$42, 31.1551, 31.1551) * CHOOSE(CONTROL!$C$21, $C$9, 100%, $E$9)</f>
        <v>31.155100000000001</v>
      </c>
      <c r="C542" s="17">
        <f>CHOOSE(CONTROL!$C$42, 31.1602, 31.1602) * CHOOSE(CONTROL!$C$21, $C$9, 100%, $E$9)</f>
        <v>31.1602</v>
      </c>
      <c r="D542" s="17">
        <f>CHOOSE(CONTROL!$C$42, 31.257, 31.257) * CHOOSE(CONTROL!$C$21, $C$9, 100%, $E$9)</f>
        <v>31.257000000000001</v>
      </c>
      <c r="E542" s="17">
        <f>CHOOSE(CONTROL!$C$42, 31.2908, 31.2908) * CHOOSE(CONTROL!$C$21, $C$9, 100%, $E$9)</f>
        <v>31.290800000000001</v>
      </c>
      <c r="F542" s="17">
        <f>CHOOSE(CONTROL!$C$42, 31.1693, 31.1693)*CHOOSE(CONTROL!$C$21, $C$9, 100%, $E$9)</f>
        <v>31.1693</v>
      </c>
      <c r="G542" s="17">
        <f>CHOOSE(CONTROL!$C$42, 31.1858, 31.1858)*CHOOSE(CONTROL!$C$21, $C$9, 100%, $E$9)</f>
        <v>31.1858</v>
      </c>
      <c r="H542" s="17">
        <f>CHOOSE(CONTROL!$C$42, 31.2796, 31.2796) * CHOOSE(CONTROL!$C$21, $C$9, 100%, $E$9)</f>
        <v>31.279599999999999</v>
      </c>
      <c r="I542" s="17">
        <f>CHOOSE(CONTROL!$C$42, 31.2767, 31.2767)* CHOOSE(CONTROL!$C$21, $C$9, 100%, $E$9)</f>
        <v>31.276700000000002</v>
      </c>
      <c r="J542" s="17">
        <f>CHOOSE(CONTROL!$C$42, 31.1619, 31.1619)* CHOOSE(CONTROL!$C$21, $C$9, 100%, $E$9)</f>
        <v>31.161899999999999</v>
      </c>
      <c r="K542" s="52">
        <f>CHOOSE(CONTROL!$C$42, 31.2707, 31.2707) * CHOOSE(CONTROL!$C$21, $C$9, 100%, $E$9)</f>
        <v>31.270700000000001</v>
      </c>
      <c r="L542" s="17">
        <f>CHOOSE(CONTROL!$C$42, 31.8666, 31.8666) * CHOOSE(CONTROL!$C$21, $C$9, 100%, $E$9)</f>
        <v>31.866599999999998</v>
      </c>
      <c r="M542" s="17">
        <f>CHOOSE(CONTROL!$C$42, 30.8887, 30.8887) * CHOOSE(CONTROL!$C$21, $C$9, 100%, $E$9)</f>
        <v>30.8887</v>
      </c>
      <c r="N542" s="17">
        <f>CHOOSE(CONTROL!$C$42, 30.905, 30.905) * CHOOSE(CONTROL!$C$21, $C$9, 100%, $E$9)</f>
        <v>30.905000000000001</v>
      </c>
      <c r="O542" s="17">
        <f>CHOOSE(CONTROL!$C$42, 31.0053, 31.0053) * CHOOSE(CONTROL!$C$21, $C$9, 100%, $E$9)</f>
        <v>31.005299999999998</v>
      </c>
      <c r="P542" s="17">
        <f>CHOOSE(CONTROL!$C$42, 31.0016, 31.0016) * CHOOSE(CONTROL!$C$21, $C$9, 100%, $E$9)</f>
        <v>31.0016</v>
      </c>
      <c r="Q542" s="17">
        <f>CHOOSE(CONTROL!$C$42, 31.6, 31.6) * CHOOSE(CONTROL!$C$21, $C$9, 100%, $E$9)</f>
        <v>31.6</v>
      </c>
      <c r="R542" s="17">
        <f>CHOOSE(CONTROL!$C$42, 32.266, 32.266) * CHOOSE(CONTROL!$C$21, $C$9, 100%, $E$9)</f>
        <v>32.265999999999998</v>
      </c>
      <c r="S542" s="17">
        <f>CHOOSE(CONTROL!$C$42, 30.2016, 30.2016) * CHOOSE(CONTROL!$C$21, $C$9, 100%, $E$9)</f>
        <v>30.201599999999999</v>
      </c>
      <c r="T54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42" s="56">
        <f>(1000*CHOOSE(CONTROL!$C$42, 695, 695)*CHOOSE(CONTROL!$C$42, 0.5599, 0.5599)*CHOOSE(CONTROL!$C$42, 28, 28))/1000000</f>
        <v>10.895653999999999</v>
      </c>
      <c r="V542" s="56">
        <f>(1000*CHOOSE(CONTROL!$C$42, 500, 500)*CHOOSE(CONTROL!$C$42, 0.275, 0.275)*CHOOSE(CONTROL!$C$42, 28, 28))/1000000</f>
        <v>3.85</v>
      </c>
      <c r="W542" s="56">
        <f>(1000*CHOOSE(CONTROL!$C$42, 0.0916, 0.0916)*CHOOSE(CONTROL!$C$42, 121.5, 121.5)*CHOOSE(CONTROL!$C$42, 28, 28))/1000000</f>
        <v>0.31162319999999999</v>
      </c>
      <c r="X542" s="56">
        <f>(28*0.2374*100000/1000000)</f>
        <v>0.66471999999999998</v>
      </c>
      <c r="Y542" s="56"/>
      <c r="Z542" s="17"/>
      <c r="AA542" s="55"/>
      <c r="AB542" s="48">
        <f>(B542*122.58+C542*297.941+D542*89.177+E542*140.302+F542*40+G542*60+H542*0+I542*100+J542*300)/(122.58+297.941+89.177+140.302+0+40+60+100+300)</f>
        <v>31.195322275478262</v>
      </c>
      <c r="AC542" s="45">
        <f>(M542*'RAP TEMPLATE-GAS AVAILABILITY'!O541+N542*'RAP TEMPLATE-GAS AVAILABILITY'!P541+O542*'RAP TEMPLATE-GAS AVAILABILITY'!Q541+P542*'RAP TEMPLATE-GAS AVAILABILITY'!R541)/('RAP TEMPLATE-GAS AVAILABILITY'!O541+'RAP TEMPLATE-GAS AVAILABILITY'!P541+'RAP TEMPLATE-GAS AVAILABILITY'!Q541+'RAP TEMPLATE-GAS AVAILABILITY'!R541)</f>
        <v>30.958730215827341</v>
      </c>
    </row>
    <row r="543" spans="1:29" ht="15.75" x14ac:dyDescent="0.25">
      <c r="A543" s="13">
        <v>57435</v>
      </c>
      <c r="B543" s="17">
        <f>CHOOSE(CONTROL!$C$42, 30.2709, 30.2709) * CHOOSE(CONTROL!$C$21, $C$9, 100%, $E$9)</f>
        <v>30.270900000000001</v>
      </c>
      <c r="C543" s="17">
        <f>CHOOSE(CONTROL!$C$42, 30.276, 30.276) * CHOOSE(CONTROL!$C$21, $C$9, 100%, $E$9)</f>
        <v>30.276</v>
      </c>
      <c r="D543" s="17">
        <f>CHOOSE(CONTROL!$C$42, 30.3728, 30.3728) * CHOOSE(CONTROL!$C$21, $C$9, 100%, $E$9)</f>
        <v>30.372800000000002</v>
      </c>
      <c r="E543" s="17">
        <f>CHOOSE(CONTROL!$C$42, 30.4065, 30.4065) * CHOOSE(CONTROL!$C$21, $C$9, 100%, $E$9)</f>
        <v>30.406500000000001</v>
      </c>
      <c r="F543" s="17">
        <f>CHOOSE(CONTROL!$C$42, 30.2845, 30.2845)*CHOOSE(CONTROL!$C$21, $C$9, 100%, $E$9)</f>
        <v>30.284500000000001</v>
      </c>
      <c r="G543" s="17">
        <f>CHOOSE(CONTROL!$C$42, 30.3007, 30.3007)*CHOOSE(CONTROL!$C$21, $C$9, 100%, $E$9)</f>
        <v>30.300699999999999</v>
      </c>
      <c r="H543" s="17">
        <f>CHOOSE(CONTROL!$C$42, 30.3954, 30.3954) * CHOOSE(CONTROL!$C$21, $C$9, 100%, $E$9)</f>
        <v>30.395399999999999</v>
      </c>
      <c r="I543" s="17">
        <f>CHOOSE(CONTROL!$C$42, 30.3898, 30.3898)* CHOOSE(CONTROL!$C$21, $C$9, 100%, $E$9)</f>
        <v>30.389800000000001</v>
      </c>
      <c r="J543" s="17">
        <f>CHOOSE(CONTROL!$C$42, 30.2771, 30.2771)* CHOOSE(CONTROL!$C$21, $C$9, 100%, $E$9)</f>
        <v>30.277100000000001</v>
      </c>
      <c r="K543" s="52">
        <f>CHOOSE(CONTROL!$C$42, 30.3837, 30.3837) * CHOOSE(CONTROL!$C$21, $C$9, 100%, $E$9)</f>
        <v>30.383700000000001</v>
      </c>
      <c r="L543" s="17">
        <f>CHOOSE(CONTROL!$C$42, 30.9824, 30.9824) * CHOOSE(CONTROL!$C$21, $C$9, 100%, $E$9)</f>
        <v>30.982399999999998</v>
      </c>
      <c r="M543" s="17">
        <f>CHOOSE(CONTROL!$C$42, 30.0118, 30.0118) * CHOOSE(CONTROL!$C$21, $C$9, 100%, $E$9)</f>
        <v>30.011800000000001</v>
      </c>
      <c r="N543" s="17">
        <f>CHOOSE(CONTROL!$C$42, 30.0279, 30.0279) * CHOOSE(CONTROL!$C$21, $C$9, 100%, $E$9)</f>
        <v>30.027899999999999</v>
      </c>
      <c r="O543" s="17">
        <f>CHOOSE(CONTROL!$C$42, 30.1291, 30.1291) * CHOOSE(CONTROL!$C$21, $C$9, 100%, $E$9)</f>
        <v>30.129100000000001</v>
      </c>
      <c r="P543" s="17">
        <f>CHOOSE(CONTROL!$C$42, 30.1227, 30.1227) * CHOOSE(CONTROL!$C$21, $C$9, 100%, $E$9)</f>
        <v>30.122699999999998</v>
      </c>
      <c r="Q543" s="17">
        <f>CHOOSE(CONTROL!$C$42, 30.7238, 30.7238) * CHOOSE(CONTROL!$C$21, $C$9, 100%, $E$9)</f>
        <v>30.723800000000001</v>
      </c>
      <c r="R543" s="17">
        <f>CHOOSE(CONTROL!$C$42, 31.3876, 31.3876) * CHOOSE(CONTROL!$C$21, $C$9, 100%, $E$9)</f>
        <v>31.387599999999999</v>
      </c>
      <c r="S543" s="17">
        <f>CHOOSE(CONTROL!$C$42, 29.3441, 29.3441) * CHOOSE(CONTROL!$C$21, $C$9, 100%, $E$9)</f>
        <v>29.344100000000001</v>
      </c>
      <c r="T54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43" s="56">
        <f>(1000*CHOOSE(CONTROL!$C$42, 695, 695)*CHOOSE(CONTROL!$C$42, 0.5599, 0.5599)*CHOOSE(CONTROL!$C$42, 31, 31))/1000000</f>
        <v>12.063045499999998</v>
      </c>
      <c r="V543" s="56">
        <f>(1000*CHOOSE(CONTROL!$C$42, 500, 500)*CHOOSE(CONTROL!$C$42, 0.275, 0.275)*CHOOSE(CONTROL!$C$42, 31, 31))/1000000</f>
        <v>4.2625000000000002</v>
      </c>
      <c r="W543" s="56">
        <f>(1000*CHOOSE(CONTROL!$C$42, 0.0916, 0.0916)*CHOOSE(CONTROL!$C$42, 121.5, 121.5)*CHOOSE(CONTROL!$C$42, 31, 31))/1000000</f>
        <v>0.34501139999999997</v>
      </c>
      <c r="X543" s="56">
        <f>(31*0.2374*100000/1000000)</f>
        <v>0.73594000000000004</v>
      </c>
      <c r="Y543" s="56"/>
      <c r="Z543" s="17"/>
      <c r="AA543" s="55"/>
      <c r="AB543" s="48">
        <f>(B543*122.58+C543*297.941+D543*89.177+E543*140.302+F543*40+G543*60+H543*0+I543*100+J543*300)/(122.58+297.941+89.177+140.302+0+40+60+100+300)</f>
        <v>30.310650944869572</v>
      </c>
      <c r="AC543" s="45">
        <f>(M543*'RAP TEMPLATE-GAS AVAILABILITY'!O542+N543*'RAP TEMPLATE-GAS AVAILABILITY'!P542+O543*'RAP TEMPLATE-GAS AVAILABILITY'!Q542+P543*'RAP TEMPLATE-GAS AVAILABILITY'!R542)/('RAP TEMPLATE-GAS AVAILABILITY'!O542+'RAP TEMPLATE-GAS AVAILABILITY'!P542+'RAP TEMPLATE-GAS AVAILABILITY'!Q542+'RAP TEMPLATE-GAS AVAILABILITY'!R542)</f>
        <v>30.081848201438856</v>
      </c>
    </row>
    <row r="544" spans="1:29" ht="15.75" x14ac:dyDescent="0.25">
      <c r="A544" s="13">
        <v>57465</v>
      </c>
      <c r="B544" s="17">
        <f>CHOOSE(CONTROL!$C$42, 30.1813, 30.1813) * CHOOSE(CONTROL!$C$21, $C$9, 100%, $E$9)</f>
        <v>30.1813</v>
      </c>
      <c r="C544" s="17">
        <f>CHOOSE(CONTROL!$C$42, 30.1858, 30.1858) * CHOOSE(CONTROL!$C$21, $C$9, 100%, $E$9)</f>
        <v>30.1858</v>
      </c>
      <c r="D544" s="17">
        <f>CHOOSE(CONTROL!$C$42, 30.4333, 30.4333) * CHOOSE(CONTROL!$C$21, $C$9, 100%, $E$9)</f>
        <v>30.433299999999999</v>
      </c>
      <c r="E544" s="17">
        <f>CHOOSE(CONTROL!$C$42, 30.4651, 30.4651) * CHOOSE(CONTROL!$C$21, $C$9, 100%, $E$9)</f>
        <v>30.4651</v>
      </c>
      <c r="F544" s="17">
        <f>CHOOSE(CONTROL!$C$42, 30.1929, 30.1929)*CHOOSE(CONTROL!$C$21, $C$9, 100%, $E$9)</f>
        <v>30.192900000000002</v>
      </c>
      <c r="G544" s="17">
        <f>CHOOSE(CONTROL!$C$42, 30.2088, 30.2088)*CHOOSE(CONTROL!$C$21, $C$9, 100%, $E$9)</f>
        <v>30.2088</v>
      </c>
      <c r="H544" s="17">
        <f>CHOOSE(CONTROL!$C$42, 30.4546, 30.4546) * CHOOSE(CONTROL!$C$21, $C$9, 100%, $E$9)</f>
        <v>30.454599999999999</v>
      </c>
      <c r="I544" s="17">
        <f>CHOOSE(CONTROL!$C$42, 30.2975, 30.2975)* CHOOSE(CONTROL!$C$21, $C$9, 100%, $E$9)</f>
        <v>30.297499999999999</v>
      </c>
      <c r="J544" s="17">
        <f>CHOOSE(CONTROL!$C$42, 30.1855, 30.1855)* CHOOSE(CONTROL!$C$21, $C$9, 100%, $E$9)</f>
        <v>30.185500000000001</v>
      </c>
      <c r="K544" s="52">
        <f>CHOOSE(CONTROL!$C$42, 30.2915, 30.2915) * CHOOSE(CONTROL!$C$21, $C$9, 100%, $E$9)</f>
        <v>30.291499999999999</v>
      </c>
      <c r="L544" s="17">
        <f>CHOOSE(CONTROL!$C$42, 31.0416, 31.0416) * CHOOSE(CONTROL!$C$21, $C$9, 100%, $E$9)</f>
        <v>31.041599999999999</v>
      </c>
      <c r="M544" s="17">
        <f>CHOOSE(CONTROL!$C$42, 29.921, 29.921) * CHOOSE(CONTROL!$C$21, $C$9, 100%, $E$9)</f>
        <v>29.920999999999999</v>
      </c>
      <c r="N544" s="17">
        <f>CHOOSE(CONTROL!$C$42, 29.9368, 29.9368) * CHOOSE(CONTROL!$C$21, $C$9, 100%, $E$9)</f>
        <v>29.936800000000002</v>
      </c>
      <c r="O544" s="17">
        <f>CHOOSE(CONTROL!$C$42, 30.1877, 30.1877) * CHOOSE(CONTROL!$C$21, $C$9, 100%, $E$9)</f>
        <v>30.1877</v>
      </c>
      <c r="P544" s="17">
        <f>CHOOSE(CONTROL!$C$42, 30.0313, 30.0313) * CHOOSE(CONTROL!$C$21, $C$9, 100%, $E$9)</f>
        <v>30.031300000000002</v>
      </c>
      <c r="Q544" s="17">
        <f>CHOOSE(CONTROL!$C$42, 30.7824, 30.7824) * CHOOSE(CONTROL!$C$21, $C$9, 100%, $E$9)</f>
        <v>30.782399999999999</v>
      </c>
      <c r="R544" s="17">
        <f>CHOOSE(CONTROL!$C$42, 31.4463, 31.4463) * CHOOSE(CONTROL!$C$21, $C$9, 100%, $E$9)</f>
        <v>31.446300000000001</v>
      </c>
      <c r="S544" s="17">
        <f>CHOOSE(CONTROL!$C$42, 29.2565, 29.2565) * CHOOSE(CONTROL!$C$21, $C$9, 100%, $E$9)</f>
        <v>29.256499999999999</v>
      </c>
      <c r="T54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44" s="56">
        <f>(1000*CHOOSE(CONTROL!$C$42, 695, 695)*CHOOSE(CONTROL!$C$42, 0.5599, 0.5599)*CHOOSE(CONTROL!$C$42, 30, 30))/1000000</f>
        <v>11.673914999999997</v>
      </c>
      <c r="V544" s="56">
        <f>(1000*CHOOSE(CONTROL!$C$42, 500, 500)*CHOOSE(CONTROL!$C$42, 0.275, 0.275)*CHOOSE(CONTROL!$C$42, 30, 30))/1000000</f>
        <v>4.125</v>
      </c>
      <c r="W544" s="56">
        <f>(1000*CHOOSE(CONTROL!$C$42, 0.0916, 0.0916)*CHOOSE(CONTROL!$C$42, 121.5, 121.5)*CHOOSE(CONTROL!$C$42, 30, 30))/1000000</f>
        <v>0.33388200000000001</v>
      </c>
      <c r="X544" s="56">
        <f>(30*0.1790888*145000/1000000)+(30*0.2374*100000/1000000)</f>
        <v>1.4912362799999999</v>
      </c>
      <c r="Y544" s="56"/>
      <c r="Z544" s="17"/>
      <c r="AA544" s="55"/>
      <c r="AB544" s="48">
        <f>(B544*141.293+C544*267.993+D544*115.016+E544*189.698+F544*40+G544*85+H544*0+I544*100+J544*300)/(141.293+267.993+115.016+189.698+0+40+85+100+300)</f>
        <v>30.26177440912026</v>
      </c>
      <c r="AC544" s="45">
        <f>(M544*'RAP TEMPLATE-GAS AVAILABILITY'!O543+N544*'RAP TEMPLATE-GAS AVAILABILITY'!P543+O544*'RAP TEMPLATE-GAS AVAILABILITY'!Q543+P544*'RAP TEMPLATE-GAS AVAILABILITY'!R543)/('RAP TEMPLATE-GAS AVAILABILITY'!O543+'RAP TEMPLATE-GAS AVAILABILITY'!P543+'RAP TEMPLATE-GAS AVAILABILITY'!Q543+'RAP TEMPLATE-GAS AVAILABILITY'!R543)</f>
        <v>30.015337410071943</v>
      </c>
    </row>
    <row r="545" spans="1:29" ht="15.75" x14ac:dyDescent="0.25">
      <c r="A545" s="13">
        <v>57496</v>
      </c>
      <c r="B545" s="17">
        <f>CHOOSE(CONTROL!$C$42, 30.4489, 30.4489) * CHOOSE(CONTROL!$C$21, $C$9, 100%, $E$9)</f>
        <v>30.448899999999998</v>
      </c>
      <c r="C545" s="17">
        <f>CHOOSE(CONTROL!$C$42, 30.4569, 30.4569) * CHOOSE(CONTROL!$C$21, $C$9, 100%, $E$9)</f>
        <v>30.456900000000001</v>
      </c>
      <c r="D545" s="17">
        <f>CHOOSE(CONTROL!$C$42, 30.7014, 30.7014) * CHOOSE(CONTROL!$C$21, $C$9, 100%, $E$9)</f>
        <v>30.7014</v>
      </c>
      <c r="E545" s="17">
        <f>CHOOSE(CONTROL!$C$42, 30.7325, 30.7325) * CHOOSE(CONTROL!$C$21, $C$9, 100%, $E$9)</f>
        <v>30.732500000000002</v>
      </c>
      <c r="F545" s="17">
        <f>CHOOSE(CONTROL!$C$42, 30.4594, 30.4594)*CHOOSE(CONTROL!$C$21, $C$9, 100%, $E$9)</f>
        <v>30.459399999999999</v>
      </c>
      <c r="G545" s="17">
        <f>CHOOSE(CONTROL!$C$42, 30.4757, 30.4757)*CHOOSE(CONTROL!$C$21, $C$9, 100%, $E$9)</f>
        <v>30.4757</v>
      </c>
      <c r="H545" s="17">
        <f>CHOOSE(CONTROL!$C$42, 30.7209, 30.7209) * CHOOSE(CONTROL!$C$21, $C$9, 100%, $E$9)</f>
        <v>30.7209</v>
      </c>
      <c r="I545" s="17">
        <f>CHOOSE(CONTROL!$C$42, 30.5647, 30.5647)* CHOOSE(CONTROL!$C$21, $C$9, 100%, $E$9)</f>
        <v>30.564699999999998</v>
      </c>
      <c r="J545" s="17">
        <f>CHOOSE(CONTROL!$C$42, 30.452, 30.452)* CHOOSE(CONTROL!$C$21, $C$9, 100%, $E$9)</f>
        <v>30.452000000000002</v>
      </c>
      <c r="K545" s="52">
        <f>CHOOSE(CONTROL!$C$42, 30.5586, 30.5586) * CHOOSE(CONTROL!$C$21, $C$9, 100%, $E$9)</f>
        <v>30.558599999999998</v>
      </c>
      <c r="L545" s="17">
        <f>CHOOSE(CONTROL!$C$42, 31.3079, 31.3079) * CHOOSE(CONTROL!$C$21, $C$9, 100%, $E$9)</f>
        <v>31.3079</v>
      </c>
      <c r="M545" s="17">
        <f>CHOOSE(CONTROL!$C$42, 30.1852, 30.1852) * CHOOSE(CONTROL!$C$21, $C$9, 100%, $E$9)</f>
        <v>30.185199999999998</v>
      </c>
      <c r="N545" s="17">
        <f>CHOOSE(CONTROL!$C$42, 30.2013, 30.2013) * CHOOSE(CONTROL!$C$21, $C$9, 100%, $E$9)</f>
        <v>30.2013</v>
      </c>
      <c r="O545" s="17">
        <f>CHOOSE(CONTROL!$C$42, 30.4516, 30.4516) * CHOOSE(CONTROL!$C$21, $C$9, 100%, $E$9)</f>
        <v>30.451599999999999</v>
      </c>
      <c r="P545" s="17">
        <f>CHOOSE(CONTROL!$C$42, 30.296, 30.296) * CHOOSE(CONTROL!$C$21, $C$9, 100%, $E$9)</f>
        <v>30.295999999999999</v>
      </c>
      <c r="Q545" s="17">
        <f>CHOOSE(CONTROL!$C$42, 31.0463, 31.0463) * CHOOSE(CONTROL!$C$21, $C$9, 100%, $E$9)</f>
        <v>31.046299999999999</v>
      </c>
      <c r="R545" s="17">
        <f>CHOOSE(CONTROL!$C$42, 31.7109, 31.7109) * CHOOSE(CONTROL!$C$21, $C$9, 100%, $E$9)</f>
        <v>31.710899999999999</v>
      </c>
      <c r="S545" s="17">
        <f>CHOOSE(CONTROL!$C$42, 29.5147, 29.5147) * CHOOSE(CONTROL!$C$21, $C$9, 100%, $E$9)</f>
        <v>29.514700000000001</v>
      </c>
      <c r="T54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45" s="56">
        <f>(1000*CHOOSE(CONTROL!$C$42, 695, 695)*CHOOSE(CONTROL!$C$42, 0.5599, 0.5599)*CHOOSE(CONTROL!$C$42, 31, 31))/1000000</f>
        <v>12.063045499999998</v>
      </c>
      <c r="V545" s="56">
        <f>(1000*CHOOSE(CONTROL!$C$42, 500, 500)*CHOOSE(CONTROL!$C$42, 0.275, 0.275)*CHOOSE(CONTROL!$C$42, 31, 31))/1000000</f>
        <v>4.2625000000000002</v>
      </c>
      <c r="W545" s="56">
        <f>(1000*CHOOSE(CONTROL!$C$42, 0.0916, 0.0916)*CHOOSE(CONTROL!$C$42, 121.5, 121.5)*CHOOSE(CONTROL!$C$42, 31, 31))/1000000</f>
        <v>0.34501139999999997</v>
      </c>
      <c r="X545" s="56">
        <f>(31*0.1790888*145000/1000000)+(31*0.2374*100000/1000000)</f>
        <v>1.5409441560000001</v>
      </c>
      <c r="Y545" s="56"/>
      <c r="Z545" s="17"/>
      <c r="AA545" s="55"/>
      <c r="AB545" s="48">
        <f>(B545*194.205+C545*267.466+D545*133.845+E545*153.484+F545*40+G545*85+H545*0+I545*100+J545*300)/(194.205+267.466+133.845+153.484+0+40+85+100+300)</f>
        <v>30.523210559576142</v>
      </c>
      <c r="AC545" s="45">
        <f>(M545*'RAP TEMPLATE-GAS AVAILABILITY'!O544+N545*'RAP TEMPLATE-GAS AVAILABILITY'!P544+O545*'RAP TEMPLATE-GAS AVAILABILITY'!Q544+P545*'RAP TEMPLATE-GAS AVAILABILITY'!R544)/('RAP TEMPLATE-GAS AVAILABILITY'!O544+'RAP TEMPLATE-GAS AVAILABILITY'!P544+'RAP TEMPLATE-GAS AVAILABILITY'!Q544+'RAP TEMPLATE-GAS AVAILABILITY'!R544)</f>
        <v>30.279594244604315</v>
      </c>
    </row>
    <row r="546" spans="1:29" ht="15.75" x14ac:dyDescent="0.25">
      <c r="A546" s="13">
        <v>57526</v>
      </c>
      <c r="B546" s="17">
        <f>CHOOSE(CONTROL!$C$42, 31.3123, 31.3123) * CHOOSE(CONTROL!$C$21, $C$9, 100%, $E$9)</f>
        <v>31.3123</v>
      </c>
      <c r="C546" s="17">
        <f>CHOOSE(CONTROL!$C$42, 31.3202, 31.3202) * CHOOSE(CONTROL!$C$21, $C$9, 100%, $E$9)</f>
        <v>31.3202</v>
      </c>
      <c r="D546" s="17">
        <f>CHOOSE(CONTROL!$C$42, 31.5647, 31.5647) * CHOOSE(CONTROL!$C$21, $C$9, 100%, $E$9)</f>
        <v>31.564699999999998</v>
      </c>
      <c r="E546" s="17">
        <f>CHOOSE(CONTROL!$C$42, 31.5959, 31.5959) * CHOOSE(CONTROL!$C$21, $C$9, 100%, $E$9)</f>
        <v>31.5959</v>
      </c>
      <c r="F546" s="17">
        <f>CHOOSE(CONTROL!$C$42, 31.3231, 31.3231)*CHOOSE(CONTROL!$C$21, $C$9, 100%, $E$9)</f>
        <v>31.3231</v>
      </c>
      <c r="G546" s="17">
        <f>CHOOSE(CONTROL!$C$42, 31.3395, 31.3395)*CHOOSE(CONTROL!$C$21, $C$9, 100%, $E$9)</f>
        <v>31.339500000000001</v>
      </c>
      <c r="H546" s="17">
        <f>CHOOSE(CONTROL!$C$42, 31.5842, 31.5842) * CHOOSE(CONTROL!$C$21, $C$9, 100%, $E$9)</f>
        <v>31.584199999999999</v>
      </c>
      <c r="I546" s="17">
        <f>CHOOSE(CONTROL!$C$42, 31.4307, 31.4307)* CHOOSE(CONTROL!$C$21, $C$9, 100%, $E$9)</f>
        <v>31.430700000000002</v>
      </c>
      <c r="J546" s="17">
        <f>CHOOSE(CONTROL!$C$42, 31.3157, 31.3157)* CHOOSE(CONTROL!$C$21, $C$9, 100%, $E$9)</f>
        <v>31.3157</v>
      </c>
      <c r="K546" s="52">
        <f>CHOOSE(CONTROL!$C$42, 31.4247, 31.4247) * CHOOSE(CONTROL!$C$21, $C$9, 100%, $E$9)</f>
        <v>31.424700000000001</v>
      </c>
      <c r="L546" s="17">
        <f>CHOOSE(CONTROL!$C$42, 32.1712, 32.1712) * CHOOSE(CONTROL!$C$21, $C$9, 100%, $E$9)</f>
        <v>32.171199999999999</v>
      </c>
      <c r="M546" s="17">
        <f>CHOOSE(CONTROL!$C$42, 31.0411, 31.0411) * CHOOSE(CONTROL!$C$21, $C$9, 100%, $E$9)</f>
        <v>31.0411</v>
      </c>
      <c r="N546" s="17">
        <f>CHOOSE(CONTROL!$C$42, 31.0573, 31.0573) * CHOOSE(CONTROL!$C$21, $C$9, 100%, $E$9)</f>
        <v>31.057300000000001</v>
      </c>
      <c r="O546" s="17">
        <f>CHOOSE(CONTROL!$C$42, 31.3072, 31.3072) * CHOOSE(CONTROL!$C$21, $C$9, 100%, $E$9)</f>
        <v>31.307200000000002</v>
      </c>
      <c r="P546" s="17">
        <f>CHOOSE(CONTROL!$C$42, 31.1542, 31.1542) * CHOOSE(CONTROL!$C$21, $C$9, 100%, $E$9)</f>
        <v>31.154199999999999</v>
      </c>
      <c r="Q546" s="17">
        <f>CHOOSE(CONTROL!$C$42, 31.9019, 31.9019) * CHOOSE(CONTROL!$C$21, $C$9, 100%, $E$9)</f>
        <v>31.901900000000001</v>
      </c>
      <c r="R546" s="17">
        <f>CHOOSE(CONTROL!$C$42, 32.5686, 32.5686) * CHOOSE(CONTROL!$C$21, $C$9, 100%, $E$9)</f>
        <v>32.568600000000004</v>
      </c>
      <c r="S546" s="17">
        <f>CHOOSE(CONTROL!$C$42, 30.3519, 30.3519) * CHOOSE(CONTROL!$C$21, $C$9, 100%, $E$9)</f>
        <v>30.351900000000001</v>
      </c>
      <c r="T54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46" s="56">
        <f>(1000*CHOOSE(CONTROL!$C$42, 695, 695)*CHOOSE(CONTROL!$C$42, 0.5599, 0.5599)*CHOOSE(CONTROL!$C$42, 30, 30))/1000000</f>
        <v>11.673914999999997</v>
      </c>
      <c r="V546" s="56">
        <f>(1000*CHOOSE(CONTROL!$C$42, 500, 500)*CHOOSE(CONTROL!$C$42, 0.275, 0.275)*CHOOSE(CONTROL!$C$42, 30, 30))/1000000</f>
        <v>4.125</v>
      </c>
      <c r="W546" s="56">
        <f>(1000*CHOOSE(CONTROL!$C$42, 0.0916, 0.0916)*CHOOSE(CONTROL!$C$42, 121.5, 121.5)*CHOOSE(CONTROL!$C$42, 30, 30))/1000000</f>
        <v>0.33388200000000001</v>
      </c>
      <c r="X546" s="56">
        <f>(30*0.1790888*145000/1000000)+(30*0.2374*100000/1000000)</f>
        <v>1.4912362799999999</v>
      </c>
      <c r="Y546" s="56"/>
      <c r="Z546" s="17"/>
      <c r="AA546" s="55"/>
      <c r="AB546" s="48">
        <f>(B546*194.205+C546*267.466+D546*133.845+E546*153.484+F546*40+G546*85+H546*0+I546*100+J546*300)/(194.205+267.466+133.845+153.484+0+40+85+100+300)</f>
        <v>31.386889891522763</v>
      </c>
      <c r="AC546" s="45">
        <f>(M546*'RAP TEMPLATE-GAS AVAILABILITY'!O545+N546*'RAP TEMPLATE-GAS AVAILABILITY'!P545+O546*'RAP TEMPLATE-GAS AVAILABILITY'!Q545+P546*'RAP TEMPLATE-GAS AVAILABILITY'!R545)/('RAP TEMPLATE-GAS AVAILABILITY'!O545+'RAP TEMPLATE-GAS AVAILABILITY'!P545+'RAP TEMPLATE-GAS AVAILABILITY'!Q545+'RAP TEMPLATE-GAS AVAILABILITY'!R545)</f>
        <v>31.135764028776979</v>
      </c>
    </row>
    <row r="547" spans="1:29" ht="15.75" x14ac:dyDescent="0.25">
      <c r="A547" s="13">
        <v>57557</v>
      </c>
      <c r="B547" s="17">
        <f>CHOOSE(CONTROL!$C$42, 30.7118, 30.7118) * CHOOSE(CONTROL!$C$21, $C$9, 100%, $E$9)</f>
        <v>30.7118</v>
      </c>
      <c r="C547" s="17">
        <f>CHOOSE(CONTROL!$C$42, 30.7198, 30.7198) * CHOOSE(CONTROL!$C$21, $C$9, 100%, $E$9)</f>
        <v>30.719799999999999</v>
      </c>
      <c r="D547" s="17">
        <f>CHOOSE(CONTROL!$C$42, 30.9642, 30.9642) * CHOOSE(CONTROL!$C$21, $C$9, 100%, $E$9)</f>
        <v>30.964200000000002</v>
      </c>
      <c r="E547" s="17">
        <f>CHOOSE(CONTROL!$C$42, 30.9954, 30.9954) * CHOOSE(CONTROL!$C$21, $C$9, 100%, $E$9)</f>
        <v>30.9954</v>
      </c>
      <c r="F547" s="17">
        <f>CHOOSE(CONTROL!$C$42, 30.7231, 30.7231)*CHOOSE(CONTROL!$C$21, $C$9, 100%, $E$9)</f>
        <v>30.723099999999999</v>
      </c>
      <c r="G547" s="17">
        <f>CHOOSE(CONTROL!$C$42, 30.7396, 30.7396)*CHOOSE(CONTROL!$C$21, $C$9, 100%, $E$9)</f>
        <v>30.739599999999999</v>
      </c>
      <c r="H547" s="17">
        <f>CHOOSE(CONTROL!$C$42, 30.9837, 30.9837) * CHOOSE(CONTROL!$C$21, $C$9, 100%, $E$9)</f>
        <v>30.983699999999999</v>
      </c>
      <c r="I547" s="17">
        <f>CHOOSE(CONTROL!$C$42, 30.8284, 30.8284)* CHOOSE(CONTROL!$C$21, $C$9, 100%, $E$9)</f>
        <v>30.828399999999998</v>
      </c>
      <c r="J547" s="17">
        <f>CHOOSE(CONTROL!$C$42, 30.7157, 30.7157)* CHOOSE(CONTROL!$C$21, $C$9, 100%, $E$9)</f>
        <v>30.715699999999998</v>
      </c>
      <c r="K547" s="52">
        <f>CHOOSE(CONTROL!$C$42, 30.8223, 30.8223) * CHOOSE(CONTROL!$C$21, $C$9, 100%, $E$9)</f>
        <v>30.822299999999998</v>
      </c>
      <c r="L547" s="17">
        <f>CHOOSE(CONTROL!$C$42, 31.5707, 31.5707) * CHOOSE(CONTROL!$C$21, $C$9, 100%, $E$9)</f>
        <v>31.570699999999999</v>
      </c>
      <c r="M547" s="17">
        <f>CHOOSE(CONTROL!$C$42, 30.4465, 30.4465) * CHOOSE(CONTROL!$C$21, $C$9, 100%, $E$9)</f>
        <v>30.4465</v>
      </c>
      <c r="N547" s="17">
        <f>CHOOSE(CONTROL!$C$42, 30.4628, 30.4628) * CHOOSE(CONTROL!$C$21, $C$9, 100%, $E$9)</f>
        <v>30.462800000000001</v>
      </c>
      <c r="O547" s="17">
        <f>CHOOSE(CONTROL!$C$42, 30.7121, 30.7121) * CHOOSE(CONTROL!$C$21, $C$9, 100%, $E$9)</f>
        <v>30.7121</v>
      </c>
      <c r="P547" s="17">
        <f>CHOOSE(CONTROL!$C$42, 30.5573, 30.5573) * CHOOSE(CONTROL!$C$21, $C$9, 100%, $E$9)</f>
        <v>30.557300000000001</v>
      </c>
      <c r="Q547" s="17">
        <f>CHOOSE(CONTROL!$C$42, 31.3068, 31.3068) * CHOOSE(CONTROL!$C$21, $C$9, 100%, $E$9)</f>
        <v>31.306799999999999</v>
      </c>
      <c r="R547" s="17">
        <f>CHOOSE(CONTROL!$C$42, 31.9721, 31.9721) * CHOOSE(CONTROL!$C$21, $C$9, 100%, $E$9)</f>
        <v>31.972100000000001</v>
      </c>
      <c r="S547" s="17">
        <f>CHOOSE(CONTROL!$C$42, 29.7696, 29.7696) * CHOOSE(CONTROL!$C$21, $C$9, 100%, $E$9)</f>
        <v>29.769600000000001</v>
      </c>
      <c r="T54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47" s="56">
        <f>(1000*CHOOSE(CONTROL!$C$42, 695, 695)*CHOOSE(CONTROL!$C$42, 0.5599, 0.5599)*CHOOSE(CONTROL!$C$42, 31, 31))/1000000</f>
        <v>12.063045499999998</v>
      </c>
      <c r="V547" s="56">
        <f>(1000*CHOOSE(CONTROL!$C$42, 500, 500)*CHOOSE(CONTROL!$C$42, 0.275, 0.275)*CHOOSE(CONTROL!$C$42, 31, 31))/1000000</f>
        <v>4.2625000000000002</v>
      </c>
      <c r="W547" s="56">
        <f>(1000*CHOOSE(CONTROL!$C$42, 0.0916, 0.0916)*CHOOSE(CONTROL!$C$42, 121.5, 121.5)*CHOOSE(CONTROL!$C$42, 31, 31))/1000000</f>
        <v>0.34501139999999997</v>
      </c>
      <c r="X547" s="56">
        <f>(31*0.1790888*145000/1000000)+(31*0.2374*100000/1000000)</f>
        <v>1.5409441560000001</v>
      </c>
      <c r="Y547" s="56"/>
      <c r="Z547" s="17"/>
      <c r="AA547" s="55"/>
      <c r="AB547" s="48">
        <f>(B547*194.205+C547*267.466+D547*133.845+E547*153.484+F547*40+G547*85+H547*0+I547*100+J547*300)/(194.205+267.466+133.845+153.484+0+40+85+100+300)</f>
        <v>30.786443067817899</v>
      </c>
      <c r="AC547" s="45">
        <f>(M547*'RAP TEMPLATE-GAS AVAILABILITY'!O546+N547*'RAP TEMPLATE-GAS AVAILABILITY'!P546+O547*'RAP TEMPLATE-GAS AVAILABILITY'!Q546+P547*'RAP TEMPLATE-GAS AVAILABILITY'!R546)/('RAP TEMPLATE-GAS AVAILABILITY'!O546+'RAP TEMPLATE-GAS AVAILABILITY'!P546+'RAP TEMPLATE-GAS AVAILABILITY'!Q546+'RAP TEMPLATE-GAS AVAILABILITY'!R546)</f>
        <v>30.540715827338129</v>
      </c>
    </row>
    <row r="548" spans="1:29" ht="15.75" x14ac:dyDescent="0.25">
      <c r="A548" s="13">
        <v>57588</v>
      </c>
      <c r="B548" s="17">
        <f>CHOOSE(CONTROL!$C$42, 29.1954, 29.1954) * CHOOSE(CONTROL!$C$21, $C$9, 100%, $E$9)</f>
        <v>29.195399999999999</v>
      </c>
      <c r="C548" s="17">
        <f>CHOOSE(CONTROL!$C$42, 29.2034, 29.2034) * CHOOSE(CONTROL!$C$21, $C$9, 100%, $E$9)</f>
        <v>29.203399999999998</v>
      </c>
      <c r="D548" s="17">
        <f>CHOOSE(CONTROL!$C$42, 29.4479, 29.4479) * CHOOSE(CONTROL!$C$21, $C$9, 100%, $E$9)</f>
        <v>29.447900000000001</v>
      </c>
      <c r="E548" s="17">
        <f>CHOOSE(CONTROL!$C$42, 29.479, 29.479) * CHOOSE(CONTROL!$C$21, $C$9, 100%, $E$9)</f>
        <v>29.478999999999999</v>
      </c>
      <c r="F548" s="17">
        <f>CHOOSE(CONTROL!$C$42, 29.207, 29.207)*CHOOSE(CONTROL!$C$21, $C$9, 100%, $E$9)</f>
        <v>29.207000000000001</v>
      </c>
      <c r="G548" s="17">
        <f>CHOOSE(CONTROL!$C$42, 29.2235, 29.2235)*CHOOSE(CONTROL!$C$21, $C$9, 100%, $E$9)</f>
        <v>29.223500000000001</v>
      </c>
      <c r="H548" s="17">
        <f>CHOOSE(CONTROL!$C$42, 29.4674, 29.4674) * CHOOSE(CONTROL!$C$21, $C$9, 100%, $E$9)</f>
        <v>29.467400000000001</v>
      </c>
      <c r="I548" s="17">
        <f>CHOOSE(CONTROL!$C$42, 29.3073, 29.3073)* CHOOSE(CONTROL!$C$21, $C$9, 100%, $E$9)</f>
        <v>29.307300000000001</v>
      </c>
      <c r="J548" s="17">
        <f>CHOOSE(CONTROL!$C$42, 29.1996, 29.1996)* CHOOSE(CONTROL!$C$21, $C$9, 100%, $E$9)</f>
        <v>29.1996</v>
      </c>
      <c r="K548" s="52">
        <f>CHOOSE(CONTROL!$C$42, 29.3012, 29.3012) * CHOOSE(CONTROL!$C$21, $C$9, 100%, $E$9)</f>
        <v>29.301200000000001</v>
      </c>
      <c r="L548" s="17">
        <f>CHOOSE(CONTROL!$C$42, 30.0544, 30.0544) * CHOOSE(CONTROL!$C$21, $C$9, 100%, $E$9)</f>
        <v>30.054400000000001</v>
      </c>
      <c r="M548" s="17">
        <f>CHOOSE(CONTROL!$C$42, 28.944, 28.944) * CHOOSE(CONTROL!$C$21, $C$9, 100%, $E$9)</f>
        <v>28.943999999999999</v>
      </c>
      <c r="N548" s="17">
        <f>CHOOSE(CONTROL!$C$42, 28.9603, 28.9603) * CHOOSE(CONTROL!$C$21, $C$9, 100%, $E$9)</f>
        <v>28.9603</v>
      </c>
      <c r="O548" s="17">
        <f>CHOOSE(CONTROL!$C$42, 29.2094, 29.2094) * CHOOSE(CONTROL!$C$21, $C$9, 100%, $E$9)</f>
        <v>29.209399999999999</v>
      </c>
      <c r="P548" s="17">
        <f>CHOOSE(CONTROL!$C$42, 29.0499, 29.0499) * CHOOSE(CONTROL!$C$21, $C$9, 100%, $E$9)</f>
        <v>29.049900000000001</v>
      </c>
      <c r="Q548" s="17">
        <f>CHOOSE(CONTROL!$C$42, 29.8041, 29.8041) * CHOOSE(CONTROL!$C$21, $C$9, 100%, $E$9)</f>
        <v>29.804099999999998</v>
      </c>
      <c r="R548" s="17">
        <f>CHOOSE(CONTROL!$C$42, 30.4656, 30.4656) * CHOOSE(CONTROL!$C$21, $C$9, 100%, $E$9)</f>
        <v>30.465599999999998</v>
      </c>
      <c r="S548" s="17">
        <f>CHOOSE(CONTROL!$C$42, 28.2992, 28.2992) * CHOOSE(CONTROL!$C$21, $C$9, 100%, $E$9)</f>
        <v>28.299199999999999</v>
      </c>
      <c r="T54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48" s="56">
        <f>(1000*CHOOSE(CONTROL!$C$42, 695, 695)*CHOOSE(CONTROL!$C$42, 0.5599, 0.5599)*CHOOSE(CONTROL!$C$42, 31, 31))/1000000</f>
        <v>12.063045499999998</v>
      </c>
      <c r="V548" s="56">
        <f>(1000*CHOOSE(CONTROL!$C$42, 500, 500)*CHOOSE(CONTROL!$C$42, 0.275, 0.275)*CHOOSE(CONTROL!$C$42, 31, 31))/1000000</f>
        <v>4.2625000000000002</v>
      </c>
      <c r="W548" s="56">
        <f>(1000*CHOOSE(CONTROL!$C$42, 0.0916, 0.0916)*CHOOSE(CONTROL!$C$42, 121.5, 121.5)*CHOOSE(CONTROL!$C$42, 31, 31))/1000000</f>
        <v>0.34501139999999997</v>
      </c>
      <c r="X548" s="56">
        <f>(31*0.1790888*145000/1000000)+(31*0.2374*100000/1000000)</f>
        <v>1.5409441560000001</v>
      </c>
      <c r="Y548" s="56"/>
      <c r="Z548" s="17"/>
      <c r="AA548" s="55"/>
      <c r="AB548" s="48">
        <f>(B548*194.205+C548*267.466+D548*133.845+E548*153.484+F548*40+G548*85+H548*0+I548*100+J548*300)/(194.205+267.466+133.845+153.484+0+40+85+100+300)</f>
        <v>29.269784735400314</v>
      </c>
      <c r="AC548" s="45">
        <f>(M548*'RAP TEMPLATE-GAS AVAILABILITY'!O547+N548*'RAP TEMPLATE-GAS AVAILABILITY'!P547+O548*'RAP TEMPLATE-GAS AVAILABILITY'!Q547+P548*'RAP TEMPLATE-GAS AVAILABILITY'!R547)/('RAP TEMPLATE-GAS AVAILABILITY'!O547+'RAP TEMPLATE-GAS AVAILABILITY'!P547+'RAP TEMPLATE-GAS AVAILABILITY'!Q547+'RAP TEMPLATE-GAS AVAILABILITY'!R547)</f>
        <v>29.037454676258992</v>
      </c>
    </row>
    <row r="549" spans="1:29" ht="15.75" x14ac:dyDescent="0.25">
      <c r="A549" s="13">
        <v>57618</v>
      </c>
      <c r="B549" s="17">
        <f>CHOOSE(CONTROL!$C$42, 27.3424, 27.3424) * CHOOSE(CONTROL!$C$21, $C$9, 100%, $E$9)</f>
        <v>27.342400000000001</v>
      </c>
      <c r="C549" s="17">
        <f>CHOOSE(CONTROL!$C$42, 27.3504, 27.3504) * CHOOSE(CONTROL!$C$21, $C$9, 100%, $E$9)</f>
        <v>27.3504</v>
      </c>
      <c r="D549" s="17">
        <f>CHOOSE(CONTROL!$C$42, 27.5949, 27.5949) * CHOOSE(CONTROL!$C$21, $C$9, 100%, $E$9)</f>
        <v>27.594899999999999</v>
      </c>
      <c r="E549" s="17">
        <f>CHOOSE(CONTROL!$C$42, 27.6261, 27.6261) * CHOOSE(CONTROL!$C$21, $C$9, 100%, $E$9)</f>
        <v>27.626100000000001</v>
      </c>
      <c r="F549" s="17">
        <f>CHOOSE(CONTROL!$C$42, 27.3541, 27.3541)*CHOOSE(CONTROL!$C$21, $C$9, 100%, $E$9)</f>
        <v>27.354099999999999</v>
      </c>
      <c r="G549" s="17">
        <f>CHOOSE(CONTROL!$C$42, 27.3706, 27.3706)*CHOOSE(CONTROL!$C$21, $C$9, 100%, $E$9)</f>
        <v>27.3706</v>
      </c>
      <c r="H549" s="17">
        <f>CHOOSE(CONTROL!$C$42, 27.6144, 27.6144) * CHOOSE(CONTROL!$C$21, $C$9, 100%, $E$9)</f>
        <v>27.6144</v>
      </c>
      <c r="I549" s="17">
        <f>CHOOSE(CONTROL!$C$42, 27.4486, 27.4486)* CHOOSE(CONTROL!$C$21, $C$9, 100%, $E$9)</f>
        <v>27.448599999999999</v>
      </c>
      <c r="J549" s="17">
        <f>CHOOSE(CONTROL!$C$42, 27.3467, 27.3467)* CHOOSE(CONTROL!$C$21, $C$9, 100%, $E$9)</f>
        <v>27.346699999999998</v>
      </c>
      <c r="K549" s="52">
        <f>CHOOSE(CONTROL!$C$42, 27.4425, 27.4425) * CHOOSE(CONTROL!$C$21, $C$9, 100%, $E$9)</f>
        <v>27.442499999999999</v>
      </c>
      <c r="L549" s="17">
        <f>CHOOSE(CONTROL!$C$42, 28.2014, 28.2014) * CHOOSE(CONTROL!$C$21, $C$9, 100%, $E$9)</f>
        <v>28.2014</v>
      </c>
      <c r="M549" s="17">
        <f>CHOOSE(CONTROL!$C$42, 27.1077, 27.1077) * CHOOSE(CONTROL!$C$21, $C$9, 100%, $E$9)</f>
        <v>27.107700000000001</v>
      </c>
      <c r="N549" s="17">
        <f>CHOOSE(CONTROL!$C$42, 27.1241, 27.1241) * CHOOSE(CONTROL!$C$21, $C$9, 100%, $E$9)</f>
        <v>27.124099999999999</v>
      </c>
      <c r="O549" s="17">
        <f>CHOOSE(CONTROL!$C$42, 27.3731, 27.3731) * CHOOSE(CONTROL!$C$21, $C$9, 100%, $E$9)</f>
        <v>27.373100000000001</v>
      </c>
      <c r="P549" s="17">
        <f>CHOOSE(CONTROL!$C$42, 27.208, 27.208) * CHOOSE(CONTROL!$C$21, $C$9, 100%, $E$9)</f>
        <v>27.207999999999998</v>
      </c>
      <c r="Q549" s="17">
        <f>CHOOSE(CONTROL!$C$42, 27.9678, 27.9678) * CHOOSE(CONTROL!$C$21, $C$9, 100%, $E$9)</f>
        <v>27.9678</v>
      </c>
      <c r="R549" s="17">
        <f>CHOOSE(CONTROL!$C$42, 28.6247, 28.6247) * CHOOSE(CONTROL!$C$21, $C$9, 100%, $E$9)</f>
        <v>28.624700000000001</v>
      </c>
      <c r="S549" s="17">
        <f>CHOOSE(CONTROL!$C$42, 26.5024, 26.5024) * CHOOSE(CONTROL!$C$21, $C$9, 100%, $E$9)</f>
        <v>26.502400000000002</v>
      </c>
      <c r="T54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49" s="56">
        <f>(1000*CHOOSE(CONTROL!$C$42, 695, 695)*CHOOSE(CONTROL!$C$42, 0.5599, 0.5599)*CHOOSE(CONTROL!$C$42, 30, 30))/1000000</f>
        <v>11.673914999999997</v>
      </c>
      <c r="V549" s="56">
        <f>(1000*CHOOSE(CONTROL!$C$42, 500, 500)*CHOOSE(CONTROL!$C$42, 0.275, 0.275)*CHOOSE(CONTROL!$C$42, 30, 30))/1000000</f>
        <v>4.125</v>
      </c>
      <c r="W549" s="56">
        <f>(1000*CHOOSE(CONTROL!$C$42, 0.0916, 0.0916)*CHOOSE(CONTROL!$C$42, 121.5, 121.5)*CHOOSE(CONTROL!$C$42, 30, 30))/1000000</f>
        <v>0.33388200000000001</v>
      </c>
      <c r="X549" s="56">
        <f>(30*0.1790888*145000/1000000)+(30*0.2374*100000/1000000)</f>
        <v>1.4912362799999999</v>
      </c>
      <c r="Y549" s="56"/>
      <c r="Z549" s="17"/>
      <c r="AA549" s="55"/>
      <c r="AB549" s="48">
        <f>(B549*194.205+C549*267.466+D549*133.845+E549*153.484+F549*40+G549*85+H549*0+I549*100+J549*300)/(194.205+267.466+133.845+153.484+0+40+85+100+300)</f>
        <v>27.416382732574569</v>
      </c>
      <c r="AC549" s="45">
        <f>(M549*'RAP TEMPLATE-GAS AVAILABILITY'!O548+N549*'RAP TEMPLATE-GAS AVAILABILITY'!P548+O549*'RAP TEMPLATE-GAS AVAILABILITY'!Q548+P549*'RAP TEMPLATE-GAS AVAILABILITY'!R548)/('RAP TEMPLATE-GAS AVAILABILITY'!O548+'RAP TEMPLATE-GAS AVAILABILITY'!P548+'RAP TEMPLATE-GAS AVAILABILITY'!Q548+'RAP TEMPLATE-GAS AVAILABILITY'!R548)</f>
        <v>27.200371942446044</v>
      </c>
    </row>
    <row r="550" spans="1:29" ht="15.75" x14ac:dyDescent="0.25">
      <c r="A550" s="13">
        <v>57649</v>
      </c>
      <c r="B550" s="17">
        <f>CHOOSE(CONTROL!$C$42, 26.7858, 26.7858) * CHOOSE(CONTROL!$C$21, $C$9, 100%, $E$9)</f>
        <v>26.785799999999998</v>
      </c>
      <c r="C550" s="17">
        <f>CHOOSE(CONTROL!$C$42, 26.7911, 26.7911) * CHOOSE(CONTROL!$C$21, $C$9, 100%, $E$9)</f>
        <v>26.7911</v>
      </c>
      <c r="D550" s="17">
        <f>CHOOSE(CONTROL!$C$42, 27.0405, 27.0405) * CHOOSE(CONTROL!$C$21, $C$9, 100%, $E$9)</f>
        <v>27.040500000000002</v>
      </c>
      <c r="E550" s="17">
        <f>CHOOSE(CONTROL!$C$42, 27.0694, 27.0694) * CHOOSE(CONTROL!$C$21, $C$9, 100%, $E$9)</f>
        <v>27.069400000000002</v>
      </c>
      <c r="F550" s="17">
        <f>CHOOSE(CONTROL!$C$42, 26.7996, 26.7996)*CHOOSE(CONTROL!$C$21, $C$9, 100%, $E$9)</f>
        <v>26.799600000000002</v>
      </c>
      <c r="G550" s="17">
        <f>CHOOSE(CONTROL!$C$42, 26.816, 26.816)*CHOOSE(CONTROL!$C$21, $C$9, 100%, $E$9)</f>
        <v>26.815999999999999</v>
      </c>
      <c r="H550" s="17">
        <f>CHOOSE(CONTROL!$C$42, 27.0595, 27.0595) * CHOOSE(CONTROL!$C$21, $C$9, 100%, $E$9)</f>
        <v>27.0595</v>
      </c>
      <c r="I550" s="17">
        <f>CHOOSE(CONTROL!$C$42, 26.8919, 26.8919)* CHOOSE(CONTROL!$C$21, $C$9, 100%, $E$9)</f>
        <v>26.8919</v>
      </c>
      <c r="J550" s="17">
        <f>CHOOSE(CONTROL!$C$42, 26.7922, 26.7922)* CHOOSE(CONTROL!$C$21, $C$9, 100%, $E$9)</f>
        <v>26.792200000000001</v>
      </c>
      <c r="K550" s="52">
        <f>CHOOSE(CONTROL!$C$42, 26.8859, 26.8859) * CHOOSE(CONTROL!$C$21, $C$9, 100%, $E$9)</f>
        <v>26.885899999999999</v>
      </c>
      <c r="L550" s="17">
        <f>CHOOSE(CONTROL!$C$42, 27.6465, 27.6465) * CHOOSE(CONTROL!$C$21, $C$9, 100%, $E$9)</f>
        <v>27.6465</v>
      </c>
      <c r="M550" s="17">
        <f>CHOOSE(CONTROL!$C$42, 26.5583, 26.5583) * CHOOSE(CONTROL!$C$21, $C$9, 100%, $E$9)</f>
        <v>26.558299999999999</v>
      </c>
      <c r="N550" s="17">
        <f>CHOOSE(CONTROL!$C$42, 26.5745, 26.5745) * CHOOSE(CONTROL!$C$21, $C$9, 100%, $E$9)</f>
        <v>26.5745</v>
      </c>
      <c r="O550" s="17">
        <f>CHOOSE(CONTROL!$C$42, 26.8231, 26.8231) * CHOOSE(CONTROL!$C$21, $C$9, 100%, $E$9)</f>
        <v>26.8231</v>
      </c>
      <c r="P550" s="17">
        <f>CHOOSE(CONTROL!$C$42, 26.6564, 26.6564) * CHOOSE(CONTROL!$C$21, $C$9, 100%, $E$9)</f>
        <v>26.656400000000001</v>
      </c>
      <c r="Q550" s="17">
        <f>CHOOSE(CONTROL!$C$42, 27.4178, 27.4178) * CHOOSE(CONTROL!$C$21, $C$9, 100%, $E$9)</f>
        <v>27.4178</v>
      </c>
      <c r="R550" s="17">
        <f>CHOOSE(CONTROL!$C$42, 28.0734, 28.0734) * CHOOSE(CONTROL!$C$21, $C$9, 100%, $E$9)</f>
        <v>28.073399999999999</v>
      </c>
      <c r="S550" s="17">
        <f>CHOOSE(CONTROL!$C$42, 25.9643, 25.9643) * CHOOSE(CONTROL!$C$21, $C$9, 100%, $E$9)</f>
        <v>25.964300000000001</v>
      </c>
      <c r="T55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50" s="56">
        <f>(1000*CHOOSE(CONTROL!$C$42, 695, 695)*CHOOSE(CONTROL!$C$42, 0.5599, 0.5599)*CHOOSE(CONTROL!$C$42, 31, 31))/1000000</f>
        <v>12.063045499999998</v>
      </c>
      <c r="V550" s="56">
        <f>(1000*CHOOSE(CONTROL!$C$42, 500, 500)*CHOOSE(CONTROL!$C$42, 0.275, 0.275)*CHOOSE(CONTROL!$C$42, 31, 31))/1000000</f>
        <v>4.2625000000000002</v>
      </c>
      <c r="W550" s="56">
        <f>(1000*CHOOSE(CONTROL!$C$42, 0.0916, 0.0916)*CHOOSE(CONTROL!$C$42, 121.5, 121.5)*CHOOSE(CONTROL!$C$42, 31, 31))/1000000</f>
        <v>0.34501139999999997</v>
      </c>
      <c r="X550" s="56">
        <f>(31*0.1790888*145000/1000000)+(31*0.2374*100000/1000000)</f>
        <v>1.5409441560000001</v>
      </c>
      <c r="Y550" s="56"/>
      <c r="Z550" s="17"/>
      <c r="AA550" s="55"/>
      <c r="AB550" s="48">
        <f>(B550*131.881+C550*277.167+D550*79.08+E550*225.872+F550*40+G550*85+H550*0+I550*100+J550*300)/(131.881+277.167+79.08+225.872+0+40+85+100+300)</f>
        <v>26.867573172154966</v>
      </c>
      <c r="AC550" s="45">
        <f>(M550*'RAP TEMPLATE-GAS AVAILABILITY'!O549+N550*'RAP TEMPLATE-GAS AVAILABILITY'!P549+O550*'RAP TEMPLATE-GAS AVAILABILITY'!Q549+P550*'RAP TEMPLATE-GAS AVAILABILITY'!R549)/('RAP TEMPLATE-GAS AVAILABILITY'!O549+'RAP TEMPLATE-GAS AVAILABILITY'!P549+'RAP TEMPLATE-GAS AVAILABILITY'!Q549+'RAP TEMPLATE-GAS AVAILABILITY'!R549)</f>
        <v>26.650441007194242</v>
      </c>
    </row>
    <row r="551" spans="1:29" ht="15.75" x14ac:dyDescent="0.25">
      <c r="A551" s="13">
        <v>57679</v>
      </c>
      <c r="B551" s="17">
        <f>CHOOSE(CONTROL!$C$42, 27.4908, 27.4908) * CHOOSE(CONTROL!$C$21, $C$9, 100%, $E$9)</f>
        <v>27.4908</v>
      </c>
      <c r="C551" s="17">
        <f>CHOOSE(CONTROL!$C$42, 27.4959, 27.4959) * CHOOSE(CONTROL!$C$21, $C$9, 100%, $E$9)</f>
        <v>27.495899999999999</v>
      </c>
      <c r="D551" s="17">
        <f>CHOOSE(CONTROL!$C$42, 27.5772, 27.5772) * CHOOSE(CONTROL!$C$21, $C$9, 100%, $E$9)</f>
        <v>27.577200000000001</v>
      </c>
      <c r="E551" s="17">
        <f>CHOOSE(CONTROL!$C$42, 27.611, 27.611) * CHOOSE(CONTROL!$C$21, $C$9, 100%, $E$9)</f>
        <v>27.611000000000001</v>
      </c>
      <c r="F551" s="17">
        <f>CHOOSE(CONTROL!$C$42, 27.5087, 27.5087)*CHOOSE(CONTROL!$C$21, $C$9, 100%, $E$9)</f>
        <v>27.508700000000001</v>
      </c>
      <c r="G551" s="17">
        <f>CHOOSE(CONTROL!$C$42, 27.5254, 27.5254)*CHOOSE(CONTROL!$C$21, $C$9, 100%, $E$9)</f>
        <v>27.525400000000001</v>
      </c>
      <c r="H551" s="17">
        <f>CHOOSE(CONTROL!$C$42, 27.5999, 27.5999) * CHOOSE(CONTROL!$C$21, $C$9, 100%, $E$9)</f>
        <v>27.599900000000002</v>
      </c>
      <c r="I551" s="17">
        <f>CHOOSE(CONTROL!$C$42, 27.601, 27.601)* CHOOSE(CONTROL!$C$21, $C$9, 100%, $E$9)</f>
        <v>27.600999999999999</v>
      </c>
      <c r="J551" s="17">
        <f>CHOOSE(CONTROL!$C$42, 27.5013, 27.5013)* CHOOSE(CONTROL!$C$21, $C$9, 100%, $E$9)</f>
        <v>27.501300000000001</v>
      </c>
      <c r="K551" s="52">
        <f>CHOOSE(CONTROL!$C$42, 27.595, 27.595) * CHOOSE(CONTROL!$C$21, $C$9, 100%, $E$9)</f>
        <v>27.594999999999999</v>
      </c>
      <c r="L551" s="17">
        <f>CHOOSE(CONTROL!$C$42, 28.1869, 28.1869) * CHOOSE(CONTROL!$C$21, $C$9, 100%, $E$9)</f>
        <v>28.186900000000001</v>
      </c>
      <c r="M551" s="17">
        <f>CHOOSE(CONTROL!$C$42, 27.261, 27.261) * CHOOSE(CONTROL!$C$21, $C$9, 100%, $E$9)</f>
        <v>27.260999999999999</v>
      </c>
      <c r="N551" s="17">
        <f>CHOOSE(CONTROL!$C$42, 27.2776, 27.2776) * CHOOSE(CONTROL!$C$21, $C$9, 100%, $E$9)</f>
        <v>27.2776</v>
      </c>
      <c r="O551" s="17">
        <f>CHOOSE(CONTROL!$C$42, 27.3587, 27.3587) * CHOOSE(CONTROL!$C$21, $C$9, 100%, $E$9)</f>
        <v>27.358699999999999</v>
      </c>
      <c r="P551" s="17">
        <f>CHOOSE(CONTROL!$C$42, 27.3591, 27.3591) * CHOOSE(CONTROL!$C$21, $C$9, 100%, $E$9)</f>
        <v>27.359100000000002</v>
      </c>
      <c r="Q551" s="17">
        <f>CHOOSE(CONTROL!$C$42, 27.9534, 27.9534) * CHOOSE(CONTROL!$C$21, $C$9, 100%, $E$9)</f>
        <v>27.953399999999998</v>
      </c>
      <c r="R551" s="17">
        <f>CHOOSE(CONTROL!$C$42, 28.6102, 28.6102) * CHOOSE(CONTROL!$C$21, $C$9, 100%, $E$9)</f>
        <v>28.610199999999999</v>
      </c>
      <c r="S551" s="17">
        <f>CHOOSE(CONTROL!$C$42, 26.6483, 26.6483) * CHOOSE(CONTROL!$C$21, $C$9, 100%, $E$9)</f>
        <v>26.648299999999999</v>
      </c>
      <c r="T55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51" s="56">
        <f>(1000*CHOOSE(CONTROL!$C$42, 695, 695)*CHOOSE(CONTROL!$C$42, 0.5599, 0.5599)*CHOOSE(CONTROL!$C$42, 30, 30))/1000000</f>
        <v>11.673914999999997</v>
      </c>
      <c r="V551" s="56">
        <f>(1000*CHOOSE(CONTROL!$C$42, 500, 500)*CHOOSE(CONTROL!$C$42, 0.275, 0.275)*CHOOSE(CONTROL!$C$42, 30, 30))/1000000</f>
        <v>4.125</v>
      </c>
      <c r="W551" s="56">
        <f>(1000*CHOOSE(CONTROL!$C$42, 0.0916, 0.0916)*CHOOSE(CONTROL!$C$42, 121.5, 121.5)*CHOOSE(CONTROL!$C$42, 30, 30))/1000000</f>
        <v>0.33388200000000001</v>
      </c>
      <c r="X551" s="56">
        <f>(30*0.2374*100000/1000000)</f>
        <v>0.71220000000000006</v>
      </c>
      <c r="Y551" s="56"/>
      <c r="Z551" s="17"/>
      <c r="AA551" s="55"/>
      <c r="AB551" s="48">
        <f>(B551*122.58+C551*297.941+D551*89.177+E551*140.302+F551*40+G551*60+H551*0+I551*100+J551*300)/(122.58+297.941+89.177+140.302+0+40+60+100+300)</f>
        <v>27.528235384608696</v>
      </c>
      <c r="AC551" s="45">
        <f>(M551*'RAP TEMPLATE-GAS AVAILABILITY'!O550+N551*'RAP TEMPLATE-GAS AVAILABILITY'!P550+O551*'RAP TEMPLATE-GAS AVAILABILITY'!Q550+P551*'RAP TEMPLATE-GAS AVAILABILITY'!R550)/('RAP TEMPLATE-GAS AVAILABILITY'!O550+'RAP TEMPLATE-GAS AVAILABILITY'!P550+'RAP TEMPLATE-GAS AVAILABILITY'!Q550+'RAP TEMPLATE-GAS AVAILABILITY'!R550)</f>
        <v>27.320351798561148</v>
      </c>
    </row>
    <row r="552" spans="1:29" ht="15.75" x14ac:dyDescent="0.25">
      <c r="A552" s="13">
        <v>57710</v>
      </c>
      <c r="B552" s="17">
        <f>CHOOSE(CONTROL!$C$42, 29.3644, 29.3644) * CHOOSE(CONTROL!$C$21, $C$9, 100%, $E$9)</f>
        <v>29.3644</v>
      </c>
      <c r="C552" s="17">
        <f>CHOOSE(CONTROL!$C$42, 29.3695, 29.3695) * CHOOSE(CONTROL!$C$21, $C$9, 100%, $E$9)</f>
        <v>29.369499999999999</v>
      </c>
      <c r="D552" s="17">
        <f>CHOOSE(CONTROL!$C$42, 29.4508, 29.4508) * CHOOSE(CONTROL!$C$21, $C$9, 100%, $E$9)</f>
        <v>29.450800000000001</v>
      </c>
      <c r="E552" s="17">
        <f>CHOOSE(CONTROL!$C$42, 29.4846, 29.4846) * CHOOSE(CONTROL!$C$21, $C$9, 100%, $E$9)</f>
        <v>29.4846</v>
      </c>
      <c r="F552" s="17">
        <f>CHOOSE(CONTROL!$C$42, 29.3847, 29.3847)*CHOOSE(CONTROL!$C$21, $C$9, 100%, $E$9)</f>
        <v>29.384699999999999</v>
      </c>
      <c r="G552" s="17">
        <f>CHOOSE(CONTROL!$C$42, 29.402, 29.402)*CHOOSE(CONTROL!$C$21, $C$9, 100%, $E$9)</f>
        <v>29.402000000000001</v>
      </c>
      <c r="H552" s="17">
        <f>CHOOSE(CONTROL!$C$42, 29.4735, 29.4735) * CHOOSE(CONTROL!$C$21, $C$9, 100%, $E$9)</f>
        <v>29.473500000000001</v>
      </c>
      <c r="I552" s="17">
        <f>CHOOSE(CONTROL!$C$42, 29.4805, 29.4805)* CHOOSE(CONTROL!$C$21, $C$9, 100%, $E$9)</f>
        <v>29.480499999999999</v>
      </c>
      <c r="J552" s="17">
        <f>CHOOSE(CONTROL!$C$42, 29.3773, 29.3773)* CHOOSE(CONTROL!$C$21, $C$9, 100%, $E$9)</f>
        <v>29.377300000000002</v>
      </c>
      <c r="K552" s="52">
        <f>CHOOSE(CONTROL!$C$42, 29.4744, 29.4744) * CHOOSE(CONTROL!$C$21, $C$9, 100%, $E$9)</f>
        <v>29.474399999999999</v>
      </c>
      <c r="L552" s="17">
        <f>CHOOSE(CONTROL!$C$42, 30.0605, 30.0605) * CHOOSE(CONTROL!$C$21, $C$9, 100%, $E$9)</f>
        <v>30.060500000000001</v>
      </c>
      <c r="M552" s="17">
        <f>CHOOSE(CONTROL!$C$42, 29.1201, 29.1201) * CHOOSE(CONTROL!$C$21, $C$9, 100%, $E$9)</f>
        <v>29.120100000000001</v>
      </c>
      <c r="N552" s="17">
        <f>CHOOSE(CONTROL!$C$42, 29.1373, 29.1373) * CHOOSE(CONTROL!$C$21, $C$9, 100%, $E$9)</f>
        <v>29.1373</v>
      </c>
      <c r="O552" s="17">
        <f>CHOOSE(CONTROL!$C$42, 29.2154, 29.2154) * CHOOSE(CONTROL!$C$21, $C$9, 100%, $E$9)</f>
        <v>29.215399999999999</v>
      </c>
      <c r="P552" s="17">
        <f>CHOOSE(CONTROL!$C$42, 29.2216, 29.2216) * CHOOSE(CONTROL!$C$21, $C$9, 100%, $E$9)</f>
        <v>29.221599999999999</v>
      </c>
      <c r="Q552" s="17">
        <f>CHOOSE(CONTROL!$C$42, 29.8101, 29.8101) * CHOOSE(CONTROL!$C$21, $C$9, 100%, $E$9)</f>
        <v>29.810099999999998</v>
      </c>
      <c r="R552" s="17">
        <f>CHOOSE(CONTROL!$C$42, 30.4716, 30.4716) * CHOOSE(CONTROL!$C$21, $C$9, 100%, $E$9)</f>
        <v>30.471599999999999</v>
      </c>
      <c r="S552" s="17">
        <f>CHOOSE(CONTROL!$C$42, 28.4651, 28.4651) * CHOOSE(CONTROL!$C$21, $C$9, 100%, $E$9)</f>
        <v>28.4651</v>
      </c>
      <c r="T55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52" s="56">
        <f>(1000*CHOOSE(CONTROL!$C$42, 695, 695)*CHOOSE(CONTROL!$C$42, 0.5599, 0.5599)*CHOOSE(CONTROL!$C$42, 31, 31))/1000000</f>
        <v>12.063045499999998</v>
      </c>
      <c r="V552" s="56">
        <f>(1000*CHOOSE(CONTROL!$C$42, 500, 500)*CHOOSE(CONTROL!$C$42, 0.275, 0.275)*CHOOSE(CONTROL!$C$42, 31, 31))/1000000</f>
        <v>4.2625000000000002</v>
      </c>
      <c r="W552" s="56">
        <f>(1000*CHOOSE(CONTROL!$C$42, 0.0916, 0.0916)*CHOOSE(CONTROL!$C$42, 121.5, 121.5)*CHOOSE(CONTROL!$C$42, 31, 31))/1000000</f>
        <v>0.34501139999999997</v>
      </c>
      <c r="X552" s="56">
        <f>(31*0.2374*100000/1000000)</f>
        <v>0.73594000000000004</v>
      </c>
      <c r="Y552" s="56"/>
      <c r="Z552" s="17"/>
      <c r="AA552" s="55"/>
      <c r="AB552" s="48">
        <f>(B552*122.58+C552*297.941+D552*89.177+E552*140.302+F552*40+G552*60+H552*0+I552*100+J552*300)/(122.58+297.941+89.177+140.302+0+40+60+100+300)</f>
        <v>29.403214515043476</v>
      </c>
      <c r="AC552" s="45">
        <f>(M552*'RAP TEMPLATE-GAS AVAILABILITY'!O551+N552*'RAP TEMPLATE-GAS AVAILABILITY'!P551+O552*'RAP TEMPLATE-GAS AVAILABILITY'!Q551+P552*'RAP TEMPLATE-GAS AVAILABILITY'!R551)/('RAP TEMPLATE-GAS AVAILABILITY'!O551+'RAP TEMPLATE-GAS AVAILABILITY'!P551+'RAP TEMPLATE-GAS AVAILABILITY'!Q551+'RAP TEMPLATE-GAS AVAILABILITY'!R551)</f>
        <v>29.178887769784176</v>
      </c>
    </row>
    <row r="553" spans="1:29" ht="15.75" x14ac:dyDescent="0.25">
      <c r="A553" s="13">
        <v>57741</v>
      </c>
      <c r="B553" s="17">
        <f>CHOOSE(CONTROL!$C$42, 31.7978, 31.7978) * CHOOSE(CONTROL!$C$21, $C$9, 100%, $E$9)</f>
        <v>31.797799999999999</v>
      </c>
      <c r="C553" s="17">
        <f>CHOOSE(CONTROL!$C$42, 31.8029, 31.8029) * CHOOSE(CONTROL!$C$21, $C$9, 100%, $E$9)</f>
        <v>31.802900000000001</v>
      </c>
      <c r="D553" s="17">
        <f>CHOOSE(CONTROL!$C$42, 31.8997, 31.8997) * CHOOSE(CONTROL!$C$21, $C$9, 100%, $E$9)</f>
        <v>31.899699999999999</v>
      </c>
      <c r="E553" s="17">
        <f>CHOOSE(CONTROL!$C$42, 31.9335, 31.9335) * CHOOSE(CONTROL!$C$21, $C$9, 100%, $E$9)</f>
        <v>31.933499999999999</v>
      </c>
      <c r="F553" s="17">
        <f>CHOOSE(CONTROL!$C$42, 31.8121, 31.8121)*CHOOSE(CONTROL!$C$21, $C$9, 100%, $E$9)</f>
        <v>31.812100000000001</v>
      </c>
      <c r="G553" s="17">
        <f>CHOOSE(CONTROL!$C$42, 31.8285, 31.8285)*CHOOSE(CONTROL!$C$21, $C$9, 100%, $E$9)</f>
        <v>31.828499999999998</v>
      </c>
      <c r="H553" s="17">
        <f>CHOOSE(CONTROL!$C$42, 31.9224, 31.9224) * CHOOSE(CONTROL!$C$21, $C$9, 100%, $E$9)</f>
        <v>31.9224</v>
      </c>
      <c r="I553" s="17">
        <f>CHOOSE(CONTROL!$C$42, 31.9215, 31.9215)* CHOOSE(CONTROL!$C$21, $C$9, 100%, $E$9)</f>
        <v>31.921500000000002</v>
      </c>
      <c r="J553" s="17">
        <f>CHOOSE(CONTROL!$C$42, 31.8047, 31.8047)* CHOOSE(CONTROL!$C$21, $C$9, 100%, $E$9)</f>
        <v>31.8047</v>
      </c>
      <c r="K553" s="52">
        <f>CHOOSE(CONTROL!$C$42, 31.9154, 31.9154) * CHOOSE(CONTROL!$C$21, $C$9, 100%, $E$9)</f>
        <v>31.915400000000002</v>
      </c>
      <c r="L553" s="17">
        <f>CHOOSE(CONTROL!$C$42, 32.5094, 32.5094) * CHOOSE(CONTROL!$C$21, $C$9, 100%, $E$9)</f>
        <v>32.509399999999999</v>
      </c>
      <c r="M553" s="17">
        <f>CHOOSE(CONTROL!$C$42, 31.5257, 31.5257) * CHOOSE(CONTROL!$C$21, $C$9, 100%, $E$9)</f>
        <v>31.525700000000001</v>
      </c>
      <c r="N553" s="17">
        <f>CHOOSE(CONTROL!$C$42, 31.5419, 31.5419) * CHOOSE(CONTROL!$C$21, $C$9, 100%, $E$9)</f>
        <v>31.541899999999998</v>
      </c>
      <c r="O553" s="17">
        <f>CHOOSE(CONTROL!$C$42, 31.6423, 31.6423) * CHOOSE(CONTROL!$C$21, $C$9, 100%, $E$9)</f>
        <v>31.642299999999999</v>
      </c>
      <c r="P553" s="17">
        <f>CHOOSE(CONTROL!$C$42, 31.6406, 31.6406) * CHOOSE(CONTROL!$C$21, $C$9, 100%, $E$9)</f>
        <v>31.640599999999999</v>
      </c>
      <c r="Q553" s="17">
        <f>CHOOSE(CONTROL!$C$42, 32.237, 32.237) * CHOOSE(CONTROL!$C$21, $C$9, 100%, $E$9)</f>
        <v>32.237000000000002</v>
      </c>
      <c r="R553" s="17">
        <f>CHOOSE(CONTROL!$C$42, 32.9046, 32.9046) * CHOOSE(CONTROL!$C$21, $C$9, 100%, $E$9)</f>
        <v>32.904600000000002</v>
      </c>
      <c r="S553" s="17">
        <f>CHOOSE(CONTROL!$C$42, 30.8248, 30.8248) * CHOOSE(CONTROL!$C$21, $C$9, 100%, $E$9)</f>
        <v>30.8248</v>
      </c>
      <c r="T55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53" s="56">
        <f>(1000*CHOOSE(CONTROL!$C$42, 695, 695)*CHOOSE(CONTROL!$C$42, 0.5599, 0.5599)*CHOOSE(CONTROL!$C$42, 31, 31))/1000000</f>
        <v>12.063045499999998</v>
      </c>
      <c r="V553" s="56">
        <f>(1000*CHOOSE(CONTROL!$C$42, 500, 500)*CHOOSE(CONTROL!$C$42, 0.275, 0.275)*CHOOSE(CONTROL!$C$42, 31, 31))/1000000</f>
        <v>4.2625000000000002</v>
      </c>
      <c r="W553" s="56">
        <f>(1000*CHOOSE(CONTROL!$C$42, 0.0916, 0.0916)*CHOOSE(CONTROL!$C$42, 121.5, 121.5)*CHOOSE(CONTROL!$C$42, 31, 31))/1000000</f>
        <v>0.34501139999999997</v>
      </c>
      <c r="X553" s="56">
        <f>(31*0.2374*100000/1000000)</f>
        <v>0.73594000000000004</v>
      </c>
      <c r="Y553" s="56"/>
      <c r="Z553" s="17"/>
      <c r="AA553" s="55"/>
      <c r="AB553" s="48">
        <f>(B553*122.58+C553*297.941+D553*89.177+E553*140.302+F553*40+G553*60+H553*0+I553*100+J553*300)/(122.58+297.941+89.177+140.302+0+40+60+100+300)</f>
        <v>31.838234449391305</v>
      </c>
      <c r="AC553" s="45">
        <f>(M553*'RAP TEMPLATE-GAS AVAILABILITY'!O552+N553*'RAP TEMPLATE-GAS AVAILABILITY'!P552+O553*'RAP TEMPLATE-GAS AVAILABILITY'!Q552+P553*'RAP TEMPLATE-GAS AVAILABILITY'!R552)/('RAP TEMPLATE-GAS AVAILABILITY'!O552+'RAP TEMPLATE-GAS AVAILABILITY'!P552+'RAP TEMPLATE-GAS AVAILABILITY'!Q552+'RAP TEMPLATE-GAS AVAILABILITY'!R552)</f>
        <v>31.59601223021583</v>
      </c>
    </row>
    <row r="554" spans="1:29" ht="15.75" x14ac:dyDescent="0.25">
      <c r="A554" s="13">
        <v>57769</v>
      </c>
      <c r="B554" s="17">
        <f>CHOOSE(CONTROL!$C$42, 32.3637, 32.3637) * CHOOSE(CONTROL!$C$21, $C$9, 100%, $E$9)</f>
        <v>32.363700000000001</v>
      </c>
      <c r="C554" s="17">
        <f>CHOOSE(CONTROL!$C$42, 32.3688, 32.3688) * CHOOSE(CONTROL!$C$21, $C$9, 100%, $E$9)</f>
        <v>32.3688</v>
      </c>
      <c r="D554" s="17">
        <f>CHOOSE(CONTROL!$C$42, 32.4656, 32.4656) * CHOOSE(CONTROL!$C$21, $C$9, 100%, $E$9)</f>
        <v>32.465600000000002</v>
      </c>
      <c r="E554" s="17">
        <f>CHOOSE(CONTROL!$C$42, 32.4994, 32.4994) * CHOOSE(CONTROL!$C$21, $C$9, 100%, $E$9)</f>
        <v>32.499400000000001</v>
      </c>
      <c r="F554" s="17">
        <f>CHOOSE(CONTROL!$C$42, 32.3779, 32.3779)*CHOOSE(CONTROL!$C$21, $C$9, 100%, $E$9)</f>
        <v>32.377899999999997</v>
      </c>
      <c r="G554" s="17">
        <f>CHOOSE(CONTROL!$C$42, 32.3944, 32.3944)*CHOOSE(CONTROL!$C$21, $C$9, 100%, $E$9)</f>
        <v>32.394399999999997</v>
      </c>
      <c r="H554" s="17">
        <f>CHOOSE(CONTROL!$C$42, 32.4882, 32.4882) * CHOOSE(CONTROL!$C$21, $C$9, 100%, $E$9)</f>
        <v>32.488199999999999</v>
      </c>
      <c r="I554" s="17">
        <f>CHOOSE(CONTROL!$C$42, 32.4891, 32.4891)* CHOOSE(CONTROL!$C$21, $C$9, 100%, $E$9)</f>
        <v>32.489100000000001</v>
      </c>
      <c r="J554" s="17">
        <f>CHOOSE(CONTROL!$C$42, 32.3705, 32.3705)* CHOOSE(CONTROL!$C$21, $C$9, 100%, $E$9)</f>
        <v>32.3705</v>
      </c>
      <c r="K554" s="52">
        <f>CHOOSE(CONTROL!$C$42, 32.483, 32.483) * CHOOSE(CONTROL!$C$21, $C$9, 100%, $E$9)</f>
        <v>32.482999999999997</v>
      </c>
      <c r="L554" s="17">
        <f>CHOOSE(CONTROL!$C$42, 33.0752, 33.0752) * CHOOSE(CONTROL!$C$21, $C$9, 100%, $E$9)</f>
        <v>33.075200000000002</v>
      </c>
      <c r="M554" s="17">
        <f>CHOOSE(CONTROL!$C$42, 32.0864, 32.0864) * CHOOSE(CONTROL!$C$21, $C$9, 100%, $E$9)</f>
        <v>32.086399999999998</v>
      </c>
      <c r="N554" s="17">
        <f>CHOOSE(CONTROL!$C$42, 32.1027, 32.1027) * CHOOSE(CONTROL!$C$21, $C$9, 100%, $E$9)</f>
        <v>32.102699999999999</v>
      </c>
      <c r="O554" s="17">
        <f>CHOOSE(CONTROL!$C$42, 32.2031, 32.2031) * CHOOSE(CONTROL!$C$21, $C$9, 100%, $E$9)</f>
        <v>32.203099999999999</v>
      </c>
      <c r="P554" s="17">
        <f>CHOOSE(CONTROL!$C$42, 32.2031, 32.2031) * CHOOSE(CONTROL!$C$21, $C$9, 100%, $E$9)</f>
        <v>32.203099999999999</v>
      </c>
      <c r="Q554" s="17">
        <f>CHOOSE(CONTROL!$C$42, 32.7978, 32.7978) * CHOOSE(CONTROL!$C$21, $C$9, 100%, $E$9)</f>
        <v>32.797800000000002</v>
      </c>
      <c r="R554" s="17">
        <f>CHOOSE(CONTROL!$C$42, 33.4668, 33.4668) * CHOOSE(CONTROL!$C$21, $C$9, 100%, $E$9)</f>
        <v>33.466799999999999</v>
      </c>
      <c r="S554" s="17">
        <f>CHOOSE(CONTROL!$C$42, 31.3736, 31.3736) * CHOOSE(CONTROL!$C$21, $C$9, 100%, $E$9)</f>
        <v>31.3736</v>
      </c>
      <c r="T55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54" s="56">
        <f>(1000*CHOOSE(CONTROL!$C$42, 695, 695)*CHOOSE(CONTROL!$C$42, 0.5599, 0.5599)*CHOOSE(CONTROL!$C$42, 28, 28))/1000000</f>
        <v>10.895653999999999</v>
      </c>
      <c r="V554" s="56">
        <f>(1000*CHOOSE(CONTROL!$C$42, 500, 500)*CHOOSE(CONTROL!$C$42, 0.275, 0.275)*CHOOSE(CONTROL!$C$42, 28, 28))/1000000</f>
        <v>3.85</v>
      </c>
      <c r="W554" s="56">
        <f>(1000*CHOOSE(CONTROL!$C$42, 0.0916, 0.0916)*CHOOSE(CONTROL!$C$42, 121.5, 121.5)*CHOOSE(CONTROL!$C$42, 28, 28))/1000000</f>
        <v>0.31162319999999999</v>
      </c>
      <c r="X554" s="56">
        <f>(28*0.2374*100000/1000000)</f>
        <v>0.66471999999999998</v>
      </c>
      <c r="Y554" s="56"/>
      <c r="Z554" s="17"/>
      <c r="AA554" s="55"/>
      <c r="AB554" s="48">
        <f>(B554*122.58+C554*297.941+D554*89.177+E554*140.302+F554*40+G554*60+H554*0+I554*100+J554*300)/(122.58+297.941+89.177+140.302+0+40+60+100+300)</f>
        <v>32.40425271026087</v>
      </c>
      <c r="AC554" s="45">
        <f>(M554*'RAP TEMPLATE-GAS AVAILABILITY'!O553+N554*'RAP TEMPLATE-GAS AVAILABILITY'!P553+O554*'RAP TEMPLATE-GAS AVAILABILITY'!Q553+P554*'RAP TEMPLATE-GAS AVAILABILITY'!R553)/('RAP TEMPLATE-GAS AVAILABILITY'!O553+'RAP TEMPLATE-GAS AVAILABILITY'!P553+'RAP TEMPLATE-GAS AVAILABILITY'!Q553+'RAP TEMPLATE-GAS AVAILABILITY'!R553)</f>
        <v>32.157022302158275</v>
      </c>
    </row>
    <row r="555" spans="1:29" ht="15.75" x14ac:dyDescent="0.25">
      <c r="A555" s="13">
        <v>57800</v>
      </c>
      <c r="B555" s="17">
        <f>CHOOSE(CONTROL!$C$42, 31.4452, 31.4452) * CHOOSE(CONTROL!$C$21, $C$9, 100%, $E$9)</f>
        <v>31.4452</v>
      </c>
      <c r="C555" s="17">
        <f>CHOOSE(CONTROL!$C$42, 31.4503, 31.4503) * CHOOSE(CONTROL!$C$21, $C$9, 100%, $E$9)</f>
        <v>31.450299999999999</v>
      </c>
      <c r="D555" s="17">
        <f>CHOOSE(CONTROL!$C$42, 31.5471, 31.5471) * CHOOSE(CONTROL!$C$21, $C$9, 100%, $E$9)</f>
        <v>31.5471</v>
      </c>
      <c r="E555" s="17">
        <f>CHOOSE(CONTROL!$C$42, 31.5808, 31.5808) * CHOOSE(CONTROL!$C$21, $C$9, 100%, $E$9)</f>
        <v>31.5808</v>
      </c>
      <c r="F555" s="17">
        <f>CHOOSE(CONTROL!$C$42, 31.4588, 31.4588)*CHOOSE(CONTROL!$C$21, $C$9, 100%, $E$9)</f>
        <v>31.4588</v>
      </c>
      <c r="G555" s="17">
        <f>CHOOSE(CONTROL!$C$42, 31.475, 31.475)*CHOOSE(CONTROL!$C$21, $C$9, 100%, $E$9)</f>
        <v>31.475000000000001</v>
      </c>
      <c r="H555" s="17">
        <f>CHOOSE(CONTROL!$C$42, 31.5697, 31.5697) * CHOOSE(CONTROL!$C$21, $C$9, 100%, $E$9)</f>
        <v>31.569700000000001</v>
      </c>
      <c r="I555" s="17">
        <f>CHOOSE(CONTROL!$C$42, 31.5677, 31.5677)* CHOOSE(CONTROL!$C$21, $C$9, 100%, $E$9)</f>
        <v>31.567699999999999</v>
      </c>
      <c r="J555" s="17">
        <f>CHOOSE(CONTROL!$C$42, 31.4514, 31.4514)* CHOOSE(CONTROL!$C$21, $C$9, 100%, $E$9)</f>
        <v>31.4514</v>
      </c>
      <c r="K555" s="52">
        <f>CHOOSE(CONTROL!$C$42, 31.5617, 31.5617) * CHOOSE(CONTROL!$C$21, $C$9, 100%, $E$9)</f>
        <v>31.561699999999998</v>
      </c>
      <c r="L555" s="17">
        <f>CHOOSE(CONTROL!$C$42, 32.1567, 32.1567) * CHOOSE(CONTROL!$C$21, $C$9, 100%, $E$9)</f>
        <v>32.156700000000001</v>
      </c>
      <c r="M555" s="17">
        <f>CHOOSE(CONTROL!$C$42, 31.1755, 31.1755) * CHOOSE(CONTROL!$C$21, $C$9, 100%, $E$9)</f>
        <v>31.1755</v>
      </c>
      <c r="N555" s="17">
        <f>CHOOSE(CONTROL!$C$42, 31.1916, 31.1916) * CHOOSE(CONTROL!$C$21, $C$9, 100%, $E$9)</f>
        <v>31.191600000000001</v>
      </c>
      <c r="O555" s="17">
        <f>CHOOSE(CONTROL!$C$42, 31.2928, 31.2928) * CHOOSE(CONTROL!$C$21, $C$9, 100%, $E$9)</f>
        <v>31.2928</v>
      </c>
      <c r="P555" s="17">
        <f>CHOOSE(CONTROL!$C$42, 31.29, 31.29) * CHOOSE(CONTROL!$C$21, $C$9, 100%, $E$9)</f>
        <v>31.29</v>
      </c>
      <c r="Q555" s="17">
        <f>CHOOSE(CONTROL!$C$42, 31.8875, 31.8875) * CHOOSE(CONTROL!$C$21, $C$9, 100%, $E$9)</f>
        <v>31.887499999999999</v>
      </c>
      <c r="R555" s="17">
        <f>CHOOSE(CONTROL!$C$42, 32.5542, 32.5542) * CHOOSE(CONTROL!$C$21, $C$9, 100%, $E$9)</f>
        <v>32.554200000000002</v>
      </c>
      <c r="S555" s="17">
        <f>CHOOSE(CONTROL!$C$42, 30.4829, 30.4829) * CHOOSE(CONTROL!$C$21, $C$9, 100%, $E$9)</f>
        <v>30.482900000000001</v>
      </c>
      <c r="T55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55" s="56">
        <f>(1000*CHOOSE(CONTROL!$C$42, 695, 695)*CHOOSE(CONTROL!$C$42, 0.5599, 0.5599)*CHOOSE(CONTROL!$C$42, 31, 31))/1000000</f>
        <v>12.063045499999998</v>
      </c>
      <c r="V555" s="56">
        <f>(1000*CHOOSE(CONTROL!$C$42, 500, 500)*CHOOSE(CONTROL!$C$42, 0.275, 0.275)*CHOOSE(CONTROL!$C$42, 31, 31))/1000000</f>
        <v>4.2625000000000002</v>
      </c>
      <c r="W555" s="56">
        <f>(1000*CHOOSE(CONTROL!$C$42, 0.0916, 0.0916)*CHOOSE(CONTROL!$C$42, 121.5, 121.5)*CHOOSE(CONTROL!$C$42, 31, 31))/1000000</f>
        <v>0.34501139999999997</v>
      </c>
      <c r="X555" s="56">
        <f>(31*0.2374*100000/1000000)</f>
        <v>0.73594000000000004</v>
      </c>
      <c r="Y555" s="56"/>
      <c r="Z555" s="17"/>
      <c r="AA555" s="55"/>
      <c r="AB555" s="48">
        <f>(B555*122.58+C555*297.941+D555*89.177+E555*140.302+F555*40+G555*60+H555*0+I555*100+J555*300)/(122.58+297.941+89.177+140.302+0+40+60+100+300)</f>
        <v>31.485263988347825</v>
      </c>
      <c r="AC555" s="45">
        <f>(M555*'RAP TEMPLATE-GAS AVAILABILITY'!O554+N555*'RAP TEMPLATE-GAS AVAILABILITY'!P554+O555*'RAP TEMPLATE-GAS AVAILABILITY'!Q554+P555*'RAP TEMPLATE-GAS AVAILABILITY'!R554)/('RAP TEMPLATE-GAS AVAILABILITY'!O554+'RAP TEMPLATE-GAS AVAILABILITY'!P554+'RAP TEMPLATE-GAS AVAILABILITY'!Q554+'RAP TEMPLATE-GAS AVAILABILITY'!R554)</f>
        <v>31.24606618705036</v>
      </c>
    </row>
    <row r="556" spans="1:29" ht="15.75" x14ac:dyDescent="0.25">
      <c r="A556" s="13">
        <v>57830</v>
      </c>
      <c r="B556" s="17">
        <f>CHOOSE(CONTROL!$C$42, 31.352, 31.352) * CHOOSE(CONTROL!$C$21, $C$9, 100%, $E$9)</f>
        <v>31.352</v>
      </c>
      <c r="C556" s="17">
        <f>CHOOSE(CONTROL!$C$42, 31.3566, 31.3566) * CHOOSE(CONTROL!$C$21, $C$9, 100%, $E$9)</f>
        <v>31.3566</v>
      </c>
      <c r="D556" s="17">
        <f>CHOOSE(CONTROL!$C$42, 31.6041, 31.6041) * CHOOSE(CONTROL!$C$21, $C$9, 100%, $E$9)</f>
        <v>31.604099999999999</v>
      </c>
      <c r="E556" s="17">
        <f>CHOOSE(CONTROL!$C$42, 31.6359, 31.6359) * CHOOSE(CONTROL!$C$21, $C$9, 100%, $E$9)</f>
        <v>31.635899999999999</v>
      </c>
      <c r="F556" s="17">
        <f>CHOOSE(CONTROL!$C$42, 31.3637, 31.3637)*CHOOSE(CONTROL!$C$21, $C$9, 100%, $E$9)</f>
        <v>31.363700000000001</v>
      </c>
      <c r="G556" s="17">
        <f>CHOOSE(CONTROL!$C$42, 31.3796, 31.3796)*CHOOSE(CONTROL!$C$21, $C$9, 100%, $E$9)</f>
        <v>31.3796</v>
      </c>
      <c r="H556" s="17">
        <f>CHOOSE(CONTROL!$C$42, 31.6254, 31.6254) * CHOOSE(CONTROL!$C$21, $C$9, 100%, $E$9)</f>
        <v>31.625399999999999</v>
      </c>
      <c r="I556" s="17">
        <f>CHOOSE(CONTROL!$C$42, 31.472, 31.472)* CHOOSE(CONTROL!$C$21, $C$9, 100%, $E$9)</f>
        <v>31.472000000000001</v>
      </c>
      <c r="J556" s="17">
        <f>CHOOSE(CONTROL!$C$42, 31.3563, 31.3563)* CHOOSE(CONTROL!$C$21, $C$9, 100%, $E$9)</f>
        <v>31.356300000000001</v>
      </c>
      <c r="K556" s="52">
        <f>CHOOSE(CONTROL!$C$42, 31.4659, 31.4659) * CHOOSE(CONTROL!$C$21, $C$9, 100%, $E$9)</f>
        <v>31.465900000000001</v>
      </c>
      <c r="L556" s="17">
        <f>CHOOSE(CONTROL!$C$42, 32.2124, 32.2124) * CHOOSE(CONTROL!$C$21, $C$9, 100%, $E$9)</f>
        <v>32.212400000000002</v>
      </c>
      <c r="M556" s="17">
        <f>CHOOSE(CONTROL!$C$42, 31.0813, 31.0813) * CHOOSE(CONTROL!$C$21, $C$9, 100%, $E$9)</f>
        <v>31.081299999999999</v>
      </c>
      <c r="N556" s="17">
        <f>CHOOSE(CONTROL!$C$42, 31.0971, 31.0971) * CHOOSE(CONTROL!$C$21, $C$9, 100%, $E$9)</f>
        <v>31.097100000000001</v>
      </c>
      <c r="O556" s="17">
        <f>CHOOSE(CONTROL!$C$42, 31.3479, 31.3479) * CHOOSE(CONTROL!$C$21, $C$9, 100%, $E$9)</f>
        <v>31.347899999999999</v>
      </c>
      <c r="P556" s="17">
        <f>CHOOSE(CONTROL!$C$42, 31.1951, 31.1951) * CHOOSE(CONTROL!$C$21, $C$9, 100%, $E$9)</f>
        <v>31.1951</v>
      </c>
      <c r="Q556" s="17">
        <f>CHOOSE(CONTROL!$C$42, 31.9426, 31.9426) * CHOOSE(CONTROL!$C$21, $C$9, 100%, $E$9)</f>
        <v>31.942599999999999</v>
      </c>
      <c r="R556" s="17">
        <f>CHOOSE(CONTROL!$C$42, 32.6095, 32.6095) * CHOOSE(CONTROL!$C$21, $C$9, 100%, $E$9)</f>
        <v>32.609499999999997</v>
      </c>
      <c r="S556" s="17">
        <f>CHOOSE(CONTROL!$C$42, 30.3918, 30.3918) * CHOOSE(CONTROL!$C$21, $C$9, 100%, $E$9)</f>
        <v>30.3918</v>
      </c>
      <c r="T55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56" s="56">
        <f>(1000*CHOOSE(CONTROL!$C$42, 695, 695)*CHOOSE(CONTROL!$C$42, 0.5599, 0.5599)*CHOOSE(CONTROL!$C$42, 30, 30))/1000000</f>
        <v>11.673914999999997</v>
      </c>
      <c r="V556" s="56">
        <f>(1000*CHOOSE(CONTROL!$C$42, 500, 500)*CHOOSE(CONTROL!$C$42, 0.275, 0.275)*CHOOSE(CONTROL!$C$42, 30, 30))/1000000</f>
        <v>4.125</v>
      </c>
      <c r="W556" s="56">
        <f>(1000*CHOOSE(CONTROL!$C$42, 0.0916, 0.0916)*CHOOSE(CONTROL!$C$42, 121.5, 121.5)*CHOOSE(CONTROL!$C$42, 30, 30))/1000000</f>
        <v>0.33388200000000001</v>
      </c>
      <c r="X556" s="56">
        <f>(30*0.1790888*145000/1000000)+(30*0.2374*100000/1000000)</f>
        <v>1.4912362799999999</v>
      </c>
      <c r="Y556" s="56"/>
      <c r="Z556" s="17"/>
      <c r="AA556" s="55"/>
      <c r="AB556" s="48">
        <f>(B556*141.293+C556*267.993+D556*115.016+E556*189.698+F556*40+G556*85+H556*0+I556*100+J556*300)/(141.293+267.993+115.016+189.698+0+40+85+100+300)</f>
        <v>31.432861633252625</v>
      </c>
      <c r="AC556" s="45">
        <f>(M556*'RAP TEMPLATE-GAS AVAILABILITY'!O555+N556*'RAP TEMPLATE-GAS AVAILABILITY'!P555+O556*'RAP TEMPLATE-GAS AVAILABILITY'!Q555+P556*'RAP TEMPLATE-GAS AVAILABILITY'!R555)/('RAP TEMPLATE-GAS AVAILABILITY'!O555+'RAP TEMPLATE-GAS AVAILABILITY'!P555+'RAP TEMPLATE-GAS AVAILABILITY'!Q555+'RAP TEMPLATE-GAS AVAILABILITY'!R555)</f>
        <v>31.176112949640292</v>
      </c>
    </row>
    <row r="557" spans="1:29" ht="15.75" x14ac:dyDescent="0.25">
      <c r="A557" s="13">
        <v>57861</v>
      </c>
      <c r="B557" s="17">
        <f>CHOOSE(CONTROL!$C$42, 31.63, 31.63) * CHOOSE(CONTROL!$C$21, $C$9, 100%, $E$9)</f>
        <v>31.63</v>
      </c>
      <c r="C557" s="17">
        <f>CHOOSE(CONTROL!$C$42, 31.638, 31.638) * CHOOSE(CONTROL!$C$21, $C$9, 100%, $E$9)</f>
        <v>31.638000000000002</v>
      </c>
      <c r="D557" s="17">
        <f>CHOOSE(CONTROL!$C$42, 31.8825, 31.8825) * CHOOSE(CONTROL!$C$21, $C$9, 100%, $E$9)</f>
        <v>31.8825</v>
      </c>
      <c r="E557" s="17">
        <f>CHOOSE(CONTROL!$C$42, 31.9136, 31.9136) * CHOOSE(CONTROL!$C$21, $C$9, 100%, $E$9)</f>
        <v>31.913599999999999</v>
      </c>
      <c r="F557" s="17">
        <f>CHOOSE(CONTROL!$C$42, 31.6406, 31.6406)*CHOOSE(CONTROL!$C$21, $C$9, 100%, $E$9)</f>
        <v>31.640599999999999</v>
      </c>
      <c r="G557" s="17">
        <f>CHOOSE(CONTROL!$C$42, 31.6568, 31.6568)*CHOOSE(CONTROL!$C$21, $C$9, 100%, $E$9)</f>
        <v>31.6568</v>
      </c>
      <c r="H557" s="17">
        <f>CHOOSE(CONTROL!$C$42, 31.902, 31.902) * CHOOSE(CONTROL!$C$21, $C$9, 100%, $E$9)</f>
        <v>31.902000000000001</v>
      </c>
      <c r="I557" s="17">
        <f>CHOOSE(CONTROL!$C$42, 31.7494, 31.7494)* CHOOSE(CONTROL!$C$21, $C$9, 100%, $E$9)</f>
        <v>31.749400000000001</v>
      </c>
      <c r="J557" s="17">
        <f>CHOOSE(CONTROL!$C$42, 31.6332, 31.6332)* CHOOSE(CONTROL!$C$21, $C$9, 100%, $E$9)</f>
        <v>31.633199999999999</v>
      </c>
      <c r="K557" s="52">
        <f>CHOOSE(CONTROL!$C$42, 31.7434, 31.7434) * CHOOSE(CONTROL!$C$21, $C$9, 100%, $E$9)</f>
        <v>31.743400000000001</v>
      </c>
      <c r="L557" s="17">
        <f>CHOOSE(CONTROL!$C$42, 32.489, 32.489) * CHOOSE(CONTROL!$C$21, $C$9, 100%, $E$9)</f>
        <v>32.488999999999997</v>
      </c>
      <c r="M557" s="17">
        <f>CHOOSE(CONTROL!$C$42, 31.3557, 31.3557) * CHOOSE(CONTROL!$C$21, $C$9, 100%, $E$9)</f>
        <v>31.355699999999999</v>
      </c>
      <c r="N557" s="17">
        <f>CHOOSE(CONTROL!$C$42, 31.3718, 31.3718) * CHOOSE(CONTROL!$C$21, $C$9, 100%, $E$9)</f>
        <v>31.3718</v>
      </c>
      <c r="O557" s="17">
        <f>CHOOSE(CONTROL!$C$42, 31.6221, 31.6221) * CHOOSE(CONTROL!$C$21, $C$9, 100%, $E$9)</f>
        <v>31.6221</v>
      </c>
      <c r="P557" s="17">
        <f>CHOOSE(CONTROL!$C$42, 31.4701, 31.4701) * CHOOSE(CONTROL!$C$21, $C$9, 100%, $E$9)</f>
        <v>31.470099999999999</v>
      </c>
      <c r="Q557" s="17">
        <f>CHOOSE(CONTROL!$C$42, 32.2168, 32.2168) * CHOOSE(CONTROL!$C$21, $C$9, 100%, $E$9)</f>
        <v>32.216799999999999</v>
      </c>
      <c r="R557" s="17">
        <f>CHOOSE(CONTROL!$C$42, 32.8843, 32.8843) * CHOOSE(CONTROL!$C$21, $C$9, 100%, $E$9)</f>
        <v>32.884300000000003</v>
      </c>
      <c r="S557" s="17">
        <f>CHOOSE(CONTROL!$C$42, 30.66, 30.66) * CHOOSE(CONTROL!$C$21, $C$9, 100%, $E$9)</f>
        <v>30.66</v>
      </c>
      <c r="T55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57" s="56">
        <f>(1000*CHOOSE(CONTROL!$C$42, 695, 695)*CHOOSE(CONTROL!$C$42, 0.5599, 0.5599)*CHOOSE(CONTROL!$C$42, 31, 31))/1000000</f>
        <v>12.063045499999998</v>
      </c>
      <c r="V557" s="56">
        <f>(1000*CHOOSE(CONTROL!$C$42, 500, 500)*CHOOSE(CONTROL!$C$42, 0.275, 0.275)*CHOOSE(CONTROL!$C$42, 31, 31))/1000000</f>
        <v>4.2625000000000002</v>
      </c>
      <c r="W557" s="56">
        <f>(1000*CHOOSE(CONTROL!$C$42, 0.0916, 0.0916)*CHOOSE(CONTROL!$C$42, 121.5, 121.5)*CHOOSE(CONTROL!$C$42, 31, 31))/1000000</f>
        <v>0.34501139999999997</v>
      </c>
      <c r="X557" s="56">
        <f>(31*0.1790888*145000/1000000)+(31*0.2374*100000/1000000)</f>
        <v>1.5409441560000001</v>
      </c>
      <c r="Y557" s="56"/>
      <c r="Z557" s="17"/>
      <c r="AA557" s="55"/>
      <c r="AB557" s="48">
        <f>(B557*194.205+C557*267.466+D557*133.845+E557*153.484+F557*40+G557*85+H557*0+I557*100+J557*300)/(194.205+267.466+133.845+153.484+0+40+85+100+300)</f>
        <v>31.704619821742543</v>
      </c>
      <c r="AC557" s="45">
        <f>(M557*'RAP TEMPLATE-GAS AVAILABILITY'!O556+N557*'RAP TEMPLATE-GAS AVAILABILITY'!P556+O557*'RAP TEMPLATE-GAS AVAILABILITY'!Q556+P557*'RAP TEMPLATE-GAS AVAILABILITY'!R556)/('RAP TEMPLATE-GAS AVAILABILITY'!O556+'RAP TEMPLATE-GAS AVAILABILITY'!P556+'RAP TEMPLATE-GAS AVAILABILITY'!Q556+'RAP TEMPLATE-GAS AVAILABILITY'!R556)</f>
        <v>31.450612230215825</v>
      </c>
    </row>
    <row r="558" spans="1:29" ht="15.75" x14ac:dyDescent="0.25">
      <c r="A558" s="13">
        <v>57891</v>
      </c>
      <c r="B558" s="17">
        <f>CHOOSE(CONTROL!$C$42, 32.5269, 32.5269) * CHOOSE(CONTROL!$C$21, $C$9, 100%, $E$9)</f>
        <v>32.526899999999998</v>
      </c>
      <c r="C558" s="17">
        <f>CHOOSE(CONTROL!$C$42, 32.5349, 32.5349) * CHOOSE(CONTROL!$C$21, $C$9, 100%, $E$9)</f>
        <v>32.5349</v>
      </c>
      <c r="D558" s="17">
        <f>CHOOSE(CONTROL!$C$42, 32.7793, 32.7793) * CHOOSE(CONTROL!$C$21, $C$9, 100%, $E$9)</f>
        <v>32.779299999999999</v>
      </c>
      <c r="E558" s="17">
        <f>CHOOSE(CONTROL!$C$42, 32.8105, 32.8105) * CHOOSE(CONTROL!$C$21, $C$9, 100%, $E$9)</f>
        <v>32.810499999999998</v>
      </c>
      <c r="F558" s="17">
        <f>CHOOSE(CONTROL!$C$42, 32.5378, 32.5378)*CHOOSE(CONTROL!$C$21, $C$9, 100%, $E$9)</f>
        <v>32.537799999999997</v>
      </c>
      <c r="G558" s="17">
        <f>CHOOSE(CONTROL!$C$42, 32.5541, 32.5541)*CHOOSE(CONTROL!$C$21, $C$9, 100%, $E$9)</f>
        <v>32.554099999999998</v>
      </c>
      <c r="H558" s="17">
        <f>CHOOSE(CONTROL!$C$42, 32.7988, 32.7988) * CHOOSE(CONTROL!$C$21, $C$9, 100%, $E$9)</f>
        <v>32.7988</v>
      </c>
      <c r="I558" s="17">
        <f>CHOOSE(CONTROL!$C$42, 32.6491, 32.6491)* CHOOSE(CONTROL!$C$21, $C$9, 100%, $E$9)</f>
        <v>32.649099999999997</v>
      </c>
      <c r="J558" s="17">
        <f>CHOOSE(CONTROL!$C$42, 32.5304, 32.5304)* CHOOSE(CONTROL!$C$21, $C$9, 100%, $E$9)</f>
        <v>32.5304</v>
      </c>
      <c r="K558" s="52">
        <f>CHOOSE(CONTROL!$C$42, 32.643, 32.643) * CHOOSE(CONTROL!$C$21, $C$9, 100%, $E$9)</f>
        <v>32.643000000000001</v>
      </c>
      <c r="L558" s="17">
        <f>CHOOSE(CONTROL!$C$42, 33.3858, 33.3858) * CHOOSE(CONTROL!$C$21, $C$9, 100%, $E$9)</f>
        <v>33.385800000000003</v>
      </c>
      <c r="M558" s="17">
        <f>CHOOSE(CONTROL!$C$42, 32.2448, 32.2448) * CHOOSE(CONTROL!$C$21, $C$9, 100%, $E$9)</f>
        <v>32.244799999999998</v>
      </c>
      <c r="N558" s="17">
        <f>CHOOSE(CONTROL!$C$42, 32.261, 32.261) * CHOOSE(CONTROL!$C$21, $C$9, 100%, $E$9)</f>
        <v>32.261000000000003</v>
      </c>
      <c r="O558" s="17">
        <f>CHOOSE(CONTROL!$C$42, 32.5109, 32.5109) * CHOOSE(CONTROL!$C$21, $C$9, 100%, $E$9)</f>
        <v>32.510899999999999</v>
      </c>
      <c r="P558" s="17">
        <f>CHOOSE(CONTROL!$C$42, 32.3616, 32.3616) * CHOOSE(CONTROL!$C$21, $C$9, 100%, $E$9)</f>
        <v>32.361600000000003</v>
      </c>
      <c r="Q558" s="17">
        <f>CHOOSE(CONTROL!$C$42, 33.1056, 33.1056) * CHOOSE(CONTROL!$C$21, $C$9, 100%, $E$9)</f>
        <v>33.105600000000003</v>
      </c>
      <c r="R558" s="17">
        <f>CHOOSE(CONTROL!$C$42, 33.7753, 33.7753) * CHOOSE(CONTROL!$C$21, $C$9, 100%, $E$9)</f>
        <v>33.775300000000001</v>
      </c>
      <c r="S558" s="17">
        <f>CHOOSE(CONTROL!$C$42, 31.5297, 31.5297) * CHOOSE(CONTROL!$C$21, $C$9, 100%, $E$9)</f>
        <v>31.529699999999998</v>
      </c>
      <c r="T55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58" s="56">
        <f>(1000*CHOOSE(CONTROL!$C$42, 695, 695)*CHOOSE(CONTROL!$C$42, 0.5599, 0.5599)*CHOOSE(CONTROL!$C$42, 30, 30))/1000000</f>
        <v>11.673914999999997</v>
      </c>
      <c r="V558" s="56">
        <f>(1000*CHOOSE(CONTROL!$C$42, 500, 500)*CHOOSE(CONTROL!$C$42, 0.275, 0.275)*CHOOSE(CONTROL!$C$42, 30, 30))/1000000</f>
        <v>4.125</v>
      </c>
      <c r="W558" s="56">
        <f>(1000*CHOOSE(CONTROL!$C$42, 0.0916, 0.0916)*CHOOSE(CONTROL!$C$42, 121.5, 121.5)*CHOOSE(CONTROL!$C$42, 30, 30))/1000000</f>
        <v>0.33388200000000001</v>
      </c>
      <c r="X558" s="56">
        <f>(30*0.1790888*145000/1000000)+(30*0.2374*100000/1000000)</f>
        <v>1.4912362799999999</v>
      </c>
      <c r="Y558" s="56"/>
      <c r="Z558" s="17"/>
      <c r="AA558" s="55"/>
      <c r="AB558" s="48">
        <f>(B558*194.205+C558*267.466+D558*133.845+E558*153.484+F558*40+G558*85+H558*0+I558*100+J558*300)/(194.205+267.466+133.845+153.484+0+40+85+100+300)</f>
        <v>32.601835846467822</v>
      </c>
      <c r="AC558" s="45">
        <f>(M558*'RAP TEMPLATE-GAS AVAILABILITY'!O557+N558*'RAP TEMPLATE-GAS AVAILABILITY'!P557+O558*'RAP TEMPLATE-GAS AVAILABILITY'!Q557+P558*'RAP TEMPLATE-GAS AVAILABILITY'!R557)/('RAP TEMPLATE-GAS AVAILABILITY'!O557+'RAP TEMPLATE-GAS AVAILABILITY'!P557+'RAP TEMPLATE-GAS AVAILABILITY'!Q557+'RAP TEMPLATE-GAS AVAILABILITY'!R557)</f>
        <v>32.339996402877695</v>
      </c>
    </row>
    <row r="559" spans="1:29" ht="15.75" x14ac:dyDescent="0.25">
      <c r="A559" s="13">
        <v>57922</v>
      </c>
      <c r="B559" s="17">
        <f>CHOOSE(CONTROL!$C$42, 31.9031, 31.9031) * CHOOSE(CONTROL!$C$21, $C$9, 100%, $E$9)</f>
        <v>31.903099999999998</v>
      </c>
      <c r="C559" s="17">
        <f>CHOOSE(CONTROL!$C$42, 31.9111, 31.9111) * CHOOSE(CONTROL!$C$21, $C$9, 100%, $E$9)</f>
        <v>31.911100000000001</v>
      </c>
      <c r="D559" s="17">
        <f>CHOOSE(CONTROL!$C$42, 32.1556, 32.1556) * CHOOSE(CONTROL!$C$21, $C$9, 100%, $E$9)</f>
        <v>32.1556</v>
      </c>
      <c r="E559" s="17">
        <f>CHOOSE(CONTROL!$C$42, 32.1867, 32.1867) * CHOOSE(CONTROL!$C$21, $C$9, 100%, $E$9)</f>
        <v>32.186700000000002</v>
      </c>
      <c r="F559" s="17">
        <f>CHOOSE(CONTROL!$C$42, 31.9144, 31.9144)*CHOOSE(CONTROL!$C$21, $C$9, 100%, $E$9)</f>
        <v>31.914400000000001</v>
      </c>
      <c r="G559" s="17">
        <f>CHOOSE(CONTROL!$C$42, 31.9309, 31.9309)*CHOOSE(CONTROL!$C$21, $C$9, 100%, $E$9)</f>
        <v>31.930900000000001</v>
      </c>
      <c r="H559" s="17">
        <f>CHOOSE(CONTROL!$C$42, 32.1751, 32.1751) * CHOOSE(CONTROL!$C$21, $C$9, 100%, $E$9)</f>
        <v>32.1751</v>
      </c>
      <c r="I559" s="17">
        <f>CHOOSE(CONTROL!$C$42, 32.0234, 32.0234)* CHOOSE(CONTROL!$C$21, $C$9, 100%, $E$9)</f>
        <v>32.023400000000002</v>
      </c>
      <c r="J559" s="17">
        <f>CHOOSE(CONTROL!$C$42, 31.907, 31.907)* CHOOSE(CONTROL!$C$21, $C$9, 100%, $E$9)</f>
        <v>31.907</v>
      </c>
      <c r="K559" s="52">
        <f>CHOOSE(CONTROL!$C$42, 32.0173, 32.0173) * CHOOSE(CONTROL!$C$21, $C$9, 100%, $E$9)</f>
        <v>32.017299999999999</v>
      </c>
      <c r="L559" s="17">
        <f>CHOOSE(CONTROL!$C$42, 32.7621, 32.7621) * CHOOSE(CONTROL!$C$21, $C$9, 100%, $E$9)</f>
        <v>32.762099999999997</v>
      </c>
      <c r="M559" s="17">
        <f>CHOOSE(CONTROL!$C$42, 31.6271, 31.6271) * CHOOSE(CONTROL!$C$21, $C$9, 100%, $E$9)</f>
        <v>31.627099999999999</v>
      </c>
      <c r="N559" s="17">
        <f>CHOOSE(CONTROL!$C$42, 31.6434, 31.6434) * CHOOSE(CONTROL!$C$21, $C$9, 100%, $E$9)</f>
        <v>31.6434</v>
      </c>
      <c r="O559" s="17">
        <f>CHOOSE(CONTROL!$C$42, 31.8927, 31.8927) * CHOOSE(CONTROL!$C$21, $C$9, 100%, $E$9)</f>
        <v>31.892700000000001</v>
      </c>
      <c r="P559" s="17">
        <f>CHOOSE(CONTROL!$C$42, 31.7415, 31.7415) * CHOOSE(CONTROL!$C$21, $C$9, 100%, $E$9)</f>
        <v>31.741499999999998</v>
      </c>
      <c r="Q559" s="17">
        <f>CHOOSE(CONTROL!$C$42, 32.4874, 32.4874) * CHOOSE(CONTROL!$C$21, $C$9, 100%, $E$9)</f>
        <v>32.487400000000001</v>
      </c>
      <c r="R559" s="17">
        <f>CHOOSE(CONTROL!$C$42, 33.1556, 33.1556) * CHOOSE(CONTROL!$C$21, $C$9, 100%, $E$9)</f>
        <v>33.1556</v>
      </c>
      <c r="S559" s="17">
        <f>CHOOSE(CONTROL!$C$42, 30.9249, 30.9249) * CHOOSE(CONTROL!$C$21, $C$9, 100%, $E$9)</f>
        <v>30.924900000000001</v>
      </c>
      <c r="T55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59" s="56">
        <f>(1000*CHOOSE(CONTROL!$C$42, 695, 695)*CHOOSE(CONTROL!$C$42, 0.5599, 0.5599)*CHOOSE(CONTROL!$C$42, 31, 31))/1000000</f>
        <v>12.063045499999998</v>
      </c>
      <c r="V559" s="56">
        <f>(1000*CHOOSE(CONTROL!$C$42, 500, 500)*CHOOSE(CONTROL!$C$42, 0.275, 0.275)*CHOOSE(CONTROL!$C$42, 31, 31))/1000000</f>
        <v>4.2625000000000002</v>
      </c>
      <c r="W559" s="56">
        <f>(1000*CHOOSE(CONTROL!$C$42, 0.0916, 0.0916)*CHOOSE(CONTROL!$C$42, 121.5, 121.5)*CHOOSE(CONTROL!$C$42, 31, 31))/1000000</f>
        <v>0.34501139999999997</v>
      </c>
      <c r="X559" s="56">
        <f>(31*0.1790888*145000/1000000)+(31*0.2374*100000/1000000)</f>
        <v>1.5409441560000001</v>
      </c>
      <c r="Y559" s="56"/>
      <c r="Z559" s="17"/>
      <c r="AA559" s="55"/>
      <c r="AB559" s="48">
        <f>(B559*194.205+C559*267.466+D559*133.845+E559*153.484+F559*40+G559*85+H559*0+I559*100+J559*300)/(194.205+267.466+133.845+153.484+0+40+85+100+300)</f>
        <v>31.978043997566719</v>
      </c>
      <c r="AC559" s="45">
        <f>(M559*'RAP TEMPLATE-GAS AVAILABILITY'!O558+N559*'RAP TEMPLATE-GAS AVAILABILITY'!P558+O559*'RAP TEMPLATE-GAS AVAILABILITY'!Q558+P559*'RAP TEMPLATE-GAS AVAILABILITY'!R558)/('RAP TEMPLATE-GAS AVAILABILITY'!O558+'RAP TEMPLATE-GAS AVAILABILITY'!P558+'RAP TEMPLATE-GAS AVAILABILITY'!Q558+'RAP TEMPLATE-GAS AVAILABILITY'!R558)</f>
        <v>31.72183381294964</v>
      </c>
    </row>
    <row r="560" spans="1:29" ht="15.75" x14ac:dyDescent="0.25">
      <c r="A560" s="13">
        <v>57953</v>
      </c>
      <c r="B560" s="17">
        <f>CHOOSE(CONTROL!$C$42, 30.3279, 30.3279) * CHOOSE(CONTROL!$C$21, $C$9, 100%, $E$9)</f>
        <v>30.3279</v>
      </c>
      <c r="C560" s="17">
        <f>CHOOSE(CONTROL!$C$42, 30.3359, 30.3359) * CHOOSE(CONTROL!$C$21, $C$9, 100%, $E$9)</f>
        <v>30.335899999999999</v>
      </c>
      <c r="D560" s="17">
        <f>CHOOSE(CONTROL!$C$42, 30.5803, 30.5803) * CHOOSE(CONTROL!$C$21, $C$9, 100%, $E$9)</f>
        <v>30.580300000000001</v>
      </c>
      <c r="E560" s="17">
        <f>CHOOSE(CONTROL!$C$42, 30.6115, 30.6115) * CHOOSE(CONTROL!$C$21, $C$9, 100%, $E$9)</f>
        <v>30.611499999999999</v>
      </c>
      <c r="F560" s="17">
        <f>CHOOSE(CONTROL!$C$42, 30.3394, 30.3394)*CHOOSE(CONTROL!$C$21, $C$9, 100%, $E$9)</f>
        <v>30.339400000000001</v>
      </c>
      <c r="G560" s="17">
        <f>CHOOSE(CONTROL!$C$42, 30.3559, 30.3559)*CHOOSE(CONTROL!$C$21, $C$9, 100%, $E$9)</f>
        <v>30.355899999999998</v>
      </c>
      <c r="H560" s="17">
        <f>CHOOSE(CONTROL!$C$42, 30.5998, 30.5998) * CHOOSE(CONTROL!$C$21, $C$9, 100%, $E$9)</f>
        <v>30.599799999999998</v>
      </c>
      <c r="I560" s="17">
        <f>CHOOSE(CONTROL!$C$42, 30.4433, 30.4433)* CHOOSE(CONTROL!$C$21, $C$9, 100%, $E$9)</f>
        <v>30.443300000000001</v>
      </c>
      <c r="J560" s="17">
        <f>CHOOSE(CONTROL!$C$42, 30.332, 30.332)* CHOOSE(CONTROL!$C$21, $C$9, 100%, $E$9)</f>
        <v>30.332000000000001</v>
      </c>
      <c r="K560" s="52">
        <f>CHOOSE(CONTROL!$C$42, 30.4372, 30.4372) * CHOOSE(CONTROL!$C$21, $C$9, 100%, $E$9)</f>
        <v>30.437200000000001</v>
      </c>
      <c r="L560" s="17">
        <f>CHOOSE(CONTROL!$C$42, 31.1868, 31.1868) * CHOOSE(CONTROL!$C$21, $C$9, 100%, $E$9)</f>
        <v>31.186800000000002</v>
      </c>
      <c r="M560" s="17">
        <f>CHOOSE(CONTROL!$C$42, 30.0663, 30.0663) * CHOOSE(CONTROL!$C$21, $C$9, 100%, $E$9)</f>
        <v>30.066299999999998</v>
      </c>
      <c r="N560" s="17">
        <f>CHOOSE(CONTROL!$C$42, 30.0826, 30.0826) * CHOOSE(CONTROL!$C$21, $C$9, 100%, $E$9)</f>
        <v>30.082599999999999</v>
      </c>
      <c r="O560" s="17">
        <f>CHOOSE(CONTROL!$C$42, 30.3316, 30.3316) * CHOOSE(CONTROL!$C$21, $C$9, 100%, $E$9)</f>
        <v>30.331600000000002</v>
      </c>
      <c r="P560" s="17">
        <f>CHOOSE(CONTROL!$C$42, 30.1757, 30.1757) * CHOOSE(CONTROL!$C$21, $C$9, 100%, $E$9)</f>
        <v>30.175699999999999</v>
      </c>
      <c r="Q560" s="17">
        <f>CHOOSE(CONTROL!$C$42, 30.9263, 30.9263) * CHOOSE(CONTROL!$C$21, $C$9, 100%, $E$9)</f>
        <v>30.926300000000001</v>
      </c>
      <c r="R560" s="17">
        <f>CHOOSE(CONTROL!$C$42, 31.5907, 31.5907) * CHOOSE(CONTROL!$C$21, $C$9, 100%, $E$9)</f>
        <v>31.590699999999998</v>
      </c>
      <c r="S560" s="17">
        <f>CHOOSE(CONTROL!$C$42, 29.3974, 29.3974) * CHOOSE(CONTROL!$C$21, $C$9, 100%, $E$9)</f>
        <v>29.397400000000001</v>
      </c>
      <c r="T56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60" s="56">
        <f>(1000*CHOOSE(CONTROL!$C$42, 695, 695)*CHOOSE(CONTROL!$C$42, 0.5599, 0.5599)*CHOOSE(CONTROL!$C$42, 31, 31))/1000000</f>
        <v>12.063045499999998</v>
      </c>
      <c r="V560" s="56">
        <f>(1000*CHOOSE(CONTROL!$C$42, 500, 500)*CHOOSE(CONTROL!$C$42, 0.275, 0.275)*CHOOSE(CONTROL!$C$42, 31, 31))/1000000</f>
        <v>4.2625000000000002</v>
      </c>
      <c r="W560" s="56">
        <f>(1000*CHOOSE(CONTROL!$C$42, 0.0916, 0.0916)*CHOOSE(CONTROL!$C$42, 121.5, 121.5)*CHOOSE(CONTROL!$C$42, 31, 31))/1000000</f>
        <v>0.34501139999999997</v>
      </c>
      <c r="X560" s="56">
        <f>(31*0.1790888*145000/1000000)+(31*0.2374*100000/1000000)</f>
        <v>1.5409441560000001</v>
      </c>
      <c r="Y560" s="56"/>
      <c r="Z560" s="17"/>
      <c r="AA560" s="55"/>
      <c r="AB560" s="48">
        <f>(B560*194.205+C560*267.466+D560*133.845+E560*153.484+F560*40+G560*85+H560*0+I560*100+J560*300)/(194.205+267.466+133.845+153.484+0+40+85+100+300)</f>
        <v>30.402515595290424</v>
      </c>
      <c r="AC560" s="45">
        <f>(M560*'RAP TEMPLATE-GAS AVAILABILITY'!O559+N560*'RAP TEMPLATE-GAS AVAILABILITY'!P559+O560*'RAP TEMPLATE-GAS AVAILABILITY'!Q559+P560*'RAP TEMPLATE-GAS AVAILABILITY'!R559)/('RAP TEMPLATE-GAS AVAILABILITY'!O559+'RAP TEMPLATE-GAS AVAILABILITY'!P559+'RAP TEMPLATE-GAS AVAILABILITY'!Q559+'RAP TEMPLATE-GAS AVAILABILITY'!R559)</f>
        <v>30.16023021582734</v>
      </c>
    </row>
    <row r="561" spans="1:29" ht="15.75" x14ac:dyDescent="0.25">
      <c r="A561" s="13">
        <v>57983</v>
      </c>
      <c r="B561" s="17">
        <f>CHOOSE(CONTROL!$C$42, 28.403, 28.403) * CHOOSE(CONTROL!$C$21, $C$9, 100%, $E$9)</f>
        <v>28.402999999999999</v>
      </c>
      <c r="C561" s="17">
        <f>CHOOSE(CONTROL!$C$42, 28.411, 28.411) * CHOOSE(CONTROL!$C$21, $C$9, 100%, $E$9)</f>
        <v>28.411000000000001</v>
      </c>
      <c r="D561" s="17">
        <f>CHOOSE(CONTROL!$C$42, 28.6555, 28.6555) * CHOOSE(CONTROL!$C$21, $C$9, 100%, $E$9)</f>
        <v>28.6555</v>
      </c>
      <c r="E561" s="17">
        <f>CHOOSE(CONTROL!$C$42, 28.6866, 28.6866) * CHOOSE(CONTROL!$C$21, $C$9, 100%, $E$9)</f>
        <v>28.686599999999999</v>
      </c>
      <c r="F561" s="17">
        <f>CHOOSE(CONTROL!$C$42, 28.4146, 28.4146)*CHOOSE(CONTROL!$C$21, $C$9, 100%, $E$9)</f>
        <v>28.4146</v>
      </c>
      <c r="G561" s="17">
        <f>CHOOSE(CONTROL!$C$42, 28.4311, 28.4311)*CHOOSE(CONTROL!$C$21, $C$9, 100%, $E$9)</f>
        <v>28.431100000000001</v>
      </c>
      <c r="H561" s="17">
        <f>CHOOSE(CONTROL!$C$42, 28.675, 28.675) * CHOOSE(CONTROL!$C$21, $C$9, 100%, $E$9)</f>
        <v>28.675000000000001</v>
      </c>
      <c r="I561" s="17">
        <f>CHOOSE(CONTROL!$C$42, 28.5124, 28.5124)* CHOOSE(CONTROL!$C$21, $C$9, 100%, $E$9)</f>
        <v>28.5124</v>
      </c>
      <c r="J561" s="17">
        <f>CHOOSE(CONTROL!$C$42, 28.4072, 28.4072)* CHOOSE(CONTROL!$C$21, $C$9, 100%, $E$9)</f>
        <v>28.4072</v>
      </c>
      <c r="K561" s="52">
        <f>CHOOSE(CONTROL!$C$42, 28.5064, 28.5064) * CHOOSE(CONTROL!$C$21, $C$9, 100%, $E$9)</f>
        <v>28.506399999999999</v>
      </c>
      <c r="L561" s="17">
        <f>CHOOSE(CONTROL!$C$42, 29.262, 29.262) * CHOOSE(CONTROL!$C$21, $C$9, 100%, $E$9)</f>
        <v>29.262</v>
      </c>
      <c r="M561" s="17">
        <f>CHOOSE(CONTROL!$C$42, 28.1588, 28.1588) * CHOOSE(CONTROL!$C$21, $C$9, 100%, $E$9)</f>
        <v>28.158799999999999</v>
      </c>
      <c r="N561" s="17">
        <f>CHOOSE(CONTROL!$C$42, 28.1751, 28.1751) * CHOOSE(CONTROL!$C$21, $C$9, 100%, $E$9)</f>
        <v>28.1751</v>
      </c>
      <c r="O561" s="17">
        <f>CHOOSE(CONTROL!$C$42, 28.4241, 28.4241) * CHOOSE(CONTROL!$C$21, $C$9, 100%, $E$9)</f>
        <v>28.424099999999999</v>
      </c>
      <c r="P561" s="17">
        <f>CHOOSE(CONTROL!$C$42, 28.2623, 28.2623) * CHOOSE(CONTROL!$C$21, $C$9, 100%, $E$9)</f>
        <v>28.2623</v>
      </c>
      <c r="Q561" s="17">
        <f>CHOOSE(CONTROL!$C$42, 29.0188, 29.0188) * CHOOSE(CONTROL!$C$21, $C$9, 100%, $E$9)</f>
        <v>29.018799999999999</v>
      </c>
      <c r="R561" s="17">
        <f>CHOOSE(CONTROL!$C$42, 29.6783, 29.6783) * CHOOSE(CONTROL!$C$21, $C$9, 100%, $E$9)</f>
        <v>29.6783</v>
      </c>
      <c r="S561" s="17">
        <f>CHOOSE(CONTROL!$C$42, 27.5308, 27.5308) * CHOOSE(CONTROL!$C$21, $C$9, 100%, $E$9)</f>
        <v>27.530799999999999</v>
      </c>
      <c r="T56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61" s="56">
        <f>(1000*CHOOSE(CONTROL!$C$42, 695, 695)*CHOOSE(CONTROL!$C$42, 0.5599, 0.5599)*CHOOSE(CONTROL!$C$42, 30, 30))/1000000</f>
        <v>11.673914999999997</v>
      </c>
      <c r="V561" s="56">
        <f>(1000*CHOOSE(CONTROL!$C$42, 500, 500)*CHOOSE(CONTROL!$C$42, 0.275, 0.275)*CHOOSE(CONTROL!$C$42, 30, 30))/1000000</f>
        <v>4.125</v>
      </c>
      <c r="W561" s="56">
        <f>(1000*CHOOSE(CONTROL!$C$42, 0.0916, 0.0916)*CHOOSE(CONTROL!$C$42, 121.5, 121.5)*CHOOSE(CONTROL!$C$42, 30, 30))/1000000</f>
        <v>0.33388200000000001</v>
      </c>
      <c r="X561" s="56">
        <f>(30*0.1790888*145000/1000000)+(30*0.2374*100000/1000000)</f>
        <v>1.4912362799999999</v>
      </c>
      <c r="Y561" s="56"/>
      <c r="Z561" s="17"/>
      <c r="AA561" s="55"/>
      <c r="AB561" s="48">
        <f>(B561*194.205+C561*267.466+D561*133.845+E561*153.484+F561*40+G561*85+H561*0+I561*100+J561*300)/(194.205+267.466+133.845+153.484+0+40+85+100+300)</f>
        <v>28.477188503061221</v>
      </c>
      <c r="AC561" s="45">
        <f>(M561*'RAP TEMPLATE-GAS AVAILABILITY'!O560+N561*'RAP TEMPLATE-GAS AVAILABILITY'!P560+O561*'RAP TEMPLATE-GAS AVAILABILITY'!Q560+P561*'RAP TEMPLATE-GAS AVAILABILITY'!R560)/('RAP TEMPLATE-GAS AVAILABILITY'!O560+'RAP TEMPLATE-GAS AVAILABILITY'!P560+'RAP TEMPLATE-GAS AVAILABILITY'!Q560+'RAP TEMPLATE-GAS AVAILABILITY'!R560)</f>
        <v>28.251881294964026</v>
      </c>
    </row>
    <row r="562" spans="1:29" ht="15.75" x14ac:dyDescent="0.25">
      <c r="A562" s="13">
        <v>58014</v>
      </c>
      <c r="B562" s="17">
        <f>CHOOSE(CONTROL!$C$42, 27.8249, 27.8249) * CHOOSE(CONTROL!$C$21, $C$9, 100%, $E$9)</f>
        <v>27.8249</v>
      </c>
      <c r="C562" s="17">
        <f>CHOOSE(CONTROL!$C$42, 27.8302, 27.8302) * CHOOSE(CONTROL!$C$21, $C$9, 100%, $E$9)</f>
        <v>27.830200000000001</v>
      </c>
      <c r="D562" s="17">
        <f>CHOOSE(CONTROL!$C$42, 28.0795, 28.0795) * CHOOSE(CONTROL!$C$21, $C$9, 100%, $E$9)</f>
        <v>28.079499999999999</v>
      </c>
      <c r="E562" s="17">
        <f>CHOOSE(CONTROL!$C$42, 28.1084, 28.1084) * CHOOSE(CONTROL!$C$21, $C$9, 100%, $E$9)</f>
        <v>28.1084</v>
      </c>
      <c r="F562" s="17">
        <f>CHOOSE(CONTROL!$C$42, 27.8387, 27.8387)*CHOOSE(CONTROL!$C$21, $C$9, 100%, $E$9)</f>
        <v>27.838699999999999</v>
      </c>
      <c r="G562" s="17">
        <f>CHOOSE(CONTROL!$C$42, 27.8551, 27.8551)*CHOOSE(CONTROL!$C$21, $C$9, 100%, $E$9)</f>
        <v>27.8551</v>
      </c>
      <c r="H562" s="17">
        <f>CHOOSE(CONTROL!$C$42, 28.0985, 28.0985) * CHOOSE(CONTROL!$C$21, $C$9, 100%, $E$9)</f>
        <v>28.098500000000001</v>
      </c>
      <c r="I562" s="17">
        <f>CHOOSE(CONTROL!$C$42, 27.9342, 27.9342)* CHOOSE(CONTROL!$C$21, $C$9, 100%, $E$9)</f>
        <v>27.934200000000001</v>
      </c>
      <c r="J562" s="17">
        <f>CHOOSE(CONTROL!$C$42, 27.8313, 27.8313)* CHOOSE(CONTROL!$C$21, $C$9, 100%, $E$9)</f>
        <v>27.831299999999999</v>
      </c>
      <c r="K562" s="52">
        <f>CHOOSE(CONTROL!$C$42, 27.9281, 27.9281) * CHOOSE(CONTROL!$C$21, $C$9, 100%, $E$9)</f>
        <v>27.928100000000001</v>
      </c>
      <c r="L562" s="17">
        <f>CHOOSE(CONTROL!$C$42, 28.6855, 28.6855) * CHOOSE(CONTROL!$C$21, $C$9, 100%, $E$9)</f>
        <v>28.685500000000001</v>
      </c>
      <c r="M562" s="17">
        <f>CHOOSE(CONTROL!$C$42, 27.588, 27.588) * CHOOSE(CONTROL!$C$21, $C$9, 100%, $E$9)</f>
        <v>27.588000000000001</v>
      </c>
      <c r="N562" s="17">
        <f>CHOOSE(CONTROL!$C$42, 27.6042, 27.6042) * CHOOSE(CONTROL!$C$21, $C$9, 100%, $E$9)</f>
        <v>27.604199999999999</v>
      </c>
      <c r="O562" s="17">
        <f>CHOOSE(CONTROL!$C$42, 27.8528, 27.8528) * CHOOSE(CONTROL!$C$21, $C$9, 100%, $E$9)</f>
        <v>27.852799999999998</v>
      </c>
      <c r="P562" s="17">
        <f>CHOOSE(CONTROL!$C$42, 27.6893, 27.6893) * CHOOSE(CONTROL!$C$21, $C$9, 100%, $E$9)</f>
        <v>27.689299999999999</v>
      </c>
      <c r="Q562" s="17">
        <f>CHOOSE(CONTROL!$C$42, 28.4475, 28.4475) * CHOOSE(CONTROL!$C$21, $C$9, 100%, $E$9)</f>
        <v>28.447500000000002</v>
      </c>
      <c r="R562" s="17">
        <f>CHOOSE(CONTROL!$C$42, 29.1056, 29.1056) * CHOOSE(CONTROL!$C$21, $C$9, 100%, $E$9)</f>
        <v>29.105599999999999</v>
      </c>
      <c r="S562" s="17">
        <f>CHOOSE(CONTROL!$C$42, 26.9719, 26.9719) * CHOOSE(CONTROL!$C$21, $C$9, 100%, $E$9)</f>
        <v>26.971900000000002</v>
      </c>
      <c r="T56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62" s="56">
        <f>(1000*CHOOSE(CONTROL!$C$42, 695, 695)*CHOOSE(CONTROL!$C$42, 0.5599, 0.5599)*CHOOSE(CONTROL!$C$42, 31, 31))/1000000</f>
        <v>12.063045499999998</v>
      </c>
      <c r="V562" s="56">
        <f>(1000*CHOOSE(CONTROL!$C$42, 500, 500)*CHOOSE(CONTROL!$C$42, 0.275, 0.275)*CHOOSE(CONTROL!$C$42, 31, 31))/1000000</f>
        <v>4.2625000000000002</v>
      </c>
      <c r="W562" s="56">
        <f>(1000*CHOOSE(CONTROL!$C$42, 0.0916, 0.0916)*CHOOSE(CONTROL!$C$42, 121.5, 121.5)*CHOOSE(CONTROL!$C$42, 31, 31))/1000000</f>
        <v>0.34501139999999997</v>
      </c>
      <c r="X562" s="56">
        <f>(31*0.1790888*145000/1000000)+(31*0.2374*100000/1000000)</f>
        <v>1.5409441560000001</v>
      </c>
      <c r="Y562" s="56"/>
      <c r="Z562" s="17"/>
      <c r="AA562" s="55"/>
      <c r="AB562" s="48">
        <f>(B562*131.881+C562*277.167+D562*79.08+E562*225.872+F562*40+G562*85+H562*0+I562*100+J562*300)/(131.881+277.167+79.08+225.872+0+40+85+100+300)</f>
        <v>27.906906832203386</v>
      </c>
      <c r="AC562" s="45">
        <f>(M562*'RAP TEMPLATE-GAS AVAILABILITY'!O561+N562*'RAP TEMPLATE-GAS AVAILABILITY'!P561+O562*'RAP TEMPLATE-GAS AVAILABILITY'!Q561+P562*'RAP TEMPLATE-GAS AVAILABILITY'!R561)/('RAP TEMPLATE-GAS AVAILABILITY'!O561+'RAP TEMPLATE-GAS AVAILABILITY'!P561+'RAP TEMPLATE-GAS AVAILABILITY'!Q561+'RAP TEMPLATE-GAS AVAILABILITY'!R561)</f>
        <v>27.680601438848921</v>
      </c>
    </row>
    <row r="563" spans="1:29" ht="15.75" x14ac:dyDescent="0.25">
      <c r="A563" s="13">
        <v>58044</v>
      </c>
      <c r="B563" s="17">
        <f>CHOOSE(CONTROL!$C$42, 28.5572, 28.5572) * CHOOSE(CONTROL!$C$21, $C$9, 100%, $E$9)</f>
        <v>28.557200000000002</v>
      </c>
      <c r="C563" s="17">
        <f>CHOOSE(CONTROL!$C$42, 28.5623, 28.5623) * CHOOSE(CONTROL!$C$21, $C$9, 100%, $E$9)</f>
        <v>28.5623</v>
      </c>
      <c r="D563" s="17">
        <f>CHOOSE(CONTROL!$C$42, 28.6436, 28.6436) * CHOOSE(CONTROL!$C$21, $C$9, 100%, $E$9)</f>
        <v>28.643599999999999</v>
      </c>
      <c r="E563" s="17">
        <f>CHOOSE(CONTROL!$C$42, 28.6774, 28.6774) * CHOOSE(CONTROL!$C$21, $C$9, 100%, $E$9)</f>
        <v>28.677399999999999</v>
      </c>
      <c r="F563" s="17">
        <f>CHOOSE(CONTROL!$C$42, 28.5751, 28.5751)*CHOOSE(CONTROL!$C$21, $C$9, 100%, $E$9)</f>
        <v>28.575099999999999</v>
      </c>
      <c r="G563" s="17">
        <f>CHOOSE(CONTROL!$C$42, 28.5919, 28.5919)*CHOOSE(CONTROL!$C$21, $C$9, 100%, $E$9)</f>
        <v>28.591899999999999</v>
      </c>
      <c r="H563" s="17">
        <f>CHOOSE(CONTROL!$C$42, 28.6663, 28.6663) * CHOOSE(CONTROL!$C$21, $C$9, 100%, $E$9)</f>
        <v>28.6663</v>
      </c>
      <c r="I563" s="17">
        <f>CHOOSE(CONTROL!$C$42, 28.6708, 28.6708)* CHOOSE(CONTROL!$C$21, $C$9, 100%, $E$9)</f>
        <v>28.6708</v>
      </c>
      <c r="J563" s="17">
        <f>CHOOSE(CONTROL!$C$42, 28.5677, 28.5677)* CHOOSE(CONTROL!$C$21, $C$9, 100%, $E$9)</f>
        <v>28.567699999999999</v>
      </c>
      <c r="K563" s="52">
        <f>CHOOSE(CONTROL!$C$42, 28.6647, 28.6647) * CHOOSE(CONTROL!$C$21, $C$9, 100%, $E$9)</f>
        <v>28.6647</v>
      </c>
      <c r="L563" s="17">
        <f>CHOOSE(CONTROL!$C$42, 29.2533, 29.2533) * CHOOSE(CONTROL!$C$21, $C$9, 100%, $E$9)</f>
        <v>29.253299999999999</v>
      </c>
      <c r="M563" s="17">
        <f>CHOOSE(CONTROL!$C$42, 28.3178, 28.3178) * CHOOSE(CONTROL!$C$21, $C$9, 100%, $E$9)</f>
        <v>28.317799999999998</v>
      </c>
      <c r="N563" s="17">
        <f>CHOOSE(CONTROL!$C$42, 28.3344, 28.3344) * CHOOSE(CONTROL!$C$21, $C$9, 100%, $E$9)</f>
        <v>28.334399999999999</v>
      </c>
      <c r="O563" s="17">
        <f>CHOOSE(CONTROL!$C$42, 28.4155, 28.4155) * CHOOSE(CONTROL!$C$21, $C$9, 100%, $E$9)</f>
        <v>28.415500000000002</v>
      </c>
      <c r="P563" s="17">
        <f>CHOOSE(CONTROL!$C$42, 28.4192, 28.4192) * CHOOSE(CONTROL!$C$21, $C$9, 100%, $E$9)</f>
        <v>28.4192</v>
      </c>
      <c r="Q563" s="17">
        <f>CHOOSE(CONTROL!$C$42, 29.0102, 29.0102) * CHOOSE(CONTROL!$C$21, $C$9, 100%, $E$9)</f>
        <v>29.010200000000001</v>
      </c>
      <c r="R563" s="17">
        <f>CHOOSE(CONTROL!$C$42, 29.6697, 29.6697) * CHOOSE(CONTROL!$C$21, $C$9, 100%, $E$9)</f>
        <v>29.669699999999999</v>
      </c>
      <c r="S563" s="17">
        <f>CHOOSE(CONTROL!$C$42, 27.6824, 27.6824) * CHOOSE(CONTROL!$C$21, $C$9, 100%, $E$9)</f>
        <v>27.682400000000001</v>
      </c>
      <c r="T56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63" s="56">
        <f>(1000*CHOOSE(CONTROL!$C$42, 695, 695)*CHOOSE(CONTROL!$C$42, 0.5599, 0.5599)*CHOOSE(CONTROL!$C$42, 30, 30))/1000000</f>
        <v>11.673914999999997</v>
      </c>
      <c r="V563" s="56">
        <f>(1000*CHOOSE(CONTROL!$C$42, 500, 500)*CHOOSE(CONTROL!$C$42, 0.275, 0.275)*CHOOSE(CONTROL!$C$42, 30, 30))/1000000</f>
        <v>4.125</v>
      </c>
      <c r="W563" s="56">
        <f>(1000*CHOOSE(CONTROL!$C$42, 0.0916, 0.0916)*CHOOSE(CONTROL!$C$42, 121.5, 121.5)*CHOOSE(CONTROL!$C$42, 30, 30))/1000000</f>
        <v>0.33388200000000001</v>
      </c>
      <c r="X563" s="56">
        <f>(30*0.2374*100000/1000000)</f>
        <v>0.71220000000000006</v>
      </c>
      <c r="Y563" s="56"/>
      <c r="Z563" s="17"/>
      <c r="AA563" s="55"/>
      <c r="AB563" s="48">
        <f>(B563*122.58+C563*297.941+D563*89.177+E563*140.302+F563*40+G563*60+H563*0+I563*100+J563*300)/(122.58+297.941+89.177+140.302+0+40+60+100+300)</f>
        <v>28.594936254173909</v>
      </c>
      <c r="AC563" s="45">
        <f>(M563*'RAP TEMPLATE-GAS AVAILABILITY'!O562+N563*'RAP TEMPLATE-GAS AVAILABILITY'!P562+O563*'RAP TEMPLATE-GAS AVAILABILITY'!Q562+P563*'RAP TEMPLATE-GAS AVAILABILITY'!R562)/('RAP TEMPLATE-GAS AVAILABILITY'!O562+'RAP TEMPLATE-GAS AVAILABILITY'!P562+'RAP TEMPLATE-GAS AVAILABILITY'!Q562+'RAP TEMPLATE-GAS AVAILABILITY'!R562)</f>
        <v>28.377626618705033</v>
      </c>
    </row>
    <row r="564" spans="1:29" ht="15.75" x14ac:dyDescent="0.25">
      <c r="A564" s="13">
        <v>58075</v>
      </c>
      <c r="B564" s="17">
        <f>CHOOSE(CONTROL!$C$42, 30.5035, 30.5035) * CHOOSE(CONTROL!$C$21, $C$9, 100%, $E$9)</f>
        <v>30.503499999999999</v>
      </c>
      <c r="C564" s="17">
        <f>CHOOSE(CONTROL!$C$42, 30.5086, 30.5086) * CHOOSE(CONTROL!$C$21, $C$9, 100%, $E$9)</f>
        <v>30.508600000000001</v>
      </c>
      <c r="D564" s="17">
        <f>CHOOSE(CONTROL!$C$42, 30.5899, 30.5899) * CHOOSE(CONTROL!$C$21, $C$9, 100%, $E$9)</f>
        <v>30.5899</v>
      </c>
      <c r="E564" s="17">
        <f>CHOOSE(CONTROL!$C$42, 30.6237, 30.6237) * CHOOSE(CONTROL!$C$21, $C$9, 100%, $E$9)</f>
        <v>30.623699999999999</v>
      </c>
      <c r="F564" s="17">
        <f>CHOOSE(CONTROL!$C$42, 30.5238, 30.5238)*CHOOSE(CONTROL!$C$21, $C$9, 100%, $E$9)</f>
        <v>30.523800000000001</v>
      </c>
      <c r="G564" s="17">
        <f>CHOOSE(CONTROL!$C$42, 30.5412, 30.5412)*CHOOSE(CONTROL!$C$21, $C$9, 100%, $E$9)</f>
        <v>30.5412</v>
      </c>
      <c r="H564" s="17">
        <f>CHOOSE(CONTROL!$C$42, 30.6126, 30.6126) * CHOOSE(CONTROL!$C$21, $C$9, 100%, $E$9)</f>
        <v>30.6126</v>
      </c>
      <c r="I564" s="17">
        <f>CHOOSE(CONTROL!$C$42, 30.6231, 30.6231)* CHOOSE(CONTROL!$C$21, $C$9, 100%, $E$9)</f>
        <v>30.623100000000001</v>
      </c>
      <c r="J564" s="17">
        <f>CHOOSE(CONTROL!$C$42, 30.5164, 30.5164)* CHOOSE(CONTROL!$C$21, $C$9, 100%, $E$9)</f>
        <v>30.516400000000001</v>
      </c>
      <c r="K564" s="52">
        <f>CHOOSE(CONTROL!$C$42, 30.6171, 30.6171) * CHOOSE(CONTROL!$C$21, $C$9, 100%, $E$9)</f>
        <v>30.617100000000001</v>
      </c>
      <c r="L564" s="17">
        <f>CHOOSE(CONTROL!$C$42, 31.1996, 31.1996) * CHOOSE(CONTROL!$C$21, $C$9, 100%, $E$9)</f>
        <v>31.1996</v>
      </c>
      <c r="M564" s="17">
        <f>CHOOSE(CONTROL!$C$42, 30.249, 30.249) * CHOOSE(CONTROL!$C$21, $C$9, 100%, $E$9)</f>
        <v>30.248999999999999</v>
      </c>
      <c r="N564" s="17">
        <f>CHOOSE(CONTROL!$C$42, 30.2662, 30.2662) * CHOOSE(CONTROL!$C$21, $C$9, 100%, $E$9)</f>
        <v>30.266200000000001</v>
      </c>
      <c r="O564" s="17">
        <f>CHOOSE(CONTROL!$C$42, 30.3443, 30.3443) * CHOOSE(CONTROL!$C$21, $C$9, 100%, $E$9)</f>
        <v>30.3443</v>
      </c>
      <c r="P564" s="17">
        <f>CHOOSE(CONTROL!$C$42, 30.3539, 30.3539) * CHOOSE(CONTROL!$C$21, $C$9, 100%, $E$9)</f>
        <v>30.353899999999999</v>
      </c>
      <c r="Q564" s="17">
        <f>CHOOSE(CONTROL!$C$42, 30.939, 30.939) * CHOOSE(CONTROL!$C$21, $C$9, 100%, $E$9)</f>
        <v>30.939</v>
      </c>
      <c r="R564" s="17">
        <f>CHOOSE(CONTROL!$C$42, 31.6033, 31.6033) * CHOOSE(CONTROL!$C$21, $C$9, 100%, $E$9)</f>
        <v>31.603300000000001</v>
      </c>
      <c r="S564" s="17">
        <f>CHOOSE(CONTROL!$C$42, 29.5697, 29.5697) * CHOOSE(CONTROL!$C$21, $C$9, 100%, $E$9)</f>
        <v>29.569700000000001</v>
      </c>
      <c r="T56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64" s="56">
        <f>(1000*CHOOSE(CONTROL!$C$42, 695, 695)*CHOOSE(CONTROL!$C$42, 0.5599, 0.5599)*CHOOSE(CONTROL!$C$42, 31, 31))/1000000</f>
        <v>12.063045499999998</v>
      </c>
      <c r="V564" s="56">
        <f>(1000*CHOOSE(CONTROL!$C$42, 500, 500)*CHOOSE(CONTROL!$C$42, 0.275, 0.275)*CHOOSE(CONTROL!$C$42, 31, 31))/1000000</f>
        <v>4.2625000000000002</v>
      </c>
      <c r="W564" s="56">
        <f>(1000*CHOOSE(CONTROL!$C$42, 0.0916, 0.0916)*CHOOSE(CONTROL!$C$42, 121.5, 121.5)*CHOOSE(CONTROL!$C$42, 31, 31))/1000000</f>
        <v>0.34501139999999997</v>
      </c>
      <c r="X564" s="56">
        <f>(31*0.2374*100000/1000000)</f>
        <v>0.73594000000000004</v>
      </c>
      <c r="Y564" s="56"/>
      <c r="Z564" s="17"/>
      <c r="AA564" s="55"/>
      <c r="AB564" s="48">
        <f>(B564*122.58+C564*297.941+D564*89.177+E564*140.302+F564*40+G564*60+H564*0+I564*100+J564*300)/(122.58+297.941+89.177+140.302+0+40+60+100+300)</f>
        <v>30.542624080260872</v>
      </c>
      <c r="AC564" s="45">
        <f>(M564*'RAP TEMPLATE-GAS AVAILABILITY'!O563+N564*'RAP TEMPLATE-GAS AVAILABILITY'!P563+O564*'RAP TEMPLATE-GAS AVAILABILITY'!Q563+P564*'RAP TEMPLATE-GAS AVAILABILITY'!R563)/('RAP TEMPLATE-GAS AVAILABILITY'!O563+'RAP TEMPLATE-GAS AVAILABILITY'!P563+'RAP TEMPLATE-GAS AVAILABILITY'!Q563+'RAP TEMPLATE-GAS AVAILABILITY'!R563)</f>
        <v>30.308276978417265</v>
      </c>
    </row>
    <row r="565" spans="1:29" ht="15.75" x14ac:dyDescent="0.25">
      <c r="A565" s="13">
        <v>58106</v>
      </c>
      <c r="B565" s="17">
        <f>CHOOSE(CONTROL!$C$42, 33.0314, 33.0314) * CHOOSE(CONTROL!$C$21, $C$9, 100%, $E$9)</f>
        <v>33.031399999999998</v>
      </c>
      <c r="C565" s="17">
        <f>CHOOSE(CONTROL!$C$42, 33.0365, 33.0365) * CHOOSE(CONTROL!$C$21, $C$9, 100%, $E$9)</f>
        <v>33.036499999999997</v>
      </c>
      <c r="D565" s="17">
        <f>CHOOSE(CONTROL!$C$42, 33.1333, 33.1333) * CHOOSE(CONTROL!$C$21, $C$9, 100%, $E$9)</f>
        <v>33.133299999999998</v>
      </c>
      <c r="E565" s="17">
        <f>CHOOSE(CONTROL!$C$42, 33.1671, 33.1671) * CHOOSE(CONTROL!$C$21, $C$9, 100%, $E$9)</f>
        <v>33.167099999999998</v>
      </c>
      <c r="F565" s="17">
        <f>CHOOSE(CONTROL!$C$42, 33.0456, 33.0456)*CHOOSE(CONTROL!$C$21, $C$9, 100%, $E$9)</f>
        <v>33.0456</v>
      </c>
      <c r="G565" s="17">
        <f>CHOOSE(CONTROL!$C$42, 33.0621, 33.0621)*CHOOSE(CONTROL!$C$21, $C$9, 100%, $E$9)</f>
        <v>33.062100000000001</v>
      </c>
      <c r="H565" s="17">
        <f>CHOOSE(CONTROL!$C$42, 33.1559, 33.1559) * CHOOSE(CONTROL!$C$21, $C$9, 100%, $E$9)</f>
        <v>33.155900000000003</v>
      </c>
      <c r="I565" s="17">
        <f>CHOOSE(CONTROL!$C$42, 33.1588, 33.1588)* CHOOSE(CONTROL!$C$21, $C$9, 100%, $E$9)</f>
        <v>33.158799999999999</v>
      </c>
      <c r="J565" s="17">
        <f>CHOOSE(CONTROL!$C$42, 33.0382, 33.0382)* CHOOSE(CONTROL!$C$21, $C$9, 100%, $E$9)</f>
        <v>33.038200000000003</v>
      </c>
      <c r="K565" s="52">
        <f>CHOOSE(CONTROL!$C$42, 33.1528, 33.1528) * CHOOSE(CONTROL!$C$21, $C$9, 100%, $E$9)</f>
        <v>33.152799999999999</v>
      </c>
      <c r="L565" s="17">
        <f>CHOOSE(CONTROL!$C$42, 33.7429, 33.7429) * CHOOSE(CONTROL!$C$21, $C$9, 100%, $E$9)</f>
        <v>33.742899999999999</v>
      </c>
      <c r="M565" s="17">
        <f>CHOOSE(CONTROL!$C$42, 32.7481, 32.7481) * CHOOSE(CONTROL!$C$21, $C$9, 100%, $E$9)</f>
        <v>32.748100000000001</v>
      </c>
      <c r="N565" s="17">
        <f>CHOOSE(CONTROL!$C$42, 32.7644, 32.7644) * CHOOSE(CONTROL!$C$21, $C$9, 100%, $E$9)</f>
        <v>32.764400000000002</v>
      </c>
      <c r="O565" s="17">
        <f>CHOOSE(CONTROL!$C$42, 32.8648, 32.8648) * CHOOSE(CONTROL!$C$21, $C$9, 100%, $E$9)</f>
        <v>32.864800000000002</v>
      </c>
      <c r="P565" s="17">
        <f>CHOOSE(CONTROL!$C$42, 32.8668, 32.8668) * CHOOSE(CONTROL!$C$21, $C$9, 100%, $E$9)</f>
        <v>32.866799999999998</v>
      </c>
      <c r="Q565" s="17">
        <f>CHOOSE(CONTROL!$C$42, 33.4595, 33.4595) * CHOOSE(CONTROL!$C$21, $C$9, 100%, $E$9)</f>
        <v>33.459499999999998</v>
      </c>
      <c r="R565" s="17">
        <f>CHOOSE(CONTROL!$C$42, 34.1301, 34.1301) * CHOOSE(CONTROL!$C$21, $C$9, 100%, $E$9)</f>
        <v>34.130099999999999</v>
      </c>
      <c r="S565" s="17">
        <f>CHOOSE(CONTROL!$C$42, 32.021, 32.021) * CHOOSE(CONTROL!$C$21, $C$9, 100%, $E$9)</f>
        <v>32.021000000000001</v>
      </c>
      <c r="T56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65" s="56">
        <f>(1000*CHOOSE(CONTROL!$C$42, 695, 695)*CHOOSE(CONTROL!$C$42, 0.5599, 0.5599)*CHOOSE(CONTROL!$C$42, 31, 31))/1000000</f>
        <v>12.063045499999998</v>
      </c>
      <c r="V565" s="56">
        <f>(1000*CHOOSE(CONTROL!$C$42, 500, 500)*CHOOSE(CONTROL!$C$42, 0.275, 0.275)*CHOOSE(CONTROL!$C$42, 31, 31))/1000000</f>
        <v>4.2625000000000002</v>
      </c>
      <c r="W565" s="56">
        <f>(1000*CHOOSE(CONTROL!$C$42, 0.0916, 0.0916)*CHOOSE(CONTROL!$C$42, 121.5, 121.5)*CHOOSE(CONTROL!$C$42, 31, 31))/1000000</f>
        <v>0.34501139999999997</v>
      </c>
      <c r="X565" s="56">
        <f>(31*0.2374*100000/1000000)</f>
        <v>0.73594000000000004</v>
      </c>
      <c r="Y565" s="56"/>
      <c r="Z565" s="17"/>
      <c r="AA565" s="55"/>
      <c r="AB565" s="48">
        <f>(B565*122.58+C565*297.941+D565*89.177+E565*140.302+F565*40+G565*60+H565*0+I565*100+J565*300)/(122.58+297.941+89.177+140.302+0+40+60+100+300)</f>
        <v>33.072126623304342</v>
      </c>
      <c r="AC565" s="45">
        <f>(M565*'RAP TEMPLATE-GAS AVAILABILITY'!O564+N565*'RAP TEMPLATE-GAS AVAILABILITY'!P564+O565*'RAP TEMPLATE-GAS AVAILABILITY'!Q564+P565*'RAP TEMPLATE-GAS AVAILABILITY'!R564)/('RAP TEMPLATE-GAS AVAILABILITY'!O564+'RAP TEMPLATE-GAS AVAILABILITY'!P564+'RAP TEMPLATE-GAS AVAILABILITY'!Q564+'RAP TEMPLATE-GAS AVAILABILITY'!R564)</f>
        <v>32.819010071942444</v>
      </c>
    </row>
    <row r="566" spans="1:29" ht="15.75" x14ac:dyDescent="0.25">
      <c r="A566" s="13">
        <v>58134</v>
      </c>
      <c r="B566" s="17">
        <f>CHOOSE(CONTROL!$C$42, 33.6192, 33.6192) * CHOOSE(CONTROL!$C$21, $C$9, 100%, $E$9)</f>
        <v>33.619199999999999</v>
      </c>
      <c r="C566" s="17">
        <f>CHOOSE(CONTROL!$C$42, 33.6243, 33.6243) * CHOOSE(CONTROL!$C$21, $C$9, 100%, $E$9)</f>
        <v>33.624299999999998</v>
      </c>
      <c r="D566" s="17">
        <f>CHOOSE(CONTROL!$C$42, 33.7211, 33.7211) * CHOOSE(CONTROL!$C$21, $C$9, 100%, $E$9)</f>
        <v>33.7211</v>
      </c>
      <c r="E566" s="17">
        <f>CHOOSE(CONTROL!$C$42, 33.7549, 33.7549) * CHOOSE(CONTROL!$C$21, $C$9, 100%, $E$9)</f>
        <v>33.754899999999999</v>
      </c>
      <c r="F566" s="17">
        <f>CHOOSE(CONTROL!$C$42, 33.6335, 33.6335)*CHOOSE(CONTROL!$C$21, $C$9, 100%, $E$9)</f>
        <v>33.633499999999998</v>
      </c>
      <c r="G566" s="17">
        <f>CHOOSE(CONTROL!$C$42, 33.6499, 33.6499)*CHOOSE(CONTROL!$C$21, $C$9, 100%, $E$9)</f>
        <v>33.649900000000002</v>
      </c>
      <c r="H566" s="17">
        <f>CHOOSE(CONTROL!$C$42, 33.7438, 33.7438) * CHOOSE(CONTROL!$C$21, $C$9, 100%, $E$9)</f>
        <v>33.7438</v>
      </c>
      <c r="I566" s="17">
        <f>CHOOSE(CONTROL!$C$42, 33.7485, 33.7485)* CHOOSE(CONTROL!$C$21, $C$9, 100%, $E$9)</f>
        <v>33.7485</v>
      </c>
      <c r="J566" s="17">
        <f>CHOOSE(CONTROL!$C$42, 33.6261, 33.6261)* CHOOSE(CONTROL!$C$21, $C$9, 100%, $E$9)</f>
        <v>33.626100000000001</v>
      </c>
      <c r="K566" s="52">
        <f>CHOOSE(CONTROL!$C$42, 33.7424, 33.7424) * CHOOSE(CONTROL!$C$21, $C$9, 100%, $E$9)</f>
        <v>33.742400000000004</v>
      </c>
      <c r="L566" s="17">
        <f>CHOOSE(CONTROL!$C$42, 34.3308, 34.3308) * CHOOSE(CONTROL!$C$21, $C$9, 100%, $E$9)</f>
        <v>34.330800000000004</v>
      </c>
      <c r="M566" s="17">
        <f>CHOOSE(CONTROL!$C$42, 33.3306, 33.3306) * CHOOSE(CONTROL!$C$21, $C$9, 100%, $E$9)</f>
        <v>33.330599999999997</v>
      </c>
      <c r="N566" s="17">
        <f>CHOOSE(CONTROL!$C$42, 33.3469, 33.3469) * CHOOSE(CONTROL!$C$21, $C$9, 100%, $E$9)</f>
        <v>33.346899999999998</v>
      </c>
      <c r="O566" s="17">
        <f>CHOOSE(CONTROL!$C$42, 33.4473, 33.4473) * CHOOSE(CONTROL!$C$21, $C$9, 100%, $E$9)</f>
        <v>33.447299999999998</v>
      </c>
      <c r="P566" s="17">
        <f>CHOOSE(CONTROL!$C$42, 33.4511, 33.4511) * CHOOSE(CONTROL!$C$21, $C$9, 100%, $E$9)</f>
        <v>33.451099999999997</v>
      </c>
      <c r="Q566" s="17">
        <f>CHOOSE(CONTROL!$C$42, 34.042, 34.042) * CHOOSE(CONTROL!$C$21, $C$9, 100%, $E$9)</f>
        <v>34.042000000000002</v>
      </c>
      <c r="R566" s="17">
        <f>CHOOSE(CONTROL!$C$42, 34.7141, 34.7141) * CHOOSE(CONTROL!$C$21, $C$9, 100%, $E$9)</f>
        <v>34.714100000000002</v>
      </c>
      <c r="S566" s="17">
        <f>CHOOSE(CONTROL!$C$42, 32.591, 32.591) * CHOOSE(CONTROL!$C$21, $C$9, 100%, $E$9)</f>
        <v>32.591000000000001</v>
      </c>
      <c r="T56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66" s="56">
        <f>(1000*CHOOSE(CONTROL!$C$42, 695, 695)*CHOOSE(CONTROL!$C$42, 0.5599, 0.5599)*CHOOSE(CONTROL!$C$42, 28, 28))/1000000</f>
        <v>10.895653999999999</v>
      </c>
      <c r="V566" s="56">
        <f>(1000*CHOOSE(CONTROL!$C$42, 500, 500)*CHOOSE(CONTROL!$C$42, 0.275, 0.275)*CHOOSE(CONTROL!$C$42, 28, 28))/1000000</f>
        <v>3.85</v>
      </c>
      <c r="W566" s="56">
        <f>(1000*CHOOSE(CONTROL!$C$42, 0.0916, 0.0916)*CHOOSE(CONTROL!$C$42, 121.5, 121.5)*CHOOSE(CONTROL!$C$42, 28, 28))/1000000</f>
        <v>0.31162319999999999</v>
      </c>
      <c r="X566" s="56">
        <f>(28*0.2374*100000/1000000)</f>
        <v>0.66471999999999998</v>
      </c>
      <c r="Y566" s="56"/>
      <c r="Z566" s="17"/>
      <c r="AA566" s="55"/>
      <c r="AB566" s="48">
        <f>(B566*122.58+C566*297.941+D566*89.177+E566*140.302+F566*40+G566*60+H566*0+I566*100+J566*300)/(122.58+297.941+89.177+140.302+0+40+60+100+300)</f>
        <v>33.660121405913046</v>
      </c>
      <c r="AC566" s="45">
        <f>(M566*'RAP TEMPLATE-GAS AVAILABILITY'!O565+N566*'RAP TEMPLATE-GAS AVAILABILITY'!P565+O566*'RAP TEMPLATE-GAS AVAILABILITY'!Q565+P566*'RAP TEMPLATE-GAS AVAILABILITY'!R565)/('RAP TEMPLATE-GAS AVAILABILITY'!O565+'RAP TEMPLATE-GAS AVAILABILITY'!P565+'RAP TEMPLATE-GAS AVAILABILITY'!Q565+'RAP TEMPLATE-GAS AVAILABILITY'!R565)</f>
        <v>33.401769064748201</v>
      </c>
    </row>
    <row r="567" spans="1:29" ht="15.75" x14ac:dyDescent="0.25">
      <c r="A567" s="13">
        <v>58165</v>
      </c>
      <c r="B567" s="17">
        <f>CHOOSE(CONTROL!$C$42, 32.665, 32.665) * CHOOSE(CONTROL!$C$21, $C$9, 100%, $E$9)</f>
        <v>32.664999999999999</v>
      </c>
      <c r="C567" s="17">
        <f>CHOOSE(CONTROL!$C$42, 32.6701, 32.6701) * CHOOSE(CONTROL!$C$21, $C$9, 100%, $E$9)</f>
        <v>32.670099999999998</v>
      </c>
      <c r="D567" s="17">
        <f>CHOOSE(CONTROL!$C$42, 32.7669, 32.7669) * CHOOSE(CONTROL!$C$21, $C$9, 100%, $E$9)</f>
        <v>32.7669</v>
      </c>
      <c r="E567" s="17">
        <f>CHOOSE(CONTROL!$C$42, 32.8007, 32.8007) * CHOOSE(CONTROL!$C$21, $C$9, 100%, $E$9)</f>
        <v>32.800699999999999</v>
      </c>
      <c r="F567" s="17">
        <f>CHOOSE(CONTROL!$C$42, 32.6786, 32.6786)*CHOOSE(CONTROL!$C$21, $C$9, 100%, $E$9)</f>
        <v>32.678600000000003</v>
      </c>
      <c r="G567" s="17">
        <f>CHOOSE(CONTROL!$C$42, 32.6949, 32.6949)*CHOOSE(CONTROL!$C$21, $C$9, 100%, $E$9)</f>
        <v>32.694899999999997</v>
      </c>
      <c r="H567" s="17">
        <f>CHOOSE(CONTROL!$C$42, 32.7896, 32.7896) * CHOOSE(CONTROL!$C$21, $C$9, 100%, $E$9)</f>
        <v>32.7896</v>
      </c>
      <c r="I567" s="17">
        <f>CHOOSE(CONTROL!$C$42, 32.7914, 32.7914)* CHOOSE(CONTROL!$C$21, $C$9, 100%, $E$9)</f>
        <v>32.791400000000003</v>
      </c>
      <c r="J567" s="17">
        <f>CHOOSE(CONTROL!$C$42, 32.6712, 32.6712)* CHOOSE(CONTROL!$C$21, $C$9, 100%, $E$9)</f>
        <v>32.671199999999999</v>
      </c>
      <c r="K567" s="52">
        <f>CHOOSE(CONTROL!$C$42, 32.7853, 32.7853) * CHOOSE(CONTROL!$C$21, $C$9, 100%, $E$9)</f>
        <v>32.785299999999999</v>
      </c>
      <c r="L567" s="17">
        <f>CHOOSE(CONTROL!$C$42, 33.3766, 33.3766) * CHOOSE(CONTROL!$C$21, $C$9, 100%, $E$9)</f>
        <v>33.376600000000003</v>
      </c>
      <c r="M567" s="17">
        <f>CHOOSE(CONTROL!$C$42, 32.3844, 32.3844) * CHOOSE(CONTROL!$C$21, $C$9, 100%, $E$9)</f>
        <v>32.384399999999999</v>
      </c>
      <c r="N567" s="17">
        <f>CHOOSE(CONTROL!$C$42, 32.4005, 32.4005) * CHOOSE(CONTROL!$C$21, $C$9, 100%, $E$9)</f>
        <v>32.400500000000001</v>
      </c>
      <c r="O567" s="17">
        <f>CHOOSE(CONTROL!$C$42, 32.5017, 32.5017) * CHOOSE(CONTROL!$C$21, $C$9, 100%, $E$9)</f>
        <v>32.5017</v>
      </c>
      <c r="P567" s="17">
        <f>CHOOSE(CONTROL!$C$42, 32.5026, 32.5026) * CHOOSE(CONTROL!$C$21, $C$9, 100%, $E$9)</f>
        <v>32.502600000000001</v>
      </c>
      <c r="Q567" s="17">
        <f>CHOOSE(CONTROL!$C$42, 33.0964, 33.0964) * CHOOSE(CONTROL!$C$21, $C$9, 100%, $E$9)</f>
        <v>33.096400000000003</v>
      </c>
      <c r="R567" s="17">
        <f>CHOOSE(CONTROL!$C$42, 33.7661, 33.7661) * CHOOSE(CONTROL!$C$21, $C$9, 100%, $E$9)</f>
        <v>33.766100000000002</v>
      </c>
      <c r="S567" s="17">
        <f>CHOOSE(CONTROL!$C$42, 31.6658, 31.6658) * CHOOSE(CONTROL!$C$21, $C$9, 100%, $E$9)</f>
        <v>31.665800000000001</v>
      </c>
      <c r="T56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67" s="56">
        <f>(1000*CHOOSE(CONTROL!$C$42, 695, 695)*CHOOSE(CONTROL!$C$42, 0.5599, 0.5599)*CHOOSE(CONTROL!$C$42, 31, 31))/1000000</f>
        <v>12.063045499999998</v>
      </c>
      <c r="V567" s="56">
        <f>(1000*CHOOSE(CONTROL!$C$42, 500, 500)*CHOOSE(CONTROL!$C$42, 0.275, 0.275)*CHOOSE(CONTROL!$C$42, 31, 31))/1000000</f>
        <v>4.2625000000000002</v>
      </c>
      <c r="W567" s="56">
        <f>(1000*CHOOSE(CONTROL!$C$42, 0.0916, 0.0916)*CHOOSE(CONTROL!$C$42, 121.5, 121.5)*CHOOSE(CONTROL!$C$42, 31, 31))/1000000</f>
        <v>0.34501139999999997</v>
      </c>
      <c r="X567" s="56">
        <f>(31*0.2374*100000/1000000)</f>
        <v>0.73594000000000004</v>
      </c>
      <c r="Y567" s="56"/>
      <c r="Z567" s="17"/>
      <c r="AA567" s="55"/>
      <c r="AB567" s="48">
        <f>(B567*122.58+C567*297.941+D567*89.177+E567*140.302+F567*40+G567*60+H567*0+I567*100+J567*300)/(122.58+297.941+89.177+140.302+0+40+60+100+300)</f>
        <v>32.70542053634783</v>
      </c>
      <c r="AC567" s="45">
        <f>(M567*'RAP TEMPLATE-GAS AVAILABILITY'!O566+N567*'RAP TEMPLATE-GAS AVAILABILITY'!P566+O567*'RAP TEMPLATE-GAS AVAILABILITY'!Q566+P567*'RAP TEMPLATE-GAS AVAILABILITY'!R566)/('RAP TEMPLATE-GAS AVAILABILITY'!O566+'RAP TEMPLATE-GAS AVAILABILITY'!P566+'RAP TEMPLATE-GAS AVAILABILITY'!Q566+'RAP TEMPLATE-GAS AVAILABILITY'!R566)</f>
        <v>32.455498561151074</v>
      </c>
    </row>
    <row r="568" spans="1:29" ht="15.75" x14ac:dyDescent="0.25">
      <c r="A568" s="13">
        <v>58195</v>
      </c>
      <c r="B568" s="17">
        <f>CHOOSE(CONTROL!$C$42, 32.5683, 32.5683) * CHOOSE(CONTROL!$C$21, $C$9, 100%, $E$9)</f>
        <v>32.568300000000001</v>
      </c>
      <c r="C568" s="17">
        <f>CHOOSE(CONTROL!$C$42, 32.5728, 32.5728) * CHOOSE(CONTROL!$C$21, $C$9, 100%, $E$9)</f>
        <v>32.572800000000001</v>
      </c>
      <c r="D568" s="17">
        <f>CHOOSE(CONTROL!$C$42, 32.8203, 32.8203) * CHOOSE(CONTROL!$C$21, $C$9, 100%, $E$9)</f>
        <v>32.820300000000003</v>
      </c>
      <c r="E568" s="17">
        <f>CHOOSE(CONTROL!$C$42, 32.8521, 32.8521) * CHOOSE(CONTROL!$C$21, $C$9, 100%, $E$9)</f>
        <v>32.8521</v>
      </c>
      <c r="F568" s="17">
        <f>CHOOSE(CONTROL!$C$42, 32.5799, 32.5799)*CHOOSE(CONTROL!$C$21, $C$9, 100%, $E$9)</f>
        <v>32.579900000000002</v>
      </c>
      <c r="G568" s="17">
        <f>CHOOSE(CONTROL!$C$42, 32.5958, 32.5958)*CHOOSE(CONTROL!$C$21, $C$9, 100%, $E$9)</f>
        <v>32.595799999999997</v>
      </c>
      <c r="H568" s="17">
        <f>CHOOSE(CONTROL!$C$42, 32.8416, 32.8416) * CHOOSE(CONTROL!$C$21, $C$9, 100%, $E$9)</f>
        <v>32.8416</v>
      </c>
      <c r="I568" s="17">
        <f>CHOOSE(CONTROL!$C$42, 32.6919, 32.6919)* CHOOSE(CONTROL!$C$21, $C$9, 100%, $E$9)</f>
        <v>32.691899999999997</v>
      </c>
      <c r="J568" s="17">
        <f>CHOOSE(CONTROL!$C$42, 32.5725, 32.5725)* CHOOSE(CONTROL!$C$21, $C$9, 100%, $E$9)</f>
        <v>32.572499999999998</v>
      </c>
      <c r="K568" s="52">
        <f>CHOOSE(CONTROL!$C$42, 32.6859, 32.6859) * CHOOSE(CONTROL!$C$21, $C$9, 100%, $E$9)</f>
        <v>32.685899999999997</v>
      </c>
      <c r="L568" s="17">
        <f>CHOOSE(CONTROL!$C$42, 33.4286, 33.4286) * CHOOSE(CONTROL!$C$21, $C$9, 100%, $E$9)</f>
        <v>33.428600000000003</v>
      </c>
      <c r="M568" s="17">
        <f>CHOOSE(CONTROL!$C$42, 32.2866, 32.2866) * CHOOSE(CONTROL!$C$21, $C$9, 100%, $E$9)</f>
        <v>32.2866</v>
      </c>
      <c r="N568" s="17">
        <f>CHOOSE(CONTROL!$C$42, 32.3023, 32.3023) * CHOOSE(CONTROL!$C$21, $C$9, 100%, $E$9)</f>
        <v>32.302300000000002</v>
      </c>
      <c r="O568" s="17">
        <f>CHOOSE(CONTROL!$C$42, 32.5532, 32.5532) * CHOOSE(CONTROL!$C$21, $C$9, 100%, $E$9)</f>
        <v>32.553199999999997</v>
      </c>
      <c r="P568" s="17">
        <f>CHOOSE(CONTROL!$C$42, 32.4041, 32.4041) * CHOOSE(CONTROL!$C$21, $C$9, 100%, $E$9)</f>
        <v>32.4041</v>
      </c>
      <c r="Q568" s="17">
        <f>CHOOSE(CONTROL!$C$42, 33.1479, 33.1479) * CHOOSE(CONTROL!$C$21, $C$9, 100%, $E$9)</f>
        <v>33.1479</v>
      </c>
      <c r="R568" s="17">
        <f>CHOOSE(CONTROL!$C$42, 33.8178, 33.8178) * CHOOSE(CONTROL!$C$21, $C$9, 100%, $E$9)</f>
        <v>33.817799999999998</v>
      </c>
      <c r="S568" s="17">
        <f>CHOOSE(CONTROL!$C$42, 31.5712, 31.5712) * CHOOSE(CONTROL!$C$21, $C$9, 100%, $E$9)</f>
        <v>31.571200000000001</v>
      </c>
      <c r="T56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68" s="56">
        <f>(1000*CHOOSE(CONTROL!$C$42, 695, 695)*CHOOSE(CONTROL!$C$42, 0.5599, 0.5599)*CHOOSE(CONTROL!$C$42, 30, 30))/1000000</f>
        <v>11.673914999999997</v>
      </c>
      <c r="V568" s="56">
        <f>(1000*CHOOSE(CONTROL!$C$42, 500, 500)*CHOOSE(CONTROL!$C$42, 0.275, 0.275)*CHOOSE(CONTROL!$C$42, 30, 30))/1000000</f>
        <v>4.125</v>
      </c>
      <c r="W568" s="56">
        <f>(1000*CHOOSE(CONTROL!$C$42, 0.0916, 0.0916)*CHOOSE(CONTROL!$C$42, 121.5, 121.5)*CHOOSE(CONTROL!$C$42, 30, 30))/1000000</f>
        <v>0.33388200000000001</v>
      </c>
      <c r="X568" s="56">
        <f>(30*0.1790888*145000/1000000)+(30*0.2374*100000/1000000)</f>
        <v>1.4912362799999999</v>
      </c>
      <c r="Y568" s="56"/>
      <c r="Z568" s="17"/>
      <c r="AA568" s="55"/>
      <c r="AB568" s="48">
        <f>(B568*141.293+C568*267.993+D568*115.016+E568*189.698+F568*40+G568*85+H568*0+I568*100+J568*300)/(141.293+267.993+115.016+189.698+0+40+85+100+300)</f>
        <v>32.649371664971746</v>
      </c>
      <c r="AC568" s="45">
        <f>(M568*'RAP TEMPLATE-GAS AVAILABILITY'!O567+N568*'RAP TEMPLATE-GAS AVAILABILITY'!P567+O568*'RAP TEMPLATE-GAS AVAILABILITY'!Q567+P568*'RAP TEMPLATE-GAS AVAILABILITY'!R567)/('RAP TEMPLATE-GAS AVAILABILITY'!O567+'RAP TEMPLATE-GAS AVAILABILITY'!P567+'RAP TEMPLATE-GAS AVAILABILITY'!Q567+'RAP TEMPLATE-GAS AVAILABILITY'!R567)</f>
        <v>32.381922302158273</v>
      </c>
    </row>
    <row r="569" spans="1:29" ht="15.75" x14ac:dyDescent="0.25">
      <c r="A569" s="13">
        <v>58226</v>
      </c>
      <c r="B569" s="17">
        <f>CHOOSE(CONTROL!$C$42, 32.857, 32.857) * CHOOSE(CONTROL!$C$21, $C$9, 100%, $E$9)</f>
        <v>32.856999999999999</v>
      </c>
      <c r="C569" s="17">
        <f>CHOOSE(CONTROL!$C$42, 32.865, 32.865) * CHOOSE(CONTROL!$C$21, $C$9, 100%, $E$9)</f>
        <v>32.865000000000002</v>
      </c>
      <c r="D569" s="17">
        <f>CHOOSE(CONTROL!$C$42, 33.1094, 33.1094) * CHOOSE(CONTROL!$C$21, $C$9, 100%, $E$9)</f>
        <v>33.109400000000001</v>
      </c>
      <c r="E569" s="17">
        <f>CHOOSE(CONTROL!$C$42, 33.1406, 33.1406) * CHOOSE(CONTROL!$C$21, $C$9, 100%, $E$9)</f>
        <v>33.140599999999999</v>
      </c>
      <c r="F569" s="17">
        <f>CHOOSE(CONTROL!$C$42, 32.8675, 32.8675)*CHOOSE(CONTROL!$C$21, $C$9, 100%, $E$9)</f>
        <v>32.8675</v>
      </c>
      <c r="G569" s="17">
        <f>CHOOSE(CONTROL!$C$42, 32.8837, 32.8837)*CHOOSE(CONTROL!$C$21, $C$9, 100%, $E$9)</f>
        <v>32.883699999999997</v>
      </c>
      <c r="H569" s="17">
        <f>CHOOSE(CONTROL!$C$42, 33.1289, 33.1289) * CHOOSE(CONTROL!$C$21, $C$9, 100%, $E$9)</f>
        <v>33.128900000000002</v>
      </c>
      <c r="I569" s="17">
        <f>CHOOSE(CONTROL!$C$42, 32.9802, 32.9802)* CHOOSE(CONTROL!$C$21, $C$9, 100%, $E$9)</f>
        <v>32.980200000000004</v>
      </c>
      <c r="J569" s="17">
        <f>CHOOSE(CONTROL!$C$42, 32.8601, 32.8601)* CHOOSE(CONTROL!$C$21, $C$9, 100%, $E$9)</f>
        <v>32.860100000000003</v>
      </c>
      <c r="K569" s="52">
        <f>CHOOSE(CONTROL!$C$42, 32.9742, 32.9742) * CHOOSE(CONTROL!$C$21, $C$9, 100%, $E$9)</f>
        <v>32.974200000000003</v>
      </c>
      <c r="L569" s="17">
        <f>CHOOSE(CONTROL!$C$42, 33.7159, 33.7159) * CHOOSE(CONTROL!$C$21, $C$9, 100%, $E$9)</f>
        <v>33.715899999999998</v>
      </c>
      <c r="M569" s="17">
        <f>CHOOSE(CONTROL!$C$42, 32.5716, 32.5716) * CHOOSE(CONTROL!$C$21, $C$9, 100%, $E$9)</f>
        <v>32.571599999999997</v>
      </c>
      <c r="N569" s="17">
        <f>CHOOSE(CONTROL!$C$42, 32.5877, 32.5877) * CHOOSE(CONTROL!$C$21, $C$9, 100%, $E$9)</f>
        <v>32.587699999999998</v>
      </c>
      <c r="O569" s="17">
        <f>CHOOSE(CONTROL!$C$42, 32.838, 32.838) * CHOOSE(CONTROL!$C$21, $C$9, 100%, $E$9)</f>
        <v>32.838000000000001</v>
      </c>
      <c r="P569" s="17">
        <f>CHOOSE(CONTROL!$C$42, 32.6897, 32.6897) * CHOOSE(CONTROL!$C$21, $C$9, 100%, $E$9)</f>
        <v>32.689700000000002</v>
      </c>
      <c r="Q569" s="17">
        <f>CHOOSE(CONTROL!$C$42, 33.4327, 33.4327) * CHOOSE(CONTROL!$C$21, $C$9, 100%, $E$9)</f>
        <v>33.432699999999997</v>
      </c>
      <c r="R569" s="17">
        <f>CHOOSE(CONTROL!$C$42, 34.1033, 34.1033) * CHOOSE(CONTROL!$C$21, $C$9, 100%, $E$9)</f>
        <v>34.103299999999997</v>
      </c>
      <c r="S569" s="17">
        <f>CHOOSE(CONTROL!$C$42, 31.8498, 31.8498) * CHOOSE(CONTROL!$C$21, $C$9, 100%, $E$9)</f>
        <v>31.849799999999998</v>
      </c>
      <c r="T56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69" s="56">
        <f>(1000*CHOOSE(CONTROL!$C$42, 695, 695)*CHOOSE(CONTROL!$C$42, 0.5599, 0.5599)*CHOOSE(CONTROL!$C$42, 31, 31))/1000000</f>
        <v>12.063045499999998</v>
      </c>
      <c r="V569" s="56">
        <f>(1000*CHOOSE(CONTROL!$C$42, 500, 500)*CHOOSE(CONTROL!$C$42, 0.275, 0.275)*CHOOSE(CONTROL!$C$42, 31, 31))/1000000</f>
        <v>4.2625000000000002</v>
      </c>
      <c r="W569" s="56">
        <f>(1000*CHOOSE(CONTROL!$C$42, 0.0916, 0.0916)*CHOOSE(CONTROL!$C$42, 121.5, 121.5)*CHOOSE(CONTROL!$C$42, 31, 31))/1000000</f>
        <v>0.34501139999999997</v>
      </c>
      <c r="X569" s="56">
        <f>(31*0.1790888*145000/1000000)+(31*0.2374*100000/1000000)</f>
        <v>1.5409441560000001</v>
      </c>
      <c r="Y569" s="56"/>
      <c r="Z569" s="17"/>
      <c r="AA569" s="55"/>
      <c r="AB569" s="48">
        <f>(B569*194.205+C569*267.466+D569*133.845+E569*153.484+F569*40+G569*85+H569*0+I569*100+J569*300)/(194.205+267.466+133.845+153.484+0+40+85+100+300)</f>
        <v>32.931874229513348</v>
      </c>
      <c r="AC569" s="45">
        <f>(M569*'RAP TEMPLATE-GAS AVAILABILITY'!O568+N569*'RAP TEMPLATE-GAS AVAILABILITY'!P568+O569*'RAP TEMPLATE-GAS AVAILABILITY'!Q568+P569*'RAP TEMPLATE-GAS AVAILABILITY'!R568)/('RAP TEMPLATE-GAS AVAILABILITY'!O568+'RAP TEMPLATE-GAS AVAILABILITY'!P568+'RAP TEMPLATE-GAS AVAILABILITY'!Q568+'RAP TEMPLATE-GAS AVAILABILITY'!R568)</f>
        <v>32.667044604316544</v>
      </c>
    </row>
    <row r="570" spans="1:29" ht="15.75" x14ac:dyDescent="0.25">
      <c r="A570" s="13">
        <v>58256</v>
      </c>
      <c r="B570" s="17">
        <f>CHOOSE(CONTROL!$C$42, 33.7886, 33.7886) * CHOOSE(CONTROL!$C$21, $C$9, 100%, $E$9)</f>
        <v>33.788600000000002</v>
      </c>
      <c r="C570" s="17">
        <f>CHOOSE(CONTROL!$C$42, 33.7966, 33.7966) * CHOOSE(CONTROL!$C$21, $C$9, 100%, $E$9)</f>
        <v>33.796599999999998</v>
      </c>
      <c r="D570" s="17">
        <f>CHOOSE(CONTROL!$C$42, 34.0411, 34.0411) * CHOOSE(CONTROL!$C$21, $C$9, 100%, $E$9)</f>
        <v>34.0411</v>
      </c>
      <c r="E570" s="17">
        <f>CHOOSE(CONTROL!$C$42, 34.0723, 34.0723) * CHOOSE(CONTROL!$C$21, $C$9, 100%, $E$9)</f>
        <v>34.072299999999998</v>
      </c>
      <c r="F570" s="17">
        <f>CHOOSE(CONTROL!$C$42, 33.7995, 33.7995)*CHOOSE(CONTROL!$C$21, $C$9, 100%, $E$9)</f>
        <v>33.799500000000002</v>
      </c>
      <c r="G570" s="17">
        <f>CHOOSE(CONTROL!$C$42, 33.8158, 33.8158)*CHOOSE(CONTROL!$C$21, $C$9, 100%, $E$9)</f>
        <v>33.815800000000003</v>
      </c>
      <c r="H570" s="17">
        <f>CHOOSE(CONTROL!$C$42, 34.0606, 34.0606) * CHOOSE(CONTROL!$C$21, $C$9, 100%, $E$9)</f>
        <v>34.060600000000001</v>
      </c>
      <c r="I570" s="17">
        <f>CHOOSE(CONTROL!$C$42, 33.9148, 33.9148)* CHOOSE(CONTROL!$C$21, $C$9, 100%, $E$9)</f>
        <v>33.9148</v>
      </c>
      <c r="J570" s="17">
        <f>CHOOSE(CONTROL!$C$42, 33.7921, 33.7921)* CHOOSE(CONTROL!$C$21, $C$9, 100%, $E$9)</f>
        <v>33.792099999999998</v>
      </c>
      <c r="K570" s="52">
        <f>CHOOSE(CONTROL!$C$42, 33.9087, 33.9087) * CHOOSE(CONTROL!$C$21, $C$9, 100%, $E$9)</f>
        <v>33.908700000000003</v>
      </c>
      <c r="L570" s="17">
        <f>CHOOSE(CONTROL!$C$42, 34.6476, 34.6476) * CHOOSE(CONTROL!$C$21, $C$9, 100%, $E$9)</f>
        <v>34.647599999999997</v>
      </c>
      <c r="M570" s="17">
        <f>CHOOSE(CONTROL!$C$42, 33.4952, 33.4952) * CHOOSE(CONTROL!$C$21, $C$9, 100%, $E$9)</f>
        <v>33.495199999999997</v>
      </c>
      <c r="N570" s="17">
        <f>CHOOSE(CONTROL!$C$42, 33.5114, 33.5114) * CHOOSE(CONTROL!$C$21, $C$9, 100%, $E$9)</f>
        <v>33.511400000000002</v>
      </c>
      <c r="O570" s="17">
        <f>CHOOSE(CONTROL!$C$42, 33.7613, 33.7613) * CHOOSE(CONTROL!$C$21, $C$9, 100%, $E$9)</f>
        <v>33.761299999999999</v>
      </c>
      <c r="P570" s="17">
        <f>CHOOSE(CONTROL!$C$42, 33.6159, 33.6159) * CHOOSE(CONTROL!$C$21, $C$9, 100%, $E$9)</f>
        <v>33.615900000000003</v>
      </c>
      <c r="Q570" s="17">
        <f>CHOOSE(CONTROL!$C$42, 34.356, 34.356) * CHOOSE(CONTROL!$C$21, $C$9, 100%, $E$9)</f>
        <v>34.356000000000002</v>
      </c>
      <c r="R570" s="17">
        <f>CHOOSE(CONTROL!$C$42, 35.0289, 35.0289) * CHOOSE(CONTROL!$C$21, $C$9, 100%, $E$9)</f>
        <v>35.0289</v>
      </c>
      <c r="S570" s="17">
        <f>CHOOSE(CONTROL!$C$42, 32.7533, 32.7533) * CHOOSE(CONTROL!$C$21, $C$9, 100%, $E$9)</f>
        <v>32.753300000000003</v>
      </c>
      <c r="T57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70" s="56">
        <f>(1000*CHOOSE(CONTROL!$C$42, 695, 695)*CHOOSE(CONTROL!$C$42, 0.5599, 0.5599)*CHOOSE(CONTROL!$C$42, 30, 30))/1000000</f>
        <v>11.673914999999997</v>
      </c>
      <c r="V570" s="56">
        <f>(1000*CHOOSE(CONTROL!$C$42, 500, 500)*CHOOSE(CONTROL!$C$42, 0.275, 0.275)*CHOOSE(CONTROL!$C$42, 30, 30))/1000000</f>
        <v>4.125</v>
      </c>
      <c r="W570" s="56">
        <f>(1000*CHOOSE(CONTROL!$C$42, 0.0916, 0.0916)*CHOOSE(CONTROL!$C$42, 121.5, 121.5)*CHOOSE(CONTROL!$C$42, 30, 30))/1000000</f>
        <v>0.33388200000000001</v>
      </c>
      <c r="X570" s="56">
        <f>(30*0.1790888*145000/1000000)+(30*0.2374*100000/1000000)</f>
        <v>1.4912362799999999</v>
      </c>
      <c r="Y570" s="56"/>
      <c r="Z570" s="17"/>
      <c r="AA570" s="55"/>
      <c r="AB570" s="48">
        <f>(B570*194.205+C570*267.466+D570*133.845+E570*153.484+F570*40+G570*85+H570*0+I570*100+J570*300)/(194.205+267.466+133.845+153.484+0+40+85+100+300)</f>
        <v>33.863872371507064</v>
      </c>
      <c r="AC570" s="45">
        <f>(M570*'RAP TEMPLATE-GAS AVAILABILITY'!O569+N570*'RAP TEMPLATE-GAS AVAILABILITY'!P569+O570*'RAP TEMPLATE-GAS AVAILABILITY'!Q569+P570*'RAP TEMPLATE-GAS AVAILABILITY'!R569)/('RAP TEMPLATE-GAS AVAILABILITY'!O569+'RAP TEMPLATE-GAS AVAILABILITY'!P569+'RAP TEMPLATE-GAS AVAILABILITY'!Q569+'RAP TEMPLATE-GAS AVAILABILITY'!R569)</f>
        <v>33.590957553956834</v>
      </c>
    </row>
    <row r="571" spans="1:29" ht="15.75" x14ac:dyDescent="0.25">
      <c r="A571" s="13">
        <v>58287</v>
      </c>
      <c r="B571" s="17">
        <f>CHOOSE(CONTROL!$C$42, 33.1407, 33.1407) * CHOOSE(CONTROL!$C$21, $C$9, 100%, $E$9)</f>
        <v>33.140700000000002</v>
      </c>
      <c r="C571" s="17">
        <f>CHOOSE(CONTROL!$C$42, 33.1486, 33.1486) * CHOOSE(CONTROL!$C$21, $C$9, 100%, $E$9)</f>
        <v>33.148600000000002</v>
      </c>
      <c r="D571" s="17">
        <f>CHOOSE(CONTROL!$C$42, 33.3931, 33.3931) * CHOOSE(CONTROL!$C$21, $C$9, 100%, $E$9)</f>
        <v>33.393099999999997</v>
      </c>
      <c r="E571" s="17">
        <f>CHOOSE(CONTROL!$C$42, 33.4243, 33.4243) * CHOOSE(CONTROL!$C$21, $C$9, 100%, $E$9)</f>
        <v>33.424300000000002</v>
      </c>
      <c r="F571" s="17">
        <f>CHOOSE(CONTROL!$C$42, 33.152, 33.152)*CHOOSE(CONTROL!$C$21, $C$9, 100%, $E$9)</f>
        <v>33.152000000000001</v>
      </c>
      <c r="G571" s="17">
        <f>CHOOSE(CONTROL!$C$42, 33.1684, 33.1684)*CHOOSE(CONTROL!$C$21, $C$9, 100%, $E$9)</f>
        <v>33.168399999999998</v>
      </c>
      <c r="H571" s="17">
        <f>CHOOSE(CONTROL!$C$42, 33.4126, 33.4126) * CHOOSE(CONTROL!$C$21, $C$9, 100%, $E$9)</f>
        <v>33.412599999999998</v>
      </c>
      <c r="I571" s="17">
        <f>CHOOSE(CONTROL!$C$42, 33.2648, 33.2648)* CHOOSE(CONTROL!$C$21, $C$9, 100%, $E$9)</f>
        <v>33.264800000000001</v>
      </c>
      <c r="J571" s="17">
        <f>CHOOSE(CONTROL!$C$42, 33.1446, 33.1446)* CHOOSE(CONTROL!$C$21, $C$9, 100%, $E$9)</f>
        <v>33.144599999999997</v>
      </c>
      <c r="K571" s="52">
        <f>CHOOSE(CONTROL!$C$42, 33.2587, 33.2587) * CHOOSE(CONTROL!$C$21, $C$9, 100%, $E$9)</f>
        <v>33.258699999999997</v>
      </c>
      <c r="L571" s="17">
        <f>CHOOSE(CONTROL!$C$42, 33.9996, 33.9996) * CHOOSE(CONTROL!$C$21, $C$9, 100%, $E$9)</f>
        <v>33.999600000000001</v>
      </c>
      <c r="M571" s="17">
        <f>CHOOSE(CONTROL!$C$42, 32.8535, 32.8535) * CHOOSE(CONTROL!$C$21, $C$9, 100%, $E$9)</f>
        <v>32.853499999999997</v>
      </c>
      <c r="N571" s="17">
        <f>CHOOSE(CONTROL!$C$42, 32.8698, 32.8698) * CHOOSE(CONTROL!$C$21, $C$9, 100%, $E$9)</f>
        <v>32.869799999999998</v>
      </c>
      <c r="O571" s="17">
        <f>CHOOSE(CONTROL!$C$42, 33.1191, 33.1191) * CHOOSE(CONTROL!$C$21, $C$9, 100%, $E$9)</f>
        <v>33.119100000000003</v>
      </c>
      <c r="P571" s="17">
        <f>CHOOSE(CONTROL!$C$42, 32.9717, 32.9717) * CHOOSE(CONTROL!$C$21, $C$9, 100%, $E$9)</f>
        <v>32.971699999999998</v>
      </c>
      <c r="Q571" s="17">
        <f>CHOOSE(CONTROL!$C$42, 33.7138, 33.7138) * CHOOSE(CONTROL!$C$21, $C$9, 100%, $E$9)</f>
        <v>33.713799999999999</v>
      </c>
      <c r="R571" s="17">
        <f>CHOOSE(CONTROL!$C$42, 34.3851, 34.3851) * CHOOSE(CONTROL!$C$21, $C$9, 100%, $E$9)</f>
        <v>34.385100000000001</v>
      </c>
      <c r="S571" s="17">
        <f>CHOOSE(CONTROL!$C$42, 32.1249, 32.1249) * CHOOSE(CONTROL!$C$21, $C$9, 100%, $E$9)</f>
        <v>32.124899999999997</v>
      </c>
      <c r="T57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71" s="56">
        <f>(1000*CHOOSE(CONTROL!$C$42, 695, 695)*CHOOSE(CONTROL!$C$42, 0.5599, 0.5599)*CHOOSE(CONTROL!$C$42, 31, 31))/1000000</f>
        <v>12.063045499999998</v>
      </c>
      <c r="V571" s="56">
        <f>(1000*CHOOSE(CONTROL!$C$42, 500, 500)*CHOOSE(CONTROL!$C$42, 0.275, 0.275)*CHOOSE(CONTROL!$C$42, 31, 31))/1000000</f>
        <v>4.2625000000000002</v>
      </c>
      <c r="W571" s="56">
        <f>(1000*CHOOSE(CONTROL!$C$42, 0.0916, 0.0916)*CHOOSE(CONTROL!$C$42, 121.5, 121.5)*CHOOSE(CONTROL!$C$42, 31, 31))/1000000</f>
        <v>0.34501139999999997</v>
      </c>
      <c r="X571" s="56">
        <f>(31*0.1790888*145000/1000000)+(31*0.2374*100000/1000000)</f>
        <v>1.5409441560000001</v>
      </c>
      <c r="Y571" s="56"/>
      <c r="Z571" s="17"/>
      <c r="AA571" s="55"/>
      <c r="AB571" s="48">
        <f>(B571*194.205+C571*267.466+D571*133.845+E571*153.484+F571*40+G571*85+H571*0+I571*100+J571*300)/(194.205+267.466+133.845+153.484+0+40+85+100+300)</f>
        <v>33.215904098744112</v>
      </c>
      <c r="AC571" s="45">
        <f>(M571*'RAP TEMPLATE-GAS AVAILABILITY'!O570+N571*'RAP TEMPLATE-GAS AVAILABILITY'!P570+O571*'RAP TEMPLATE-GAS AVAILABILITY'!Q570+P571*'RAP TEMPLATE-GAS AVAILABILITY'!R570)/('RAP TEMPLATE-GAS AVAILABILITY'!O570+'RAP TEMPLATE-GAS AVAILABILITY'!P570+'RAP TEMPLATE-GAS AVAILABILITY'!Q570+'RAP TEMPLATE-GAS AVAILABILITY'!R570)</f>
        <v>32.948780575539566</v>
      </c>
    </row>
    <row r="572" spans="1:29" ht="15.75" x14ac:dyDescent="0.25">
      <c r="A572" s="13">
        <v>58318</v>
      </c>
      <c r="B572" s="17">
        <f>CHOOSE(CONTROL!$C$42, 31.5043, 31.5043) * CHOOSE(CONTROL!$C$21, $C$9, 100%, $E$9)</f>
        <v>31.504300000000001</v>
      </c>
      <c r="C572" s="17">
        <f>CHOOSE(CONTROL!$C$42, 31.5123, 31.5123) * CHOOSE(CONTROL!$C$21, $C$9, 100%, $E$9)</f>
        <v>31.5123</v>
      </c>
      <c r="D572" s="17">
        <f>CHOOSE(CONTROL!$C$42, 31.7567, 31.7567) * CHOOSE(CONTROL!$C$21, $C$9, 100%, $E$9)</f>
        <v>31.756699999999999</v>
      </c>
      <c r="E572" s="17">
        <f>CHOOSE(CONTROL!$C$42, 31.7879, 31.7879) * CHOOSE(CONTROL!$C$21, $C$9, 100%, $E$9)</f>
        <v>31.7879</v>
      </c>
      <c r="F572" s="17">
        <f>CHOOSE(CONTROL!$C$42, 31.5159, 31.5159)*CHOOSE(CONTROL!$C$21, $C$9, 100%, $E$9)</f>
        <v>31.515899999999998</v>
      </c>
      <c r="G572" s="17">
        <f>CHOOSE(CONTROL!$C$42, 31.5324, 31.5324)*CHOOSE(CONTROL!$C$21, $C$9, 100%, $E$9)</f>
        <v>31.532399999999999</v>
      </c>
      <c r="H572" s="17">
        <f>CHOOSE(CONTROL!$C$42, 31.7762, 31.7762) * CHOOSE(CONTROL!$C$21, $C$9, 100%, $E$9)</f>
        <v>31.776199999999999</v>
      </c>
      <c r="I572" s="17">
        <f>CHOOSE(CONTROL!$C$42, 31.6233, 31.6233)* CHOOSE(CONTROL!$C$21, $C$9, 100%, $E$9)</f>
        <v>31.6233</v>
      </c>
      <c r="J572" s="17">
        <f>CHOOSE(CONTROL!$C$42, 31.5085, 31.5085)* CHOOSE(CONTROL!$C$21, $C$9, 100%, $E$9)</f>
        <v>31.508500000000002</v>
      </c>
      <c r="K572" s="52">
        <f>CHOOSE(CONTROL!$C$42, 31.6173, 31.6173) * CHOOSE(CONTROL!$C$21, $C$9, 100%, $E$9)</f>
        <v>31.6173</v>
      </c>
      <c r="L572" s="17">
        <f>CHOOSE(CONTROL!$C$42, 32.3632, 32.3632) * CHOOSE(CONTROL!$C$21, $C$9, 100%, $E$9)</f>
        <v>32.363199999999999</v>
      </c>
      <c r="M572" s="17">
        <f>CHOOSE(CONTROL!$C$42, 31.2321, 31.2321) * CHOOSE(CONTROL!$C$21, $C$9, 100%, $E$9)</f>
        <v>31.232099999999999</v>
      </c>
      <c r="N572" s="17">
        <f>CHOOSE(CONTROL!$C$42, 31.2484, 31.2484) * CHOOSE(CONTROL!$C$21, $C$9, 100%, $E$9)</f>
        <v>31.2484</v>
      </c>
      <c r="O572" s="17">
        <f>CHOOSE(CONTROL!$C$42, 31.4975, 31.4975) * CHOOSE(CONTROL!$C$21, $C$9, 100%, $E$9)</f>
        <v>31.497499999999999</v>
      </c>
      <c r="P572" s="17">
        <f>CHOOSE(CONTROL!$C$42, 31.3451, 31.3451) * CHOOSE(CONTROL!$C$21, $C$9, 100%, $E$9)</f>
        <v>31.345099999999999</v>
      </c>
      <c r="Q572" s="17">
        <f>CHOOSE(CONTROL!$C$42, 32.0922, 32.0922) * CHOOSE(CONTROL!$C$21, $C$9, 100%, $E$9)</f>
        <v>32.092199999999998</v>
      </c>
      <c r="R572" s="17">
        <f>CHOOSE(CONTROL!$C$42, 32.7594, 32.7594) * CHOOSE(CONTROL!$C$21, $C$9, 100%, $E$9)</f>
        <v>32.759399999999999</v>
      </c>
      <c r="S572" s="17">
        <f>CHOOSE(CONTROL!$C$42, 30.5381, 30.5381) * CHOOSE(CONTROL!$C$21, $C$9, 100%, $E$9)</f>
        <v>30.5381</v>
      </c>
      <c r="T57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72" s="56">
        <f>(1000*CHOOSE(CONTROL!$C$42, 695, 695)*CHOOSE(CONTROL!$C$42, 0.5599, 0.5599)*CHOOSE(CONTROL!$C$42, 31, 31))/1000000</f>
        <v>12.063045499999998</v>
      </c>
      <c r="V572" s="56">
        <f>(1000*CHOOSE(CONTROL!$C$42, 500, 500)*CHOOSE(CONTROL!$C$42, 0.275, 0.275)*CHOOSE(CONTROL!$C$42, 31, 31))/1000000</f>
        <v>4.2625000000000002</v>
      </c>
      <c r="W572" s="56">
        <f>(1000*CHOOSE(CONTROL!$C$42, 0.0916, 0.0916)*CHOOSE(CONTROL!$C$42, 121.5, 121.5)*CHOOSE(CONTROL!$C$42, 31, 31))/1000000</f>
        <v>0.34501139999999997</v>
      </c>
      <c r="X572" s="56">
        <f>(31*0.1790888*145000/1000000)+(31*0.2374*100000/1000000)</f>
        <v>1.5409441560000001</v>
      </c>
      <c r="Y572" s="56"/>
      <c r="Z572" s="17"/>
      <c r="AA572" s="55"/>
      <c r="AB572" s="48">
        <f>(B572*194.205+C572*267.466+D572*133.845+E572*153.484+F572*40+G572*85+H572*0+I572*100+J572*300)/(194.205+267.466+133.845+153.484+0+40+85+100+300)</f>
        <v>31.579231529356363</v>
      </c>
      <c r="AC572" s="45">
        <f>(M572*'RAP TEMPLATE-GAS AVAILABILITY'!O571+N572*'RAP TEMPLATE-GAS AVAILABILITY'!P571+O572*'RAP TEMPLATE-GAS AVAILABILITY'!Q571+P572*'RAP TEMPLATE-GAS AVAILABILITY'!R571)/('RAP TEMPLATE-GAS AVAILABILITY'!O571+'RAP TEMPLATE-GAS AVAILABILITY'!P571+'RAP TEMPLATE-GAS AVAILABILITY'!Q571+'RAP TEMPLATE-GAS AVAILABILITY'!R571)</f>
        <v>31.326576258992805</v>
      </c>
    </row>
    <row r="573" spans="1:29" ht="15.75" x14ac:dyDescent="0.25">
      <c r="A573" s="13">
        <v>58348</v>
      </c>
      <c r="B573" s="17">
        <f>CHOOSE(CONTROL!$C$42, 29.5047, 29.5047) * CHOOSE(CONTROL!$C$21, $C$9, 100%, $E$9)</f>
        <v>29.5047</v>
      </c>
      <c r="C573" s="17">
        <f>CHOOSE(CONTROL!$C$42, 29.5127, 29.5127) * CHOOSE(CONTROL!$C$21, $C$9, 100%, $E$9)</f>
        <v>29.512699999999999</v>
      </c>
      <c r="D573" s="17">
        <f>CHOOSE(CONTROL!$C$42, 29.7572, 29.7572) * CHOOSE(CONTROL!$C$21, $C$9, 100%, $E$9)</f>
        <v>29.757200000000001</v>
      </c>
      <c r="E573" s="17">
        <f>CHOOSE(CONTROL!$C$42, 29.7884, 29.7884) * CHOOSE(CONTROL!$C$21, $C$9, 100%, $E$9)</f>
        <v>29.788399999999999</v>
      </c>
      <c r="F573" s="17">
        <f>CHOOSE(CONTROL!$C$42, 29.5164, 29.5164)*CHOOSE(CONTROL!$C$21, $C$9, 100%, $E$9)</f>
        <v>29.516400000000001</v>
      </c>
      <c r="G573" s="17">
        <f>CHOOSE(CONTROL!$C$42, 29.5329, 29.5329)*CHOOSE(CONTROL!$C$21, $C$9, 100%, $E$9)</f>
        <v>29.532900000000001</v>
      </c>
      <c r="H573" s="17">
        <f>CHOOSE(CONTROL!$C$42, 29.7767, 29.7767) * CHOOSE(CONTROL!$C$21, $C$9, 100%, $E$9)</f>
        <v>29.776700000000002</v>
      </c>
      <c r="I573" s="17">
        <f>CHOOSE(CONTROL!$C$42, 29.6176, 29.6176)* CHOOSE(CONTROL!$C$21, $C$9, 100%, $E$9)</f>
        <v>29.617599999999999</v>
      </c>
      <c r="J573" s="17">
        <f>CHOOSE(CONTROL!$C$42, 29.509, 29.509)* CHOOSE(CONTROL!$C$21, $C$9, 100%, $E$9)</f>
        <v>29.509</v>
      </c>
      <c r="K573" s="52">
        <f>CHOOSE(CONTROL!$C$42, 29.6115, 29.6115) * CHOOSE(CONTROL!$C$21, $C$9, 100%, $E$9)</f>
        <v>29.611499999999999</v>
      </c>
      <c r="L573" s="17">
        <f>CHOOSE(CONTROL!$C$42, 30.3637, 30.3637) * CHOOSE(CONTROL!$C$21, $C$9, 100%, $E$9)</f>
        <v>30.363700000000001</v>
      </c>
      <c r="M573" s="17">
        <f>CHOOSE(CONTROL!$C$42, 29.2506, 29.2506) * CHOOSE(CONTROL!$C$21, $C$9, 100%, $E$9)</f>
        <v>29.250599999999999</v>
      </c>
      <c r="N573" s="17">
        <f>CHOOSE(CONTROL!$C$42, 29.2669, 29.2669) * CHOOSE(CONTROL!$C$21, $C$9, 100%, $E$9)</f>
        <v>29.2669</v>
      </c>
      <c r="O573" s="17">
        <f>CHOOSE(CONTROL!$C$42, 29.5159, 29.5159) * CHOOSE(CONTROL!$C$21, $C$9, 100%, $E$9)</f>
        <v>29.515899999999998</v>
      </c>
      <c r="P573" s="17">
        <f>CHOOSE(CONTROL!$C$42, 29.3574, 29.3574) * CHOOSE(CONTROL!$C$21, $C$9, 100%, $E$9)</f>
        <v>29.357399999999998</v>
      </c>
      <c r="Q573" s="17">
        <f>CHOOSE(CONTROL!$C$42, 30.1106, 30.1106) * CHOOSE(CONTROL!$C$21, $C$9, 100%, $E$9)</f>
        <v>30.110600000000002</v>
      </c>
      <c r="R573" s="17">
        <f>CHOOSE(CONTROL!$C$42, 30.7729, 30.7729) * CHOOSE(CONTROL!$C$21, $C$9, 100%, $E$9)</f>
        <v>30.7729</v>
      </c>
      <c r="S573" s="17">
        <f>CHOOSE(CONTROL!$C$42, 28.5992, 28.5992) * CHOOSE(CONTROL!$C$21, $C$9, 100%, $E$9)</f>
        <v>28.5992</v>
      </c>
      <c r="T57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73" s="56">
        <f>(1000*CHOOSE(CONTROL!$C$42, 695, 695)*CHOOSE(CONTROL!$C$42, 0.5599, 0.5599)*CHOOSE(CONTROL!$C$42, 30, 30))/1000000</f>
        <v>11.673914999999997</v>
      </c>
      <c r="V573" s="56">
        <f>(1000*CHOOSE(CONTROL!$C$42, 500, 500)*CHOOSE(CONTROL!$C$42, 0.275, 0.275)*CHOOSE(CONTROL!$C$42, 30, 30))/1000000</f>
        <v>4.125</v>
      </c>
      <c r="W573" s="56">
        <f>(1000*CHOOSE(CONTROL!$C$42, 0.0916, 0.0916)*CHOOSE(CONTROL!$C$42, 121.5, 121.5)*CHOOSE(CONTROL!$C$42, 30, 30))/1000000</f>
        <v>0.33388200000000001</v>
      </c>
      <c r="X573" s="56">
        <f>(30*0.1790888*145000/1000000)+(30*0.2374*100000/1000000)</f>
        <v>1.4912362799999999</v>
      </c>
      <c r="Y573" s="56"/>
      <c r="Z573" s="17"/>
      <c r="AA573" s="55"/>
      <c r="AB573" s="48">
        <f>(B573*194.205+C573*267.466+D573*133.845+E573*153.484+F573*40+G573*85+H573*0+I573*100+J573*300)/(194.205+267.466+133.845+153.484+0+40+85+100+300)</f>
        <v>29.579208635243326</v>
      </c>
      <c r="AC573" s="45">
        <f>(M573*'RAP TEMPLATE-GAS AVAILABILITY'!O572+N573*'RAP TEMPLATE-GAS AVAILABILITY'!P572+O573*'RAP TEMPLATE-GAS AVAILABILITY'!Q572+P573*'RAP TEMPLATE-GAS AVAILABILITY'!R572)/('RAP TEMPLATE-GAS AVAILABILITY'!O572+'RAP TEMPLATE-GAS AVAILABILITY'!P572+'RAP TEMPLATE-GAS AVAILABILITY'!Q572+'RAP TEMPLATE-GAS AVAILABILITY'!R572)</f>
        <v>29.344156115107907</v>
      </c>
    </row>
    <row r="574" spans="1:29" ht="15.75" x14ac:dyDescent="0.25">
      <c r="A574" s="13">
        <v>58379</v>
      </c>
      <c r="B574" s="17">
        <f>CHOOSE(CONTROL!$C$42, 28.9042, 28.9042) * CHOOSE(CONTROL!$C$21, $C$9, 100%, $E$9)</f>
        <v>28.904199999999999</v>
      </c>
      <c r="C574" s="17">
        <f>CHOOSE(CONTROL!$C$42, 28.9095, 28.9095) * CHOOSE(CONTROL!$C$21, $C$9, 100%, $E$9)</f>
        <v>28.909500000000001</v>
      </c>
      <c r="D574" s="17">
        <f>CHOOSE(CONTROL!$C$42, 29.1589, 29.1589) * CHOOSE(CONTROL!$C$21, $C$9, 100%, $E$9)</f>
        <v>29.158899999999999</v>
      </c>
      <c r="E574" s="17">
        <f>CHOOSE(CONTROL!$C$42, 29.1878, 29.1878) * CHOOSE(CONTROL!$C$21, $C$9, 100%, $E$9)</f>
        <v>29.187799999999999</v>
      </c>
      <c r="F574" s="17">
        <f>CHOOSE(CONTROL!$C$42, 28.918, 28.918)*CHOOSE(CONTROL!$C$21, $C$9, 100%, $E$9)</f>
        <v>28.917999999999999</v>
      </c>
      <c r="G574" s="17">
        <f>CHOOSE(CONTROL!$C$42, 28.9344, 28.9344)*CHOOSE(CONTROL!$C$21, $C$9, 100%, $E$9)</f>
        <v>28.9344</v>
      </c>
      <c r="H574" s="17">
        <f>CHOOSE(CONTROL!$C$42, 29.1779, 29.1779) * CHOOSE(CONTROL!$C$21, $C$9, 100%, $E$9)</f>
        <v>29.177900000000001</v>
      </c>
      <c r="I574" s="17">
        <f>CHOOSE(CONTROL!$C$42, 29.0169, 29.0169)* CHOOSE(CONTROL!$C$21, $C$9, 100%, $E$9)</f>
        <v>29.0169</v>
      </c>
      <c r="J574" s="17">
        <f>CHOOSE(CONTROL!$C$42, 28.9106, 28.9106)* CHOOSE(CONTROL!$C$21, $C$9, 100%, $E$9)</f>
        <v>28.910599999999999</v>
      </c>
      <c r="K574" s="52">
        <f>CHOOSE(CONTROL!$C$42, 29.0109, 29.0109) * CHOOSE(CONTROL!$C$21, $C$9, 100%, $E$9)</f>
        <v>29.010899999999999</v>
      </c>
      <c r="L574" s="17">
        <f>CHOOSE(CONTROL!$C$42, 29.7649, 29.7649) * CHOOSE(CONTROL!$C$21, $C$9, 100%, $E$9)</f>
        <v>29.764900000000001</v>
      </c>
      <c r="M574" s="17">
        <f>CHOOSE(CONTROL!$C$42, 28.6576, 28.6576) * CHOOSE(CONTROL!$C$21, $C$9, 100%, $E$9)</f>
        <v>28.657599999999999</v>
      </c>
      <c r="N574" s="17">
        <f>CHOOSE(CONTROL!$C$42, 28.6739, 28.6739) * CHOOSE(CONTROL!$C$21, $C$9, 100%, $E$9)</f>
        <v>28.6739</v>
      </c>
      <c r="O574" s="17">
        <f>CHOOSE(CONTROL!$C$42, 28.9225, 28.9225) * CHOOSE(CONTROL!$C$21, $C$9, 100%, $E$9)</f>
        <v>28.922499999999999</v>
      </c>
      <c r="P574" s="17">
        <f>CHOOSE(CONTROL!$C$42, 28.7622, 28.7622) * CHOOSE(CONTROL!$C$21, $C$9, 100%, $E$9)</f>
        <v>28.7622</v>
      </c>
      <c r="Q574" s="17">
        <f>CHOOSE(CONTROL!$C$42, 29.5172, 29.5172) * CHOOSE(CONTROL!$C$21, $C$9, 100%, $E$9)</f>
        <v>29.517199999999999</v>
      </c>
      <c r="R574" s="17">
        <f>CHOOSE(CONTROL!$C$42, 30.178, 30.178) * CHOOSE(CONTROL!$C$21, $C$9, 100%, $E$9)</f>
        <v>30.178000000000001</v>
      </c>
      <c r="S574" s="17">
        <f>CHOOSE(CONTROL!$C$42, 28.0185, 28.0185) * CHOOSE(CONTROL!$C$21, $C$9, 100%, $E$9)</f>
        <v>28.0185</v>
      </c>
      <c r="T57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74" s="56">
        <f>(1000*CHOOSE(CONTROL!$C$42, 695, 695)*CHOOSE(CONTROL!$C$42, 0.5599, 0.5599)*CHOOSE(CONTROL!$C$42, 31, 31))/1000000</f>
        <v>12.063045499999998</v>
      </c>
      <c r="V574" s="56">
        <f>(1000*CHOOSE(CONTROL!$C$42, 500, 500)*CHOOSE(CONTROL!$C$42, 0.275, 0.275)*CHOOSE(CONTROL!$C$42, 31, 31))/1000000</f>
        <v>4.2625000000000002</v>
      </c>
      <c r="W574" s="56">
        <f>(1000*CHOOSE(CONTROL!$C$42, 0.0916, 0.0916)*CHOOSE(CONTROL!$C$42, 121.5, 121.5)*CHOOSE(CONTROL!$C$42, 31, 31))/1000000</f>
        <v>0.34501139999999997</v>
      </c>
      <c r="X574" s="56">
        <f>(31*0.1790888*145000/1000000)+(31*0.2374*100000/1000000)</f>
        <v>1.5409441560000001</v>
      </c>
      <c r="Y574" s="56"/>
      <c r="Z574" s="17"/>
      <c r="AA574" s="55"/>
      <c r="AB574" s="48">
        <f>(B574*131.881+C574*277.167+D574*79.08+E574*225.872+F574*40+G574*85+H574*0+I574*100+J574*300)/(131.881+277.167+79.08+225.872+0+40+85+100+300)</f>
        <v>28.986505859806293</v>
      </c>
      <c r="AC574" s="45">
        <f>(M574*'RAP TEMPLATE-GAS AVAILABILITY'!O573+N574*'RAP TEMPLATE-GAS AVAILABILITY'!P573+O574*'RAP TEMPLATE-GAS AVAILABILITY'!Q573+P574*'RAP TEMPLATE-GAS AVAILABILITY'!R573)/('RAP TEMPLATE-GAS AVAILABILITY'!O573+'RAP TEMPLATE-GAS AVAILABILITY'!P573+'RAP TEMPLATE-GAS AVAILABILITY'!Q573+'RAP TEMPLATE-GAS AVAILABILITY'!R573)</f>
        <v>28.750727338129494</v>
      </c>
    </row>
    <row r="575" spans="1:29" ht="15.75" x14ac:dyDescent="0.25">
      <c r="A575" s="13">
        <v>58409</v>
      </c>
      <c r="B575" s="17">
        <f>CHOOSE(CONTROL!$C$42, 29.665, 29.665) * CHOOSE(CONTROL!$C$21, $C$9, 100%, $E$9)</f>
        <v>29.664999999999999</v>
      </c>
      <c r="C575" s="17">
        <f>CHOOSE(CONTROL!$C$42, 29.6701, 29.6701) * CHOOSE(CONTROL!$C$21, $C$9, 100%, $E$9)</f>
        <v>29.670100000000001</v>
      </c>
      <c r="D575" s="17">
        <f>CHOOSE(CONTROL!$C$42, 29.7514, 29.7514) * CHOOSE(CONTROL!$C$21, $C$9, 100%, $E$9)</f>
        <v>29.7514</v>
      </c>
      <c r="E575" s="17">
        <f>CHOOSE(CONTROL!$C$42, 29.7852, 29.7852) * CHOOSE(CONTROL!$C$21, $C$9, 100%, $E$9)</f>
        <v>29.7852</v>
      </c>
      <c r="F575" s="17">
        <f>CHOOSE(CONTROL!$C$42, 29.6829, 29.6829)*CHOOSE(CONTROL!$C$21, $C$9, 100%, $E$9)</f>
        <v>29.6829</v>
      </c>
      <c r="G575" s="17">
        <f>CHOOSE(CONTROL!$C$42, 29.6997, 29.6997)*CHOOSE(CONTROL!$C$21, $C$9, 100%, $E$9)</f>
        <v>29.6997</v>
      </c>
      <c r="H575" s="17">
        <f>CHOOSE(CONTROL!$C$42, 29.7741, 29.7741) * CHOOSE(CONTROL!$C$21, $C$9, 100%, $E$9)</f>
        <v>29.774100000000001</v>
      </c>
      <c r="I575" s="17">
        <f>CHOOSE(CONTROL!$C$42, 29.782, 29.782)* CHOOSE(CONTROL!$C$21, $C$9, 100%, $E$9)</f>
        <v>29.782</v>
      </c>
      <c r="J575" s="17">
        <f>CHOOSE(CONTROL!$C$42, 29.6755, 29.6755)* CHOOSE(CONTROL!$C$21, $C$9, 100%, $E$9)</f>
        <v>29.6755</v>
      </c>
      <c r="K575" s="52">
        <f>CHOOSE(CONTROL!$C$42, 29.776, 29.776) * CHOOSE(CONTROL!$C$21, $C$9, 100%, $E$9)</f>
        <v>29.776</v>
      </c>
      <c r="L575" s="17">
        <f>CHOOSE(CONTROL!$C$42, 30.3611, 30.3611) * CHOOSE(CONTROL!$C$21, $C$9, 100%, $E$9)</f>
        <v>30.3611</v>
      </c>
      <c r="M575" s="17">
        <f>CHOOSE(CONTROL!$C$42, 29.4157, 29.4157) * CHOOSE(CONTROL!$C$21, $C$9, 100%, $E$9)</f>
        <v>29.415700000000001</v>
      </c>
      <c r="N575" s="17">
        <f>CHOOSE(CONTROL!$C$42, 29.4322, 29.4322) * CHOOSE(CONTROL!$C$21, $C$9, 100%, $E$9)</f>
        <v>29.432200000000002</v>
      </c>
      <c r="O575" s="17">
        <f>CHOOSE(CONTROL!$C$42, 29.5133, 29.5133) * CHOOSE(CONTROL!$C$21, $C$9, 100%, $E$9)</f>
        <v>29.513300000000001</v>
      </c>
      <c r="P575" s="17">
        <f>CHOOSE(CONTROL!$C$42, 29.5204, 29.5204) * CHOOSE(CONTROL!$C$21, $C$9, 100%, $E$9)</f>
        <v>29.520399999999999</v>
      </c>
      <c r="Q575" s="17">
        <f>CHOOSE(CONTROL!$C$42, 30.108, 30.108) * CHOOSE(CONTROL!$C$21, $C$9, 100%, $E$9)</f>
        <v>30.108000000000001</v>
      </c>
      <c r="R575" s="17">
        <f>CHOOSE(CONTROL!$C$42, 30.7703, 30.7703) * CHOOSE(CONTROL!$C$21, $C$9, 100%, $E$9)</f>
        <v>30.770299999999999</v>
      </c>
      <c r="S575" s="17">
        <f>CHOOSE(CONTROL!$C$42, 28.7566, 28.7566) * CHOOSE(CONTROL!$C$21, $C$9, 100%, $E$9)</f>
        <v>28.756599999999999</v>
      </c>
      <c r="T57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75" s="56">
        <f>(1000*CHOOSE(CONTROL!$C$42, 695, 695)*CHOOSE(CONTROL!$C$42, 0.5599, 0.5599)*CHOOSE(CONTROL!$C$42, 30, 30))/1000000</f>
        <v>11.673914999999997</v>
      </c>
      <c r="V575" s="56">
        <f>(1000*CHOOSE(CONTROL!$C$42, 500, 500)*CHOOSE(CONTROL!$C$42, 0.275, 0.275)*CHOOSE(CONTROL!$C$42, 30, 30))/1000000</f>
        <v>4.125</v>
      </c>
      <c r="W575" s="56">
        <f>(1000*CHOOSE(CONTROL!$C$42, 0.0916, 0.0916)*CHOOSE(CONTROL!$C$42, 121.5, 121.5)*CHOOSE(CONTROL!$C$42, 30, 30))/1000000</f>
        <v>0.33388200000000001</v>
      </c>
      <c r="X575" s="56">
        <f>(30*0.2374*100000/1000000)</f>
        <v>0.71220000000000006</v>
      </c>
      <c r="Y575" s="56"/>
      <c r="Z575" s="17"/>
      <c r="AA575" s="55"/>
      <c r="AB575" s="48">
        <f>(B575*122.58+C575*297.941+D575*89.177+E575*140.302+F575*40+G575*60+H575*0+I575*100+J575*300)/(122.58+297.941+89.177+140.302+0+40+60+100+300)</f>
        <v>29.703031906347828</v>
      </c>
      <c r="AC575" s="45">
        <f>(M575*'RAP TEMPLATE-GAS AVAILABILITY'!O574+N575*'RAP TEMPLATE-GAS AVAILABILITY'!P574+O575*'RAP TEMPLATE-GAS AVAILABILITY'!Q574+P575*'RAP TEMPLATE-GAS AVAILABILITY'!R574)/('RAP TEMPLATE-GAS AVAILABILITY'!O574+'RAP TEMPLATE-GAS AVAILABILITY'!P574+'RAP TEMPLATE-GAS AVAILABILITY'!Q574+'RAP TEMPLATE-GAS AVAILABILITY'!R574)</f>
        <v>29.475950359712233</v>
      </c>
    </row>
    <row r="576" spans="1:29" ht="15.75" x14ac:dyDescent="0.25">
      <c r="A576" s="13">
        <v>58440</v>
      </c>
      <c r="B576" s="17">
        <f>CHOOSE(CONTROL!$C$42, 31.6868, 31.6868) * CHOOSE(CONTROL!$C$21, $C$9, 100%, $E$9)</f>
        <v>31.686800000000002</v>
      </c>
      <c r="C576" s="17">
        <f>CHOOSE(CONTROL!$C$42, 31.6919, 31.6919) * CHOOSE(CONTROL!$C$21, $C$9, 100%, $E$9)</f>
        <v>31.6919</v>
      </c>
      <c r="D576" s="17">
        <f>CHOOSE(CONTROL!$C$42, 31.7733, 31.7733) * CHOOSE(CONTROL!$C$21, $C$9, 100%, $E$9)</f>
        <v>31.773299999999999</v>
      </c>
      <c r="E576" s="17">
        <f>CHOOSE(CONTROL!$C$42, 31.807, 31.807) * CHOOSE(CONTROL!$C$21, $C$9, 100%, $E$9)</f>
        <v>31.806999999999999</v>
      </c>
      <c r="F576" s="17">
        <f>CHOOSE(CONTROL!$C$42, 31.7071, 31.7071)*CHOOSE(CONTROL!$C$21, $C$9, 100%, $E$9)</f>
        <v>31.707100000000001</v>
      </c>
      <c r="G576" s="17">
        <f>CHOOSE(CONTROL!$C$42, 31.7245, 31.7245)*CHOOSE(CONTROL!$C$21, $C$9, 100%, $E$9)</f>
        <v>31.724499999999999</v>
      </c>
      <c r="H576" s="17">
        <f>CHOOSE(CONTROL!$C$42, 31.7959, 31.7959) * CHOOSE(CONTROL!$C$21, $C$9, 100%, $E$9)</f>
        <v>31.7959</v>
      </c>
      <c r="I576" s="17">
        <f>CHOOSE(CONTROL!$C$42, 31.8101, 31.8101)* CHOOSE(CONTROL!$C$21, $C$9, 100%, $E$9)</f>
        <v>31.810099999999998</v>
      </c>
      <c r="J576" s="17">
        <f>CHOOSE(CONTROL!$C$42, 31.6997, 31.6997)* CHOOSE(CONTROL!$C$21, $C$9, 100%, $E$9)</f>
        <v>31.6997</v>
      </c>
      <c r="K576" s="52">
        <f>CHOOSE(CONTROL!$C$42, 31.8041, 31.8041) * CHOOSE(CONTROL!$C$21, $C$9, 100%, $E$9)</f>
        <v>31.804099999999998</v>
      </c>
      <c r="L576" s="17">
        <f>CHOOSE(CONTROL!$C$42, 32.3829, 32.3829) * CHOOSE(CONTROL!$C$21, $C$9, 100%, $E$9)</f>
        <v>32.382899999999999</v>
      </c>
      <c r="M576" s="17">
        <f>CHOOSE(CONTROL!$C$42, 31.4217, 31.4217) * CHOOSE(CONTROL!$C$21, $C$9, 100%, $E$9)</f>
        <v>31.421700000000001</v>
      </c>
      <c r="N576" s="17">
        <f>CHOOSE(CONTROL!$C$42, 31.4388, 31.4388) * CHOOSE(CONTROL!$C$21, $C$9, 100%, $E$9)</f>
        <v>31.438800000000001</v>
      </c>
      <c r="O576" s="17">
        <f>CHOOSE(CONTROL!$C$42, 31.517, 31.517) * CHOOSE(CONTROL!$C$21, $C$9, 100%, $E$9)</f>
        <v>31.516999999999999</v>
      </c>
      <c r="P576" s="17">
        <f>CHOOSE(CONTROL!$C$42, 31.5302, 31.5302) * CHOOSE(CONTROL!$C$21, $C$9, 100%, $E$9)</f>
        <v>31.530200000000001</v>
      </c>
      <c r="Q576" s="17">
        <f>CHOOSE(CONTROL!$C$42, 32.1117, 32.1117) * CHOOSE(CONTROL!$C$21, $C$9, 100%, $E$9)</f>
        <v>32.111699999999999</v>
      </c>
      <c r="R576" s="17">
        <f>CHOOSE(CONTROL!$C$42, 32.7789, 32.7789) * CHOOSE(CONTROL!$C$21, $C$9, 100%, $E$9)</f>
        <v>32.7789</v>
      </c>
      <c r="S576" s="17">
        <f>CHOOSE(CONTROL!$C$42, 30.7172, 30.7172) * CHOOSE(CONTROL!$C$21, $C$9, 100%, $E$9)</f>
        <v>30.717199999999998</v>
      </c>
      <c r="T57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76" s="56">
        <f>(1000*CHOOSE(CONTROL!$C$42, 695, 695)*CHOOSE(CONTROL!$C$42, 0.5599, 0.5599)*CHOOSE(CONTROL!$C$42, 31, 31))/1000000</f>
        <v>12.063045499999998</v>
      </c>
      <c r="V576" s="56">
        <f>(1000*CHOOSE(CONTROL!$C$42, 500, 500)*CHOOSE(CONTROL!$C$42, 0.275, 0.275)*CHOOSE(CONTROL!$C$42, 31, 31))/1000000</f>
        <v>4.2625000000000002</v>
      </c>
      <c r="W576" s="56">
        <f>(1000*CHOOSE(CONTROL!$C$42, 0.0916, 0.0916)*CHOOSE(CONTROL!$C$42, 121.5, 121.5)*CHOOSE(CONTROL!$C$42, 31, 31))/1000000</f>
        <v>0.34501139999999997</v>
      </c>
      <c r="X576" s="56">
        <f>(31*0.2374*100000/1000000)</f>
        <v>0.73594000000000004</v>
      </c>
      <c r="Y576" s="56"/>
      <c r="Z576" s="17"/>
      <c r="AA576" s="55"/>
      <c r="AB576" s="48">
        <f>(B576*122.58+C576*297.941+D576*89.177+E576*140.302+F576*40+G576*60+H576*0+I576*100+J576*300)/(122.58+297.941+89.177+140.302+0+40+60+100+300)</f>
        <v>31.726253573913038</v>
      </c>
      <c r="AC576" s="45">
        <f>(M576*'RAP TEMPLATE-GAS AVAILABILITY'!O575+N576*'RAP TEMPLATE-GAS AVAILABILITY'!P575+O576*'RAP TEMPLATE-GAS AVAILABILITY'!Q575+P576*'RAP TEMPLATE-GAS AVAILABILITY'!R575)/('RAP TEMPLATE-GAS AVAILABILITY'!O575+'RAP TEMPLATE-GAS AVAILABILITY'!P575+'RAP TEMPLATE-GAS AVAILABILITY'!Q575+'RAP TEMPLATE-GAS AVAILABILITY'!R575)</f>
        <v>31.481489208633093</v>
      </c>
    </row>
    <row r="577" spans="1:29" ht="15.75" x14ac:dyDescent="0.25">
      <c r="A577" s="13">
        <v>58471</v>
      </c>
      <c r="B577" s="17">
        <f>CHOOSE(CONTROL!$C$42, 34.3128, 34.3128) * CHOOSE(CONTROL!$C$21, $C$9, 100%, $E$9)</f>
        <v>34.312800000000003</v>
      </c>
      <c r="C577" s="17">
        <f>CHOOSE(CONTROL!$C$42, 34.3179, 34.3179) * CHOOSE(CONTROL!$C$21, $C$9, 100%, $E$9)</f>
        <v>34.317900000000002</v>
      </c>
      <c r="D577" s="17">
        <f>CHOOSE(CONTROL!$C$42, 34.4147, 34.4147) * CHOOSE(CONTROL!$C$21, $C$9, 100%, $E$9)</f>
        <v>34.414700000000003</v>
      </c>
      <c r="E577" s="17">
        <f>CHOOSE(CONTROL!$C$42, 34.4485, 34.4485) * CHOOSE(CONTROL!$C$21, $C$9, 100%, $E$9)</f>
        <v>34.448500000000003</v>
      </c>
      <c r="F577" s="17">
        <f>CHOOSE(CONTROL!$C$42, 34.3271, 34.3271)*CHOOSE(CONTROL!$C$21, $C$9, 100%, $E$9)</f>
        <v>34.327100000000002</v>
      </c>
      <c r="G577" s="17">
        <f>CHOOSE(CONTROL!$C$42, 34.3435, 34.3435)*CHOOSE(CONTROL!$C$21, $C$9, 100%, $E$9)</f>
        <v>34.343499999999999</v>
      </c>
      <c r="H577" s="17">
        <f>CHOOSE(CONTROL!$C$42, 34.4374, 34.4374) * CHOOSE(CONTROL!$C$21, $C$9, 100%, $E$9)</f>
        <v>34.437399999999997</v>
      </c>
      <c r="I577" s="17">
        <f>CHOOSE(CONTROL!$C$42, 34.4442, 34.4442)* CHOOSE(CONTROL!$C$21, $C$9, 100%, $E$9)</f>
        <v>34.444200000000002</v>
      </c>
      <c r="J577" s="17">
        <f>CHOOSE(CONTROL!$C$42, 34.3197, 34.3197)* CHOOSE(CONTROL!$C$21, $C$9, 100%, $E$9)</f>
        <v>34.319699999999997</v>
      </c>
      <c r="K577" s="52">
        <f>CHOOSE(CONTROL!$C$42, 34.4382, 34.4382) * CHOOSE(CONTROL!$C$21, $C$9, 100%, $E$9)</f>
        <v>34.438200000000002</v>
      </c>
      <c r="L577" s="17">
        <f>CHOOSE(CONTROL!$C$42, 35.0244, 35.0244) * CHOOSE(CONTROL!$C$21, $C$9, 100%, $E$9)</f>
        <v>35.0244</v>
      </c>
      <c r="M577" s="17">
        <f>CHOOSE(CONTROL!$C$42, 34.018, 34.018) * CHOOSE(CONTROL!$C$21, $C$9, 100%, $E$9)</f>
        <v>34.018000000000001</v>
      </c>
      <c r="N577" s="17">
        <f>CHOOSE(CONTROL!$C$42, 34.0343, 34.0343) * CHOOSE(CONTROL!$C$21, $C$9, 100%, $E$9)</f>
        <v>34.034300000000002</v>
      </c>
      <c r="O577" s="17">
        <f>CHOOSE(CONTROL!$C$42, 34.1347, 34.1347) * CHOOSE(CONTROL!$C$21, $C$9, 100%, $E$9)</f>
        <v>34.134700000000002</v>
      </c>
      <c r="P577" s="17">
        <f>CHOOSE(CONTROL!$C$42, 34.1406, 34.1406) * CHOOSE(CONTROL!$C$21, $C$9, 100%, $E$9)</f>
        <v>34.140599999999999</v>
      </c>
      <c r="Q577" s="17">
        <f>CHOOSE(CONTROL!$C$42, 34.7294, 34.7294) * CHOOSE(CONTROL!$C$21, $C$9, 100%, $E$9)</f>
        <v>34.729399999999998</v>
      </c>
      <c r="R577" s="17">
        <f>CHOOSE(CONTROL!$C$42, 35.4032, 35.4032) * CHOOSE(CONTROL!$C$21, $C$9, 100%, $E$9)</f>
        <v>35.403199999999998</v>
      </c>
      <c r="S577" s="17">
        <f>CHOOSE(CONTROL!$C$42, 33.2636, 33.2636) * CHOOSE(CONTROL!$C$21, $C$9, 100%, $E$9)</f>
        <v>33.263599999999997</v>
      </c>
      <c r="T57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77" s="56">
        <f>(1000*CHOOSE(CONTROL!$C$42, 695, 695)*CHOOSE(CONTROL!$C$42, 0.5599, 0.5599)*CHOOSE(CONTROL!$C$42, 31, 31))/1000000</f>
        <v>12.063045499999998</v>
      </c>
      <c r="V577" s="56">
        <f>(1000*CHOOSE(CONTROL!$C$42, 500, 500)*CHOOSE(CONTROL!$C$42, 0.275, 0.275)*CHOOSE(CONTROL!$C$42, 31, 31))/1000000</f>
        <v>4.2625000000000002</v>
      </c>
      <c r="W577" s="56">
        <f>(1000*CHOOSE(CONTROL!$C$42, 0.0916, 0.0916)*CHOOSE(CONTROL!$C$42, 121.5, 121.5)*CHOOSE(CONTROL!$C$42, 31, 31))/1000000</f>
        <v>0.34501139999999997</v>
      </c>
      <c r="X577" s="56">
        <f>(31*0.2374*100000/1000000)</f>
        <v>0.73594000000000004</v>
      </c>
      <c r="Y577" s="56"/>
      <c r="Z577" s="17"/>
      <c r="AA577" s="55"/>
      <c r="AB577" s="48">
        <f>(B577*122.58+C577*297.941+D577*89.177+E577*140.302+F577*40+G577*60+H577*0+I577*100+J577*300)/(122.58+297.941+89.177+140.302+0+40+60+100+300)</f>
        <v>34.353904014608695</v>
      </c>
      <c r="AC577" s="45">
        <f>(M577*'RAP TEMPLATE-GAS AVAILABILITY'!O576+N577*'RAP TEMPLATE-GAS AVAILABILITY'!P576+O577*'RAP TEMPLATE-GAS AVAILABILITY'!Q576+P577*'RAP TEMPLATE-GAS AVAILABILITY'!R576)/('RAP TEMPLATE-GAS AVAILABILITY'!O576+'RAP TEMPLATE-GAS AVAILABILITY'!P576+'RAP TEMPLATE-GAS AVAILABILITY'!Q576+'RAP TEMPLATE-GAS AVAILABILITY'!R576)</f>
        <v>34.089471223021583</v>
      </c>
    </row>
    <row r="578" spans="1:29" ht="15.75" x14ac:dyDescent="0.25">
      <c r="A578" s="13">
        <v>58499</v>
      </c>
      <c r="B578" s="17">
        <f>CHOOSE(CONTROL!$C$42, 34.9234, 34.9234) * CHOOSE(CONTROL!$C$21, $C$9, 100%, $E$9)</f>
        <v>34.923400000000001</v>
      </c>
      <c r="C578" s="17">
        <f>CHOOSE(CONTROL!$C$42, 34.9285, 34.9285) * CHOOSE(CONTROL!$C$21, $C$9, 100%, $E$9)</f>
        <v>34.9285</v>
      </c>
      <c r="D578" s="17">
        <f>CHOOSE(CONTROL!$C$42, 35.0254, 35.0254) * CHOOSE(CONTROL!$C$21, $C$9, 100%, $E$9)</f>
        <v>35.025399999999998</v>
      </c>
      <c r="E578" s="17">
        <f>CHOOSE(CONTROL!$C$42, 35.0591, 35.0591) * CHOOSE(CONTROL!$C$21, $C$9, 100%, $E$9)</f>
        <v>35.059100000000001</v>
      </c>
      <c r="F578" s="17">
        <f>CHOOSE(CONTROL!$C$42, 34.9377, 34.9377)*CHOOSE(CONTROL!$C$21, $C$9, 100%, $E$9)</f>
        <v>34.9377</v>
      </c>
      <c r="G578" s="17">
        <f>CHOOSE(CONTROL!$C$42, 34.9541, 34.9541)*CHOOSE(CONTROL!$C$21, $C$9, 100%, $E$9)</f>
        <v>34.954099999999997</v>
      </c>
      <c r="H578" s="17">
        <f>CHOOSE(CONTROL!$C$42, 35.048, 35.048) * CHOOSE(CONTROL!$C$21, $C$9, 100%, $E$9)</f>
        <v>35.048000000000002</v>
      </c>
      <c r="I578" s="17">
        <f>CHOOSE(CONTROL!$C$42, 35.0568, 35.0568)* CHOOSE(CONTROL!$C$21, $C$9, 100%, $E$9)</f>
        <v>35.056800000000003</v>
      </c>
      <c r="J578" s="17">
        <f>CHOOSE(CONTROL!$C$42, 34.9303, 34.9303)* CHOOSE(CONTROL!$C$21, $C$9, 100%, $E$9)</f>
        <v>34.930300000000003</v>
      </c>
      <c r="K578" s="52">
        <f>CHOOSE(CONTROL!$C$42, 35.0507, 35.0507) * CHOOSE(CONTROL!$C$21, $C$9, 100%, $E$9)</f>
        <v>35.050699999999999</v>
      </c>
      <c r="L578" s="17">
        <f>CHOOSE(CONTROL!$C$42, 35.635, 35.635) * CHOOSE(CONTROL!$C$21, $C$9, 100%, $E$9)</f>
        <v>35.634999999999998</v>
      </c>
      <c r="M578" s="17">
        <f>CHOOSE(CONTROL!$C$42, 34.6232, 34.6232) * CHOOSE(CONTROL!$C$21, $C$9, 100%, $E$9)</f>
        <v>34.623199999999997</v>
      </c>
      <c r="N578" s="17">
        <f>CHOOSE(CONTROL!$C$42, 34.6394, 34.6394) * CHOOSE(CONTROL!$C$21, $C$9, 100%, $E$9)</f>
        <v>34.639400000000002</v>
      </c>
      <c r="O578" s="17">
        <f>CHOOSE(CONTROL!$C$42, 34.7398, 34.7398) * CHOOSE(CONTROL!$C$21, $C$9, 100%, $E$9)</f>
        <v>34.739800000000002</v>
      </c>
      <c r="P578" s="17">
        <f>CHOOSE(CONTROL!$C$42, 34.7476, 34.7476) * CHOOSE(CONTROL!$C$21, $C$9, 100%, $E$9)</f>
        <v>34.747599999999998</v>
      </c>
      <c r="Q578" s="17">
        <f>CHOOSE(CONTROL!$C$42, 35.3345, 35.3345) * CHOOSE(CONTROL!$C$21, $C$9, 100%, $E$9)</f>
        <v>35.334499999999998</v>
      </c>
      <c r="R578" s="17">
        <f>CHOOSE(CONTROL!$C$42, 36.0098, 36.0098) * CHOOSE(CONTROL!$C$21, $C$9, 100%, $E$9)</f>
        <v>36.009799999999998</v>
      </c>
      <c r="S578" s="17">
        <f>CHOOSE(CONTROL!$C$42, 33.8557, 33.8557) * CHOOSE(CONTROL!$C$21, $C$9, 100%, $E$9)</f>
        <v>33.855699999999999</v>
      </c>
      <c r="T578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78" s="56">
        <f>(1000*CHOOSE(CONTROL!$C$42, 695, 695)*CHOOSE(CONTROL!$C$42, 0.5599, 0.5599)*CHOOSE(CONTROL!$C$42, 29, 29))/1000000</f>
        <v>11.284784499999999</v>
      </c>
      <c r="V578" s="56">
        <f>(1000*CHOOSE(CONTROL!$C$42, 500, 500)*CHOOSE(CONTROL!$C$42, 0.275, 0.275)*CHOOSE(CONTROL!$C$42, 29, 29))/1000000</f>
        <v>3.9874999999999998</v>
      </c>
      <c r="W578" s="56">
        <f>(1000*CHOOSE(CONTROL!$C$42, 0.0916, 0.0916)*CHOOSE(CONTROL!$C$42, 121.5, 121.5)*CHOOSE(CONTROL!$C$42, 29, 29))/1000000</f>
        <v>0.3227526</v>
      </c>
      <c r="X578" s="56">
        <f>(29*0.2374*100000/1000000)</f>
        <v>0.68845999999999996</v>
      </c>
      <c r="Y578" s="56"/>
      <c r="Z578" s="17"/>
      <c r="AA578" s="55"/>
      <c r="AB578" s="48">
        <f>(B578*122.58+C578*297.941+D578*89.177+E578*140.302+F578*40+G578*60+H578*0+I578*100+J578*300)/(122.58+297.941+89.177+140.302+0+40+60+100+300)</f>
        <v>34.964685682173915</v>
      </c>
      <c r="AC578" s="45">
        <f>(M578*'RAP TEMPLATE-GAS AVAILABILITY'!O577+N578*'RAP TEMPLATE-GAS AVAILABILITY'!P577+O578*'RAP TEMPLATE-GAS AVAILABILITY'!Q577+P578*'RAP TEMPLATE-GAS AVAILABILITY'!R577)/('RAP TEMPLATE-GAS AVAILABILITY'!O577+'RAP TEMPLATE-GAS AVAILABILITY'!P577+'RAP TEMPLATE-GAS AVAILABILITY'!Q577+'RAP TEMPLATE-GAS AVAILABILITY'!R577)</f>
        <v>34.694879136690645</v>
      </c>
    </row>
    <row r="579" spans="1:29" ht="15.75" x14ac:dyDescent="0.25">
      <c r="A579" s="13">
        <v>58531</v>
      </c>
      <c r="B579" s="17">
        <f>CHOOSE(CONTROL!$C$42, 33.9322, 33.9322) * CHOOSE(CONTROL!$C$21, $C$9, 100%, $E$9)</f>
        <v>33.932200000000002</v>
      </c>
      <c r="C579" s="17">
        <f>CHOOSE(CONTROL!$C$42, 33.9373, 33.9373) * CHOOSE(CONTROL!$C$21, $C$9, 100%, $E$9)</f>
        <v>33.9373</v>
      </c>
      <c r="D579" s="17">
        <f>CHOOSE(CONTROL!$C$42, 34.0342, 34.0342) * CHOOSE(CONTROL!$C$21, $C$9, 100%, $E$9)</f>
        <v>34.034199999999998</v>
      </c>
      <c r="E579" s="17">
        <f>CHOOSE(CONTROL!$C$42, 34.0679, 34.0679) * CHOOSE(CONTROL!$C$21, $C$9, 100%, $E$9)</f>
        <v>34.067900000000002</v>
      </c>
      <c r="F579" s="17">
        <f>CHOOSE(CONTROL!$C$42, 33.9459, 33.9459)*CHOOSE(CONTROL!$C$21, $C$9, 100%, $E$9)</f>
        <v>33.945900000000002</v>
      </c>
      <c r="G579" s="17">
        <f>CHOOSE(CONTROL!$C$42, 33.9621, 33.9621)*CHOOSE(CONTROL!$C$21, $C$9, 100%, $E$9)</f>
        <v>33.9621</v>
      </c>
      <c r="H579" s="17">
        <f>CHOOSE(CONTROL!$C$42, 34.0568, 34.0568) * CHOOSE(CONTROL!$C$21, $C$9, 100%, $E$9)</f>
        <v>34.056800000000003</v>
      </c>
      <c r="I579" s="17">
        <f>CHOOSE(CONTROL!$C$42, 34.0625, 34.0625)* CHOOSE(CONTROL!$C$21, $C$9, 100%, $E$9)</f>
        <v>34.0625</v>
      </c>
      <c r="J579" s="17">
        <f>CHOOSE(CONTROL!$C$42, 33.9385, 33.9385)* CHOOSE(CONTROL!$C$21, $C$9, 100%, $E$9)</f>
        <v>33.938499999999998</v>
      </c>
      <c r="K579" s="52">
        <f>CHOOSE(CONTROL!$C$42, 34.0565, 34.0565) * CHOOSE(CONTROL!$C$21, $C$9, 100%, $E$9)</f>
        <v>34.0565</v>
      </c>
      <c r="L579" s="17">
        <f>CHOOSE(CONTROL!$C$42, 34.6438, 34.6438) * CHOOSE(CONTROL!$C$21, $C$9, 100%, $E$9)</f>
        <v>34.643799999999999</v>
      </c>
      <c r="M579" s="17">
        <f>CHOOSE(CONTROL!$C$42, 33.6402, 33.6402) * CHOOSE(CONTROL!$C$21, $C$9, 100%, $E$9)</f>
        <v>33.6402</v>
      </c>
      <c r="N579" s="17">
        <f>CHOOSE(CONTROL!$C$42, 33.6563, 33.6563) * CHOOSE(CONTROL!$C$21, $C$9, 100%, $E$9)</f>
        <v>33.656300000000002</v>
      </c>
      <c r="O579" s="17">
        <f>CHOOSE(CONTROL!$C$42, 33.7575, 33.7575) * CHOOSE(CONTROL!$C$21, $C$9, 100%, $E$9)</f>
        <v>33.7575</v>
      </c>
      <c r="P579" s="17">
        <f>CHOOSE(CONTROL!$C$42, 33.7623, 33.7623) * CHOOSE(CONTROL!$C$21, $C$9, 100%, $E$9)</f>
        <v>33.762300000000003</v>
      </c>
      <c r="Q579" s="17">
        <f>CHOOSE(CONTROL!$C$42, 34.3522, 34.3522) * CHOOSE(CONTROL!$C$21, $C$9, 100%, $E$9)</f>
        <v>34.352200000000003</v>
      </c>
      <c r="R579" s="17">
        <f>CHOOSE(CONTROL!$C$42, 35.0251, 35.0251) * CHOOSE(CONTROL!$C$21, $C$9, 100%, $E$9)</f>
        <v>35.025100000000002</v>
      </c>
      <c r="S579" s="17">
        <f>CHOOSE(CONTROL!$C$42, 32.8946, 32.8946) * CHOOSE(CONTROL!$C$21, $C$9, 100%, $E$9)</f>
        <v>32.894599999999997</v>
      </c>
      <c r="T57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79" s="56">
        <f>(1000*CHOOSE(CONTROL!$C$42, 695, 695)*CHOOSE(CONTROL!$C$42, 0.5599, 0.5599)*CHOOSE(CONTROL!$C$42, 31, 31))/1000000</f>
        <v>12.063045499999998</v>
      </c>
      <c r="V579" s="56">
        <f>(1000*CHOOSE(CONTROL!$C$42, 500, 500)*CHOOSE(CONTROL!$C$42, 0.275, 0.275)*CHOOSE(CONTROL!$C$42, 31, 31))/1000000</f>
        <v>4.2625000000000002</v>
      </c>
      <c r="W579" s="56">
        <f>(1000*CHOOSE(CONTROL!$C$42, 0.0916, 0.0916)*CHOOSE(CONTROL!$C$42, 121.5, 121.5)*CHOOSE(CONTROL!$C$42, 31, 31))/1000000</f>
        <v>0.34501139999999997</v>
      </c>
      <c r="X579" s="56">
        <f>(31*0.2374*100000/1000000)</f>
        <v>0.73594000000000004</v>
      </c>
      <c r="Y579" s="56"/>
      <c r="Z579" s="17"/>
      <c r="AA579" s="55"/>
      <c r="AB579" s="48">
        <f>(B579*122.58+C579*297.941+D579*89.177+E579*140.302+F579*40+G579*60+H579*0+I579*100+J579*300)/(122.58+297.941+89.177+140.302+0+40+60+100+300)</f>
        <v>33.972996986521736</v>
      </c>
      <c r="AC579" s="45">
        <f>(M579*'RAP TEMPLATE-GAS AVAILABILITY'!O578+N579*'RAP TEMPLATE-GAS AVAILABILITY'!P578+O579*'RAP TEMPLATE-GAS AVAILABILITY'!Q578+P579*'RAP TEMPLATE-GAS AVAILABILITY'!R578)/('RAP TEMPLATE-GAS AVAILABILITY'!O578+'RAP TEMPLATE-GAS AVAILABILITY'!P578+'RAP TEMPLATE-GAS AVAILABILITY'!Q578+'RAP TEMPLATE-GAS AVAILABILITY'!R578)</f>
        <v>33.711859712230208</v>
      </c>
    </row>
    <row r="580" spans="1:29" ht="15.75" x14ac:dyDescent="0.25">
      <c r="A580" s="13">
        <v>58561</v>
      </c>
      <c r="B580" s="17">
        <f>CHOOSE(CONTROL!$C$42, 33.8317, 33.8317) * CHOOSE(CONTROL!$C$21, $C$9, 100%, $E$9)</f>
        <v>33.831699999999998</v>
      </c>
      <c r="C580" s="17">
        <f>CHOOSE(CONTROL!$C$42, 33.8362, 33.8362) * CHOOSE(CONTROL!$C$21, $C$9, 100%, $E$9)</f>
        <v>33.836199999999998</v>
      </c>
      <c r="D580" s="17">
        <f>CHOOSE(CONTROL!$C$42, 34.0837, 34.0837) * CHOOSE(CONTROL!$C$21, $C$9, 100%, $E$9)</f>
        <v>34.0837</v>
      </c>
      <c r="E580" s="17">
        <f>CHOOSE(CONTROL!$C$42, 34.1155, 34.1155) * CHOOSE(CONTROL!$C$21, $C$9, 100%, $E$9)</f>
        <v>34.115499999999997</v>
      </c>
      <c r="F580" s="17">
        <f>CHOOSE(CONTROL!$C$42, 33.8433, 33.8433)*CHOOSE(CONTROL!$C$21, $C$9, 100%, $E$9)</f>
        <v>33.843299999999999</v>
      </c>
      <c r="G580" s="17">
        <f>CHOOSE(CONTROL!$C$42, 33.8592, 33.8592)*CHOOSE(CONTROL!$C$21, $C$9, 100%, $E$9)</f>
        <v>33.859200000000001</v>
      </c>
      <c r="H580" s="17">
        <f>CHOOSE(CONTROL!$C$42, 34.105, 34.105) * CHOOSE(CONTROL!$C$21, $C$9, 100%, $E$9)</f>
        <v>34.104999999999997</v>
      </c>
      <c r="I580" s="17">
        <f>CHOOSE(CONTROL!$C$42, 33.9593, 33.9593)* CHOOSE(CONTROL!$C$21, $C$9, 100%, $E$9)</f>
        <v>33.959299999999999</v>
      </c>
      <c r="J580" s="17">
        <f>CHOOSE(CONTROL!$C$42, 33.8359, 33.8359)* CHOOSE(CONTROL!$C$21, $C$9, 100%, $E$9)</f>
        <v>33.835900000000002</v>
      </c>
      <c r="K580" s="52">
        <f>CHOOSE(CONTROL!$C$42, 33.9532, 33.9532) * CHOOSE(CONTROL!$C$21, $C$9, 100%, $E$9)</f>
        <v>33.953200000000002</v>
      </c>
      <c r="L580" s="17">
        <f>CHOOSE(CONTROL!$C$42, 34.692, 34.692) * CHOOSE(CONTROL!$C$21, $C$9, 100%, $E$9)</f>
        <v>34.692</v>
      </c>
      <c r="M580" s="17">
        <f>CHOOSE(CONTROL!$C$42, 33.5386, 33.5386) * CHOOSE(CONTROL!$C$21, $C$9, 100%, $E$9)</f>
        <v>33.538600000000002</v>
      </c>
      <c r="N580" s="17">
        <f>CHOOSE(CONTROL!$C$42, 33.5544, 33.5544) * CHOOSE(CONTROL!$C$21, $C$9, 100%, $E$9)</f>
        <v>33.554400000000001</v>
      </c>
      <c r="O580" s="17">
        <f>CHOOSE(CONTROL!$C$42, 33.8053, 33.8053) * CHOOSE(CONTROL!$C$21, $C$9, 100%, $E$9)</f>
        <v>33.805300000000003</v>
      </c>
      <c r="P580" s="17">
        <f>CHOOSE(CONTROL!$C$42, 33.66, 33.66) * CHOOSE(CONTROL!$C$21, $C$9, 100%, $E$9)</f>
        <v>33.659999999999997</v>
      </c>
      <c r="Q580" s="17">
        <f>CHOOSE(CONTROL!$C$42, 34.4, 34.4) * CHOOSE(CONTROL!$C$21, $C$9, 100%, $E$9)</f>
        <v>34.4</v>
      </c>
      <c r="R580" s="17">
        <f>CHOOSE(CONTROL!$C$42, 35.073, 35.073) * CHOOSE(CONTROL!$C$21, $C$9, 100%, $E$9)</f>
        <v>35.073</v>
      </c>
      <c r="S580" s="17">
        <f>CHOOSE(CONTROL!$C$42, 32.7963, 32.7963) * CHOOSE(CONTROL!$C$21, $C$9, 100%, $E$9)</f>
        <v>32.796300000000002</v>
      </c>
      <c r="T58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80" s="56">
        <f>(1000*CHOOSE(CONTROL!$C$42, 695, 695)*CHOOSE(CONTROL!$C$42, 0.5599, 0.5599)*CHOOSE(CONTROL!$C$42, 30, 30))/1000000</f>
        <v>11.673914999999997</v>
      </c>
      <c r="V580" s="56">
        <f>(1000*CHOOSE(CONTROL!$C$42, 500, 500)*CHOOSE(CONTROL!$C$42, 0.275, 0.275)*CHOOSE(CONTROL!$C$42, 30, 30))/1000000</f>
        <v>4.125</v>
      </c>
      <c r="W580" s="56">
        <f>(1000*CHOOSE(CONTROL!$C$42, 0.0916, 0.0916)*CHOOSE(CONTROL!$C$42, 121.5, 121.5)*CHOOSE(CONTROL!$C$42, 30, 30))/1000000</f>
        <v>0.33388200000000001</v>
      </c>
      <c r="X580" s="56">
        <f>(30*0.1790888*145000/1000000)+(30*0.2374*100000/1000000)</f>
        <v>1.4912362799999999</v>
      </c>
      <c r="Y580" s="56"/>
      <c r="Z580" s="17"/>
      <c r="AA580" s="55"/>
      <c r="AB580" s="48">
        <f>(B580*141.293+C580*267.993+D580*115.016+E580*189.698+F580*40+G580*85+H580*0+I580*100+J580*300)/(141.293+267.993+115.016+189.698+0+40+85+100+300)</f>
        <v>33.913094505972559</v>
      </c>
      <c r="AC580" s="45">
        <f>(M580*'RAP TEMPLATE-GAS AVAILABILITY'!O579+N580*'RAP TEMPLATE-GAS AVAILABILITY'!P579+O580*'RAP TEMPLATE-GAS AVAILABILITY'!Q579+P580*'RAP TEMPLATE-GAS AVAILABILITY'!R579)/('RAP TEMPLATE-GAS AVAILABILITY'!O579+'RAP TEMPLATE-GAS AVAILABILITY'!P579+'RAP TEMPLATE-GAS AVAILABILITY'!Q579+'RAP TEMPLATE-GAS AVAILABILITY'!R579)</f>
        <v>33.634534532374104</v>
      </c>
    </row>
    <row r="581" spans="1:29" ht="15.75" x14ac:dyDescent="0.25">
      <c r="A581" s="13">
        <v>58592</v>
      </c>
      <c r="B581" s="17">
        <f>CHOOSE(CONTROL!$C$42, 34.1315, 34.1315) * CHOOSE(CONTROL!$C$21, $C$9, 100%, $E$9)</f>
        <v>34.131500000000003</v>
      </c>
      <c r="C581" s="17">
        <f>CHOOSE(CONTROL!$C$42, 34.1395, 34.1395) * CHOOSE(CONTROL!$C$21, $C$9, 100%, $E$9)</f>
        <v>34.139499999999998</v>
      </c>
      <c r="D581" s="17">
        <f>CHOOSE(CONTROL!$C$42, 34.384, 34.384) * CHOOSE(CONTROL!$C$21, $C$9, 100%, $E$9)</f>
        <v>34.384</v>
      </c>
      <c r="E581" s="17">
        <f>CHOOSE(CONTROL!$C$42, 34.4152, 34.4152) * CHOOSE(CONTROL!$C$21, $C$9, 100%, $E$9)</f>
        <v>34.415199999999999</v>
      </c>
      <c r="F581" s="17">
        <f>CHOOSE(CONTROL!$C$42, 34.1421, 34.1421)*CHOOSE(CONTROL!$C$21, $C$9, 100%, $E$9)</f>
        <v>34.142099999999999</v>
      </c>
      <c r="G581" s="17">
        <f>CHOOSE(CONTROL!$C$42, 34.1583, 34.1583)*CHOOSE(CONTROL!$C$21, $C$9, 100%, $E$9)</f>
        <v>34.158299999999997</v>
      </c>
      <c r="H581" s="17">
        <f>CHOOSE(CONTROL!$C$42, 34.4035, 34.4035) * CHOOSE(CONTROL!$C$21, $C$9, 100%, $E$9)</f>
        <v>34.403500000000001</v>
      </c>
      <c r="I581" s="17">
        <f>CHOOSE(CONTROL!$C$42, 34.2587, 34.2587)* CHOOSE(CONTROL!$C$21, $C$9, 100%, $E$9)</f>
        <v>34.258699999999997</v>
      </c>
      <c r="J581" s="17">
        <f>CHOOSE(CONTROL!$C$42, 34.1347, 34.1347)* CHOOSE(CONTROL!$C$21, $C$9, 100%, $E$9)</f>
        <v>34.134700000000002</v>
      </c>
      <c r="K581" s="52">
        <f>CHOOSE(CONTROL!$C$42, 34.2527, 34.2527) * CHOOSE(CONTROL!$C$21, $C$9, 100%, $E$9)</f>
        <v>34.252699999999997</v>
      </c>
      <c r="L581" s="17">
        <f>CHOOSE(CONTROL!$C$42, 34.9905, 34.9905) * CHOOSE(CONTROL!$C$21, $C$9, 100%, $E$9)</f>
        <v>34.990499999999997</v>
      </c>
      <c r="M581" s="17">
        <f>CHOOSE(CONTROL!$C$42, 33.8347, 33.8347) * CHOOSE(CONTROL!$C$21, $C$9, 100%, $E$9)</f>
        <v>33.834699999999998</v>
      </c>
      <c r="N581" s="17">
        <f>CHOOSE(CONTROL!$C$42, 33.8508, 33.8508) * CHOOSE(CONTROL!$C$21, $C$9, 100%, $E$9)</f>
        <v>33.8508</v>
      </c>
      <c r="O581" s="17">
        <f>CHOOSE(CONTROL!$C$42, 34.1011, 34.1011) * CHOOSE(CONTROL!$C$21, $C$9, 100%, $E$9)</f>
        <v>34.101100000000002</v>
      </c>
      <c r="P581" s="17">
        <f>CHOOSE(CONTROL!$C$42, 33.9567, 33.9567) * CHOOSE(CONTROL!$C$21, $C$9, 100%, $E$9)</f>
        <v>33.956699999999998</v>
      </c>
      <c r="Q581" s="17">
        <f>CHOOSE(CONTROL!$C$42, 34.6958, 34.6958) * CHOOSE(CONTROL!$C$21, $C$9, 100%, $E$9)</f>
        <v>34.695799999999998</v>
      </c>
      <c r="R581" s="17">
        <f>CHOOSE(CONTROL!$C$42, 35.3695, 35.3695) * CHOOSE(CONTROL!$C$21, $C$9, 100%, $E$9)</f>
        <v>35.369500000000002</v>
      </c>
      <c r="S581" s="17">
        <f>CHOOSE(CONTROL!$C$42, 33.0858, 33.0858) * CHOOSE(CONTROL!$C$21, $C$9, 100%, $E$9)</f>
        <v>33.085799999999999</v>
      </c>
      <c r="T58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81" s="56">
        <f>(1000*CHOOSE(CONTROL!$C$42, 695, 695)*CHOOSE(CONTROL!$C$42, 0.5599, 0.5599)*CHOOSE(CONTROL!$C$42, 31, 31))/1000000</f>
        <v>12.063045499999998</v>
      </c>
      <c r="V581" s="56">
        <f>(1000*CHOOSE(CONTROL!$C$42, 500, 500)*CHOOSE(CONTROL!$C$42, 0.275, 0.275)*CHOOSE(CONTROL!$C$42, 31, 31))/1000000</f>
        <v>4.2625000000000002</v>
      </c>
      <c r="W581" s="56">
        <f>(1000*CHOOSE(CONTROL!$C$42, 0.0916, 0.0916)*CHOOSE(CONTROL!$C$42, 121.5, 121.5)*CHOOSE(CONTROL!$C$42, 31, 31))/1000000</f>
        <v>0.34501139999999997</v>
      </c>
      <c r="X581" s="56">
        <f>(31*0.1790888*145000/1000000)+(31*0.2374*100000/1000000)</f>
        <v>1.5409441560000001</v>
      </c>
      <c r="Y581" s="56"/>
      <c r="Z581" s="17"/>
      <c r="AA581" s="55"/>
      <c r="AB581" s="48">
        <f>(B581*194.205+C581*267.466+D581*133.845+E581*153.484+F581*40+G581*85+H581*0+I581*100+J581*300)/(194.205+267.466+133.845+153.484+0+40+85+100+300)</f>
        <v>34.206744114050238</v>
      </c>
      <c r="AC581" s="45">
        <f>(M581*'RAP TEMPLATE-GAS AVAILABILITY'!O580+N581*'RAP TEMPLATE-GAS AVAILABILITY'!P580+O581*'RAP TEMPLATE-GAS AVAILABILITY'!Q580+P581*'RAP TEMPLATE-GAS AVAILABILITY'!R580)/('RAP TEMPLATE-GAS AVAILABILITY'!O580+'RAP TEMPLATE-GAS AVAILABILITY'!P580+'RAP TEMPLATE-GAS AVAILABILITY'!Q580+'RAP TEMPLATE-GAS AVAILABILITY'!R580)</f>
        <v>33.930705755395678</v>
      </c>
    </row>
    <row r="582" spans="1:29" ht="15.75" x14ac:dyDescent="0.25">
      <c r="A582" s="13">
        <v>58622</v>
      </c>
      <c r="B582" s="17">
        <f>CHOOSE(CONTROL!$C$42, 35.0994, 35.0994) * CHOOSE(CONTROL!$C$21, $C$9, 100%, $E$9)</f>
        <v>35.099400000000003</v>
      </c>
      <c r="C582" s="17">
        <f>CHOOSE(CONTROL!$C$42, 35.1073, 35.1073) * CHOOSE(CONTROL!$C$21, $C$9, 100%, $E$9)</f>
        <v>35.107300000000002</v>
      </c>
      <c r="D582" s="17">
        <f>CHOOSE(CONTROL!$C$42, 35.3518, 35.3518) * CHOOSE(CONTROL!$C$21, $C$9, 100%, $E$9)</f>
        <v>35.351799999999997</v>
      </c>
      <c r="E582" s="17">
        <f>CHOOSE(CONTROL!$C$42, 35.383, 35.383) * CHOOSE(CONTROL!$C$21, $C$9, 100%, $E$9)</f>
        <v>35.383000000000003</v>
      </c>
      <c r="F582" s="17">
        <f>CHOOSE(CONTROL!$C$42, 35.1102, 35.1102)*CHOOSE(CONTROL!$C$21, $C$9, 100%, $E$9)</f>
        <v>35.110199999999999</v>
      </c>
      <c r="G582" s="17">
        <f>CHOOSE(CONTROL!$C$42, 35.1265, 35.1265)*CHOOSE(CONTROL!$C$21, $C$9, 100%, $E$9)</f>
        <v>35.1265</v>
      </c>
      <c r="H582" s="17">
        <f>CHOOSE(CONTROL!$C$42, 35.3713, 35.3713) * CHOOSE(CONTROL!$C$21, $C$9, 100%, $E$9)</f>
        <v>35.371299999999998</v>
      </c>
      <c r="I582" s="17">
        <f>CHOOSE(CONTROL!$C$42, 35.2295, 35.2295)* CHOOSE(CONTROL!$C$21, $C$9, 100%, $E$9)</f>
        <v>35.229500000000002</v>
      </c>
      <c r="J582" s="17">
        <f>CHOOSE(CONTROL!$C$42, 35.1028, 35.1028)* CHOOSE(CONTROL!$C$21, $C$9, 100%, $E$9)</f>
        <v>35.102800000000002</v>
      </c>
      <c r="K582" s="52">
        <f>CHOOSE(CONTROL!$C$42, 35.2235, 35.2235) * CHOOSE(CONTROL!$C$21, $C$9, 100%, $E$9)</f>
        <v>35.223500000000001</v>
      </c>
      <c r="L582" s="17">
        <f>CHOOSE(CONTROL!$C$42, 35.9583, 35.9583) * CHOOSE(CONTROL!$C$21, $C$9, 100%, $E$9)</f>
        <v>35.958300000000001</v>
      </c>
      <c r="M582" s="17">
        <f>CHOOSE(CONTROL!$C$42, 34.7941, 34.7941) * CHOOSE(CONTROL!$C$21, $C$9, 100%, $E$9)</f>
        <v>34.7941</v>
      </c>
      <c r="N582" s="17">
        <f>CHOOSE(CONTROL!$C$42, 34.8103, 34.8103) * CHOOSE(CONTROL!$C$21, $C$9, 100%, $E$9)</f>
        <v>34.810299999999998</v>
      </c>
      <c r="O582" s="17">
        <f>CHOOSE(CONTROL!$C$42, 35.0602, 35.0602) * CHOOSE(CONTROL!$C$21, $C$9, 100%, $E$9)</f>
        <v>35.060200000000002</v>
      </c>
      <c r="P582" s="17">
        <f>CHOOSE(CONTROL!$C$42, 34.9188, 34.9188) * CHOOSE(CONTROL!$C$21, $C$9, 100%, $E$9)</f>
        <v>34.918799999999997</v>
      </c>
      <c r="Q582" s="17">
        <f>CHOOSE(CONTROL!$C$42, 35.6549, 35.6549) * CHOOSE(CONTROL!$C$21, $C$9, 100%, $E$9)</f>
        <v>35.654899999999998</v>
      </c>
      <c r="R582" s="17">
        <f>CHOOSE(CONTROL!$C$42, 36.331, 36.331) * CHOOSE(CONTROL!$C$21, $C$9, 100%, $E$9)</f>
        <v>36.331000000000003</v>
      </c>
      <c r="S582" s="17">
        <f>CHOOSE(CONTROL!$C$42, 34.0243, 34.0243) * CHOOSE(CONTROL!$C$21, $C$9, 100%, $E$9)</f>
        <v>34.024299999999997</v>
      </c>
      <c r="T58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82" s="56">
        <f>(1000*CHOOSE(CONTROL!$C$42, 695, 695)*CHOOSE(CONTROL!$C$42, 0.5599, 0.5599)*CHOOSE(CONTROL!$C$42, 30, 30))/1000000</f>
        <v>11.673914999999997</v>
      </c>
      <c r="V582" s="56">
        <f>(1000*CHOOSE(CONTROL!$C$42, 500, 500)*CHOOSE(CONTROL!$C$42, 0.275, 0.275)*CHOOSE(CONTROL!$C$42, 30, 30))/1000000</f>
        <v>4.125</v>
      </c>
      <c r="W582" s="56">
        <f>(1000*CHOOSE(CONTROL!$C$42, 0.0916, 0.0916)*CHOOSE(CONTROL!$C$42, 121.5, 121.5)*CHOOSE(CONTROL!$C$42, 30, 30))/1000000</f>
        <v>0.33388200000000001</v>
      </c>
      <c r="X582" s="56">
        <f>(30*0.1790888*145000/1000000)+(30*0.2374*100000/1000000)</f>
        <v>1.4912362799999999</v>
      </c>
      <c r="Y582" s="56"/>
      <c r="Z582" s="17"/>
      <c r="AA582" s="55"/>
      <c r="AB582" s="48">
        <f>(B582*194.205+C582*267.466+D582*133.845+E582*153.484+F582*40+G582*85+H582*0+I582*100+J582*300)/(194.205+267.466+133.845+153.484+0+40+85+100+300)</f>
        <v>35.174901586970172</v>
      </c>
      <c r="AC582" s="45">
        <f>(M582*'RAP TEMPLATE-GAS AVAILABILITY'!O581+N582*'RAP TEMPLATE-GAS AVAILABILITY'!P581+O582*'RAP TEMPLATE-GAS AVAILABILITY'!Q581+P582*'RAP TEMPLATE-GAS AVAILABILITY'!R581)/('RAP TEMPLATE-GAS AVAILABILITY'!O581+'RAP TEMPLATE-GAS AVAILABILITY'!P581+'RAP TEMPLATE-GAS AVAILABILITY'!Q581+'RAP TEMPLATE-GAS AVAILABILITY'!R581)</f>
        <v>34.890433093525182</v>
      </c>
    </row>
    <row r="583" spans="1:29" ht="15.75" x14ac:dyDescent="0.25">
      <c r="A583" s="13">
        <v>58653</v>
      </c>
      <c r="B583" s="17">
        <f>CHOOSE(CONTROL!$C$42, 34.4262, 34.4262) * CHOOSE(CONTROL!$C$21, $C$9, 100%, $E$9)</f>
        <v>34.426200000000001</v>
      </c>
      <c r="C583" s="17">
        <f>CHOOSE(CONTROL!$C$42, 34.4342, 34.4342) * CHOOSE(CONTROL!$C$21, $C$9, 100%, $E$9)</f>
        <v>34.434199999999997</v>
      </c>
      <c r="D583" s="17">
        <f>CHOOSE(CONTROL!$C$42, 34.6787, 34.6787) * CHOOSE(CONTROL!$C$21, $C$9, 100%, $E$9)</f>
        <v>34.678699999999999</v>
      </c>
      <c r="E583" s="17">
        <f>CHOOSE(CONTROL!$C$42, 34.7099, 34.7099) * CHOOSE(CONTROL!$C$21, $C$9, 100%, $E$9)</f>
        <v>34.709899999999998</v>
      </c>
      <c r="F583" s="17">
        <f>CHOOSE(CONTROL!$C$42, 34.4376, 34.4376)*CHOOSE(CONTROL!$C$21, $C$9, 100%, $E$9)</f>
        <v>34.437600000000003</v>
      </c>
      <c r="G583" s="17">
        <f>CHOOSE(CONTROL!$C$42, 34.454, 34.454)*CHOOSE(CONTROL!$C$21, $C$9, 100%, $E$9)</f>
        <v>34.454000000000001</v>
      </c>
      <c r="H583" s="17">
        <f>CHOOSE(CONTROL!$C$42, 34.6982, 34.6982) * CHOOSE(CONTROL!$C$21, $C$9, 100%, $E$9)</f>
        <v>34.6982</v>
      </c>
      <c r="I583" s="17">
        <f>CHOOSE(CONTROL!$C$42, 34.5543, 34.5543)* CHOOSE(CONTROL!$C$21, $C$9, 100%, $E$9)</f>
        <v>34.554299999999998</v>
      </c>
      <c r="J583" s="17">
        <f>CHOOSE(CONTROL!$C$42, 34.4302, 34.4302)* CHOOSE(CONTROL!$C$21, $C$9, 100%, $E$9)</f>
        <v>34.430199999999999</v>
      </c>
      <c r="K583" s="52">
        <f>CHOOSE(CONTROL!$C$42, 34.5483, 34.5483) * CHOOSE(CONTROL!$C$21, $C$9, 100%, $E$9)</f>
        <v>34.548299999999998</v>
      </c>
      <c r="L583" s="17">
        <f>CHOOSE(CONTROL!$C$42, 35.2852, 35.2852) * CHOOSE(CONTROL!$C$21, $C$9, 100%, $E$9)</f>
        <v>35.285200000000003</v>
      </c>
      <c r="M583" s="17">
        <f>CHOOSE(CONTROL!$C$42, 34.1275, 34.1275) * CHOOSE(CONTROL!$C$21, $C$9, 100%, $E$9)</f>
        <v>34.127499999999998</v>
      </c>
      <c r="N583" s="17">
        <f>CHOOSE(CONTROL!$C$42, 34.1438, 34.1438) * CHOOSE(CONTROL!$C$21, $C$9, 100%, $E$9)</f>
        <v>34.143799999999999</v>
      </c>
      <c r="O583" s="17">
        <f>CHOOSE(CONTROL!$C$42, 34.3931, 34.3931) * CHOOSE(CONTROL!$C$21, $C$9, 100%, $E$9)</f>
        <v>34.393099999999997</v>
      </c>
      <c r="P583" s="17">
        <f>CHOOSE(CONTROL!$C$42, 34.2497, 34.2497) * CHOOSE(CONTROL!$C$21, $C$9, 100%, $E$9)</f>
        <v>34.249699999999997</v>
      </c>
      <c r="Q583" s="17">
        <f>CHOOSE(CONTROL!$C$42, 34.9878, 34.9878) * CHOOSE(CONTROL!$C$21, $C$9, 100%, $E$9)</f>
        <v>34.9878</v>
      </c>
      <c r="R583" s="17">
        <f>CHOOSE(CONTROL!$C$42, 35.6623, 35.6623) * CHOOSE(CONTROL!$C$21, $C$9, 100%, $E$9)</f>
        <v>35.662300000000002</v>
      </c>
      <c r="S583" s="17">
        <f>CHOOSE(CONTROL!$C$42, 33.3715, 33.3715) * CHOOSE(CONTROL!$C$21, $C$9, 100%, $E$9)</f>
        <v>33.371499999999997</v>
      </c>
      <c r="T58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83" s="56">
        <f>(1000*CHOOSE(CONTROL!$C$42, 695, 695)*CHOOSE(CONTROL!$C$42, 0.5599, 0.5599)*CHOOSE(CONTROL!$C$42, 31, 31))/1000000</f>
        <v>12.063045499999998</v>
      </c>
      <c r="V583" s="56">
        <f>(1000*CHOOSE(CONTROL!$C$42, 500, 500)*CHOOSE(CONTROL!$C$42, 0.275, 0.275)*CHOOSE(CONTROL!$C$42, 31, 31))/1000000</f>
        <v>4.2625000000000002</v>
      </c>
      <c r="W583" s="56">
        <f>(1000*CHOOSE(CONTROL!$C$42, 0.0916, 0.0916)*CHOOSE(CONTROL!$C$42, 121.5, 121.5)*CHOOSE(CONTROL!$C$42, 31, 31))/1000000</f>
        <v>0.34501139999999997</v>
      </c>
      <c r="X583" s="56">
        <f>(31*0.1790888*145000/1000000)+(31*0.2374*100000/1000000)</f>
        <v>1.5409441560000001</v>
      </c>
      <c r="Y583" s="56"/>
      <c r="Z583" s="17"/>
      <c r="AA583" s="55"/>
      <c r="AB583" s="48">
        <f>(B583*194.205+C583*267.466+D583*133.845+E583*153.484+F583*40+G583*85+H583*0+I583*100+J583*300)/(194.205+267.466+133.845+153.484+0+40+85+100+300)</f>
        <v>34.501794977472528</v>
      </c>
      <c r="AC583" s="45">
        <f>(M583*'RAP TEMPLATE-GAS AVAILABILITY'!O582+N583*'RAP TEMPLATE-GAS AVAILABILITY'!P582+O583*'RAP TEMPLATE-GAS AVAILABILITY'!Q582+P583*'RAP TEMPLATE-GAS AVAILABILITY'!R582)/('RAP TEMPLATE-GAS AVAILABILITY'!O582+'RAP TEMPLATE-GAS AVAILABILITY'!P582+'RAP TEMPLATE-GAS AVAILABILITY'!Q582+'RAP TEMPLATE-GAS AVAILABILITY'!R582)</f>
        <v>34.223356115107919</v>
      </c>
    </row>
    <row r="584" spans="1:29" ht="15.75" x14ac:dyDescent="0.25">
      <c r="A584" s="13">
        <v>58684</v>
      </c>
      <c r="B584" s="17">
        <f>CHOOSE(CONTROL!$C$42, 32.7264, 32.7264) * CHOOSE(CONTROL!$C$21, $C$9, 100%, $E$9)</f>
        <v>32.726399999999998</v>
      </c>
      <c r="C584" s="17">
        <f>CHOOSE(CONTROL!$C$42, 32.7344, 32.7344) * CHOOSE(CONTROL!$C$21, $C$9, 100%, $E$9)</f>
        <v>32.734400000000001</v>
      </c>
      <c r="D584" s="17">
        <f>CHOOSE(CONTROL!$C$42, 32.9788, 32.9788) * CHOOSE(CONTROL!$C$21, $C$9, 100%, $E$9)</f>
        <v>32.9788</v>
      </c>
      <c r="E584" s="17">
        <f>CHOOSE(CONTROL!$C$42, 33.01, 33.01) * CHOOSE(CONTROL!$C$21, $C$9, 100%, $E$9)</f>
        <v>33.01</v>
      </c>
      <c r="F584" s="17">
        <f>CHOOSE(CONTROL!$C$42, 32.7379, 32.7379)*CHOOSE(CONTROL!$C$21, $C$9, 100%, $E$9)</f>
        <v>32.737900000000003</v>
      </c>
      <c r="G584" s="17">
        <f>CHOOSE(CONTROL!$C$42, 32.7544, 32.7544)*CHOOSE(CONTROL!$C$21, $C$9, 100%, $E$9)</f>
        <v>32.754399999999997</v>
      </c>
      <c r="H584" s="17">
        <f>CHOOSE(CONTROL!$C$42, 32.9983, 32.9983) * CHOOSE(CONTROL!$C$21, $C$9, 100%, $E$9)</f>
        <v>32.9983</v>
      </c>
      <c r="I584" s="17">
        <f>CHOOSE(CONTROL!$C$42, 32.8492, 32.8492)* CHOOSE(CONTROL!$C$21, $C$9, 100%, $E$9)</f>
        <v>32.849200000000003</v>
      </c>
      <c r="J584" s="17">
        <f>CHOOSE(CONTROL!$C$42, 32.7305, 32.7305)* CHOOSE(CONTROL!$C$21, $C$9, 100%, $E$9)</f>
        <v>32.730499999999999</v>
      </c>
      <c r="K584" s="52">
        <f>CHOOSE(CONTROL!$C$42, 32.8431, 32.8431) * CHOOSE(CONTROL!$C$21, $C$9, 100%, $E$9)</f>
        <v>32.8431</v>
      </c>
      <c r="L584" s="17">
        <f>CHOOSE(CONTROL!$C$42, 33.5853, 33.5853) * CHOOSE(CONTROL!$C$21, $C$9, 100%, $E$9)</f>
        <v>33.585299999999997</v>
      </c>
      <c r="M584" s="17">
        <f>CHOOSE(CONTROL!$C$42, 32.4432, 32.4432) * CHOOSE(CONTROL!$C$21, $C$9, 100%, $E$9)</f>
        <v>32.443199999999997</v>
      </c>
      <c r="N584" s="17">
        <f>CHOOSE(CONTROL!$C$42, 32.4595, 32.4595) * CHOOSE(CONTROL!$C$21, $C$9, 100%, $E$9)</f>
        <v>32.459499999999998</v>
      </c>
      <c r="O584" s="17">
        <f>CHOOSE(CONTROL!$C$42, 32.7086, 32.7086) * CHOOSE(CONTROL!$C$21, $C$9, 100%, $E$9)</f>
        <v>32.708599999999997</v>
      </c>
      <c r="P584" s="17">
        <f>CHOOSE(CONTROL!$C$42, 32.5599, 32.5599) * CHOOSE(CONTROL!$C$21, $C$9, 100%, $E$9)</f>
        <v>32.559899999999999</v>
      </c>
      <c r="Q584" s="17">
        <f>CHOOSE(CONTROL!$C$42, 33.3033, 33.3033) * CHOOSE(CONTROL!$C$21, $C$9, 100%, $E$9)</f>
        <v>33.3033</v>
      </c>
      <c r="R584" s="17">
        <f>CHOOSE(CONTROL!$C$42, 33.9735, 33.9735) * CHOOSE(CONTROL!$C$21, $C$9, 100%, $E$9)</f>
        <v>33.973500000000001</v>
      </c>
      <c r="S584" s="17">
        <f>CHOOSE(CONTROL!$C$42, 31.7232, 31.7232) * CHOOSE(CONTROL!$C$21, $C$9, 100%, $E$9)</f>
        <v>31.723199999999999</v>
      </c>
      <c r="T58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84" s="56">
        <f>(1000*CHOOSE(CONTROL!$C$42, 695, 695)*CHOOSE(CONTROL!$C$42, 0.5599, 0.5599)*CHOOSE(CONTROL!$C$42, 31, 31))/1000000</f>
        <v>12.063045499999998</v>
      </c>
      <c r="V584" s="56">
        <f>(1000*CHOOSE(CONTROL!$C$42, 500, 500)*CHOOSE(CONTROL!$C$42, 0.275, 0.275)*CHOOSE(CONTROL!$C$42, 31, 31))/1000000</f>
        <v>4.2625000000000002</v>
      </c>
      <c r="W584" s="56">
        <f>(1000*CHOOSE(CONTROL!$C$42, 0.0916, 0.0916)*CHOOSE(CONTROL!$C$42, 121.5, 121.5)*CHOOSE(CONTROL!$C$42, 31, 31))/1000000</f>
        <v>0.34501139999999997</v>
      </c>
      <c r="X584" s="56">
        <f>(31*0.1790888*145000/1000000)+(31*0.2374*100000/1000000)</f>
        <v>1.5409441560000001</v>
      </c>
      <c r="Y584" s="56"/>
      <c r="Z584" s="17"/>
      <c r="AA584" s="55"/>
      <c r="AB584" s="48">
        <f>(B584*194.205+C584*267.466+D584*133.845+E584*153.484+F584*40+G584*85+H584*0+I584*100+J584*300)/(194.205+267.466+133.845+153.484+0+40+85+100+300)</f>
        <v>32.801596443014127</v>
      </c>
      <c r="AC584" s="45">
        <f>(M584*'RAP TEMPLATE-GAS AVAILABILITY'!O583+N584*'RAP TEMPLATE-GAS AVAILABILITY'!P583+O584*'RAP TEMPLATE-GAS AVAILABILITY'!Q583+P584*'RAP TEMPLATE-GAS AVAILABILITY'!R583)/('RAP TEMPLATE-GAS AVAILABILITY'!O583+'RAP TEMPLATE-GAS AVAILABILITY'!P583+'RAP TEMPLATE-GAS AVAILABILITY'!Q583+'RAP TEMPLATE-GAS AVAILABILITY'!R583)</f>
        <v>32.538208633093525</v>
      </c>
    </row>
    <row r="585" spans="1:29" ht="15.75" x14ac:dyDescent="0.25">
      <c r="A585" s="13">
        <v>58714</v>
      </c>
      <c r="B585" s="17">
        <f>CHOOSE(CONTROL!$C$42, 30.6492, 30.6492) * CHOOSE(CONTROL!$C$21, $C$9, 100%, $E$9)</f>
        <v>30.6492</v>
      </c>
      <c r="C585" s="17">
        <f>CHOOSE(CONTROL!$C$42, 30.6572, 30.6572) * CHOOSE(CONTROL!$C$21, $C$9, 100%, $E$9)</f>
        <v>30.6572</v>
      </c>
      <c r="D585" s="17">
        <f>CHOOSE(CONTROL!$C$42, 30.9017, 30.9017) * CHOOSE(CONTROL!$C$21, $C$9, 100%, $E$9)</f>
        <v>30.901700000000002</v>
      </c>
      <c r="E585" s="17">
        <f>CHOOSE(CONTROL!$C$42, 30.9329, 30.9329) * CHOOSE(CONTROL!$C$21, $C$9, 100%, $E$9)</f>
        <v>30.9329</v>
      </c>
      <c r="F585" s="17">
        <f>CHOOSE(CONTROL!$C$42, 30.6608, 30.6608)*CHOOSE(CONTROL!$C$21, $C$9, 100%, $E$9)</f>
        <v>30.660799999999998</v>
      </c>
      <c r="G585" s="17">
        <f>CHOOSE(CONTROL!$C$42, 30.6774, 30.6774)*CHOOSE(CONTROL!$C$21, $C$9, 100%, $E$9)</f>
        <v>30.677399999999999</v>
      </c>
      <c r="H585" s="17">
        <f>CHOOSE(CONTROL!$C$42, 30.9212, 30.9212) * CHOOSE(CONTROL!$C$21, $C$9, 100%, $E$9)</f>
        <v>30.921199999999999</v>
      </c>
      <c r="I585" s="17">
        <f>CHOOSE(CONTROL!$C$42, 30.7656, 30.7656)* CHOOSE(CONTROL!$C$21, $C$9, 100%, $E$9)</f>
        <v>30.765599999999999</v>
      </c>
      <c r="J585" s="17">
        <f>CHOOSE(CONTROL!$C$42, 30.6534, 30.6534)* CHOOSE(CONTROL!$C$21, $C$9, 100%, $E$9)</f>
        <v>30.653400000000001</v>
      </c>
      <c r="K585" s="52">
        <f>CHOOSE(CONTROL!$C$42, 30.7596, 30.7596) * CHOOSE(CONTROL!$C$21, $C$9, 100%, $E$9)</f>
        <v>30.759599999999999</v>
      </c>
      <c r="L585" s="17">
        <f>CHOOSE(CONTROL!$C$42, 31.5082, 31.5082) * CHOOSE(CONTROL!$C$21, $C$9, 100%, $E$9)</f>
        <v>31.508199999999999</v>
      </c>
      <c r="M585" s="17">
        <f>CHOOSE(CONTROL!$C$42, 30.3848, 30.3848) * CHOOSE(CONTROL!$C$21, $C$9, 100%, $E$9)</f>
        <v>30.384799999999998</v>
      </c>
      <c r="N585" s="17">
        <f>CHOOSE(CONTROL!$C$42, 30.4011, 30.4011) * CHOOSE(CONTROL!$C$21, $C$9, 100%, $E$9)</f>
        <v>30.4011</v>
      </c>
      <c r="O585" s="17">
        <f>CHOOSE(CONTROL!$C$42, 30.6501, 30.6501) * CHOOSE(CONTROL!$C$21, $C$9, 100%, $E$9)</f>
        <v>30.650099999999998</v>
      </c>
      <c r="P585" s="17">
        <f>CHOOSE(CONTROL!$C$42, 30.4951, 30.4951) * CHOOSE(CONTROL!$C$21, $C$9, 100%, $E$9)</f>
        <v>30.495100000000001</v>
      </c>
      <c r="Q585" s="17">
        <f>CHOOSE(CONTROL!$C$42, 31.2448, 31.2448) * CHOOSE(CONTROL!$C$21, $C$9, 100%, $E$9)</f>
        <v>31.244800000000001</v>
      </c>
      <c r="R585" s="17">
        <f>CHOOSE(CONTROL!$C$42, 31.9099, 31.9099) * CHOOSE(CONTROL!$C$21, $C$9, 100%, $E$9)</f>
        <v>31.9099</v>
      </c>
      <c r="S585" s="17">
        <f>CHOOSE(CONTROL!$C$42, 29.709, 29.709) * CHOOSE(CONTROL!$C$21, $C$9, 100%, $E$9)</f>
        <v>29.709</v>
      </c>
      <c r="T58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85" s="56">
        <f>(1000*CHOOSE(CONTROL!$C$42, 695, 695)*CHOOSE(CONTROL!$C$42, 0.5599, 0.5599)*CHOOSE(CONTROL!$C$42, 30, 30))/1000000</f>
        <v>11.673914999999997</v>
      </c>
      <c r="V585" s="56">
        <f>(1000*CHOOSE(CONTROL!$C$42, 500, 500)*CHOOSE(CONTROL!$C$42, 0.275, 0.275)*CHOOSE(CONTROL!$C$42, 30, 30))/1000000</f>
        <v>4.125</v>
      </c>
      <c r="W585" s="56">
        <f>(1000*CHOOSE(CONTROL!$C$42, 0.0916, 0.0916)*CHOOSE(CONTROL!$C$42, 121.5, 121.5)*CHOOSE(CONTROL!$C$42, 30, 30))/1000000</f>
        <v>0.33388200000000001</v>
      </c>
      <c r="X585" s="56">
        <f>(30*0.1790888*145000/1000000)+(30*0.2374*100000/1000000)</f>
        <v>1.4912362799999999</v>
      </c>
      <c r="Y585" s="56"/>
      <c r="Z585" s="17"/>
      <c r="AA585" s="55"/>
      <c r="AB585" s="48">
        <f>(B585*194.205+C585*267.466+D585*133.845+E585*153.484+F585*40+G585*85+H585*0+I585*100+J585*300)/(194.205+267.466+133.845+153.484+0+40+85+100+300)</f>
        <v>30.72395667291994</v>
      </c>
      <c r="AC585" s="45">
        <f>(M585*'RAP TEMPLATE-GAS AVAILABILITY'!O584+N585*'RAP TEMPLATE-GAS AVAILABILITY'!P584+O585*'RAP TEMPLATE-GAS AVAILABILITY'!Q584+P585*'RAP TEMPLATE-GAS AVAILABILITY'!R584)/('RAP TEMPLATE-GAS AVAILABILITY'!O584+'RAP TEMPLATE-GAS AVAILABILITY'!P584+'RAP TEMPLATE-GAS AVAILABILITY'!Q584+'RAP TEMPLATE-GAS AVAILABILITY'!R584)</f>
        <v>30.478859712230211</v>
      </c>
    </row>
    <row r="586" spans="1:29" ht="15.75" x14ac:dyDescent="0.25">
      <c r="A586" s="13">
        <v>58745</v>
      </c>
      <c r="B586" s="17">
        <f>CHOOSE(CONTROL!$C$42, 30.0255, 30.0255) * CHOOSE(CONTROL!$C$21, $C$9, 100%, $E$9)</f>
        <v>30.025500000000001</v>
      </c>
      <c r="C586" s="17">
        <f>CHOOSE(CONTROL!$C$42, 30.0308, 30.0308) * CHOOSE(CONTROL!$C$21, $C$9, 100%, $E$9)</f>
        <v>30.030799999999999</v>
      </c>
      <c r="D586" s="17">
        <f>CHOOSE(CONTROL!$C$42, 30.2801, 30.2801) * CHOOSE(CONTROL!$C$21, $C$9, 100%, $E$9)</f>
        <v>30.280100000000001</v>
      </c>
      <c r="E586" s="17">
        <f>CHOOSE(CONTROL!$C$42, 30.309, 30.309) * CHOOSE(CONTROL!$C$21, $C$9, 100%, $E$9)</f>
        <v>30.309000000000001</v>
      </c>
      <c r="F586" s="17">
        <f>CHOOSE(CONTROL!$C$42, 30.0393, 30.0393)*CHOOSE(CONTROL!$C$21, $C$9, 100%, $E$9)</f>
        <v>30.039300000000001</v>
      </c>
      <c r="G586" s="17">
        <f>CHOOSE(CONTROL!$C$42, 30.0557, 30.0557)*CHOOSE(CONTROL!$C$21, $C$9, 100%, $E$9)</f>
        <v>30.055700000000002</v>
      </c>
      <c r="H586" s="17">
        <f>CHOOSE(CONTROL!$C$42, 30.2991, 30.2991) * CHOOSE(CONTROL!$C$21, $C$9, 100%, $E$9)</f>
        <v>30.299099999999999</v>
      </c>
      <c r="I586" s="17">
        <f>CHOOSE(CONTROL!$C$42, 30.1416, 30.1416)* CHOOSE(CONTROL!$C$21, $C$9, 100%, $E$9)</f>
        <v>30.1416</v>
      </c>
      <c r="J586" s="17">
        <f>CHOOSE(CONTROL!$C$42, 30.0319, 30.0319)* CHOOSE(CONTROL!$C$21, $C$9, 100%, $E$9)</f>
        <v>30.0319</v>
      </c>
      <c r="K586" s="52">
        <f>CHOOSE(CONTROL!$C$42, 30.1356, 30.1356) * CHOOSE(CONTROL!$C$21, $C$9, 100%, $E$9)</f>
        <v>30.1356</v>
      </c>
      <c r="L586" s="17">
        <f>CHOOSE(CONTROL!$C$42, 30.8861, 30.8861) * CHOOSE(CONTROL!$C$21, $C$9, 100%, $E$9)</f>
        <v>30.886099999999999</v>
      </c>
      <c r="M586" s="17">
        <f>CHOOSE(CONTROL!$C$42, 29.7688, 29.7688) * CHOOSE(CONTROL!$C$21, $C$9, 100%, $E$9)</f>
        <v>29.768799999999999</v>
      </c>
      <c r="N586" s="17">
        <f>CHOOSE(CONTROL!$C$42, 29.785, 29.785) * CHOOSE(CONTROL!$C$21, $C$9, 100%, $E$9)</f>
        <v>29.785</v>
      </c>
      <c r="O586" s="17">
        <f>CHOOSE(CONTROL!$C$42, 30.0336, 30.0336) * CHOOSE(CONTROL!$C$21, $C$9, 100%, $E$9)</f>
        <v>30.0336</v>
      </c>
      <c r="P586" s="17">
        <f>CHOOSE(CONTROL!$C$42, 29.8768, 29.8768) * CHOOSE(CONTROL!$C$21, $C$9, 100%, $E$9)</f>
        <v>29.876799999999999</v>
      </c>
      <c r="Q586" s="17">
        <f>CHOOSE(CONTROL!$C$42, 30.6283, 30.6283) * CHOOSE(CONTROL!$C$21, $C$9, 100%, $E$9)</f>
        <v>30.628299999999999</v>
      </c>
      <c r="R586" s="17">
        <f>CHOOSE(CONTROL!$C$42, 31.2919, 31.2919) * CHOOSE(CONTROL!$C$21, $C$9, 100%, $E$9)</f>
        <v>31.291899999999998</v>
      </c>
      <c r="S586" s="17">
        <f>CHOOSE(CONTROL!$C$42, 29.1058, 29.1058) * CHOOSE(CONTROL!$C$21, $C$9, 100%, $E$9)</f>
        <v>29.105799999999999</v>
      </c>
      <c r="T58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86" s="56">
        <f>(1000*CHOOSE(CONTROL!$C$42, 695, 695)*CHOOSE(CONTROL!$C$42, 0.5599, 0.5599)*CHOOSE(CONTROL!$C$42, 31, 31))/1000000</f>
        <v>12.063045499999998</v>
      </c>
      <c r="V586" s="56">
        <f>(1000*CHOOSE(CONTROL!$C$42, 500, 500)*CHOOSE(CONTROL!$C$42, 0.275, 0.275)*CHOOSE(CONTROL!$C$42, 31, 31))/1000000</f>
        <v>4.2625000000000002</v>
      </c>
      <c r="W586" s="56">
        <f>(1000*CHOOSE(CONTROL!$C$42, 0.0916, 0.0916)*CHOOSE(CONTROL!$C$42, 121.5, 121.5)*CHOOSE(CONTROL!$C$42, 31, 31))/1000000</f>
        <v>0.34501139999999997</v>
      </c>
      <c r="X586" s="56">
        <f>(31*0.1790888*145000/1000000)+(31*0.2374*100000/1000000)</f>
        <v>1.5409441560000001</v>
      </c>
      <c r="Y586" s="56"/>
      <c r="Z586" s="17"/>
      <c r="AA586" s="55"/>
      <c r="AB586" s="48">
        <f>(B586*131.881+C586*277.167+D586*79.08+E586*225.872+F586*40+G586*85+H586*0+I586*100+J586*300)/(131.881+277.167+79.08+225.872+0+40+85+100+300)</f>
        <v>30.108055661904764</v>
      </c>
      <c r="AC586" s="45">
        <f>(M586*'RAP TEMPLATE-GAS AVAILABILITY'!O585+N586*'RAP TEMPLATE-GAS AVAILABILITY'!P585+O586*'RAP TEMPLATE-GAS AVAILABILITY'!Q585+P586*'RAP TEMPLATE-GAS AVAILABILITY'!R585)/('RAP TEMPLATE-GAS AVAILABILITY'!O585+'RAP TEMPLATE-GAS AVAILABILITY'!P585+'RAP TEMPLATE-GAS AVAILABILITY'!Q585+'RAP TEMPLATE-GAS AVAILABILITY'!R585)</f>
        <v>29.862365467625899</v>
      </c>
    </row>
    <row r="587" spans="1:29" ht="15.75" x14ac:dyDescent="0.25">
      <c r="A587" s="13">
        <v>58775</v>
      </c>
      <c r="B587" s="17">
        <f>CHOOSE(CONTROL!$C$42, 30.8158, 30.8158) * CHOOSE(CONTROL!$C$21, $C$9, 100%, $E$9)</f>
        <v>30.815799999999999</v>
      </c>
      <c r="C587" s="17">
        <f>CHOOSE(CONTROL!$C$42, 30.8209, 30.8209) * CHOOSE(CONTROL!$C$21, $C$9, 100%, $E$9)</f>
        <v>30.820900000000002</v>
      </c>
      <c r="D587" s="17">
        <f>CHOOSE(CONTROL!$C$42, 30.9022, 30.9022) * CHOOSE(CONTROL!$C$21, $C$9, 100%, $E$9)</f>
        <v>30.902200000000001</v>
      </c>
      <c r="E587" s="17">
        <f>CHOOSE(CONTROL!$C$42, 30.936, 30.936) * CHOOSE(CONTROL!$C$21, $C$9, 100%, $E$9)</f>
        <v>30.936</v>
      </c>
      <c r="F587" s="17">
        <f>CHOOSE(CONTROL!$C$42, 30.8337, 30.8337)*CHOOSE(CONTROL!$C$21, $C$9, 100%, $E$9)</f>
        <v>30.8337</v>
      </c>
      <c r="G587" s="17">
        <f>CHOOSE(CONTROL!$C$42, 30.8504, 30.8504)*CHOOSE(CONTROL!$C$21, $C$9, 100%, $E$9)</f>
        <v>30.8504</v>
      </c>
      <c r="H587" s="17">
        <f>CHOOSE(CONTROL!$C$42, 30.9249, 30.9249) * CHOOSE(CONTROL!$C$21, $C$9, 100%, $E$9)</f>
        <v>30.924900000000001</v>
      </c>
      <c r="I587" s="17">
        <f>CHOOSE(CONTROL!$C$42, 30.9364, 30.9364)* CHOOSE(CONTROL!$C$21, $C$9, 100%, $E$9)</f>
        <v>30.936399999999999</v>
      </c>
      <c r="J587" s="17">
        <f>CHOOSE(CONTROL!$C$42, 30.8263, 30.8263)* CHOOSE(CONTROL!$C$21, $C$9, 100%, $E$9)</f>
        <v>30.8263</v>
      </c>
      <c r="K587" s="52">
        <f>CHOOSE(CONTROL!$C$42, 30.9303, 30.9303) * CHOOSE(CONTROL!$C$21, $C$9, 100%, $E$9)</f>
        <v>30.930299999999999</v>
      </c>
      <c r="L587" s="17">
        <f>CHOOSE(CONTROL!$C$42, 31.5119, 31.5119) * CHOOSE(CONTROL!$C$21, $C$9, 100%, $E$9)</f>
        <v>31.511900000000001</v>
      </c>
      <c r="M587" s="17">
        <f>CHOOSE(CONTROL!$C$42, 30.5561, 30.5561) * CHOOSE(CONTROL!$C$21, $C$9, 100%, $E$9)</f>
        <v>30.556100000000001</v>
      </c>
      <c r="N587" s="17">
        <f>CHOOSE(CONTROL!$C$42, 30.5727, 30.5727) * CHOOSE(CONTROL!$C$21, $C$9, 100%, $E$9)</f>
        <v>30.572700000000001</v>
      </c>
      <c r="O587" s="17">
        <f>CHOOSE(CONTROL!$C$42, 30.6537, 30.6537) * CHOOSE(CONTROL!$C$21, $C$9, 100%, $E$9)</f>
        <v>30.653700000000001</v>
      </c>
      <c r="P587" s="17">
        <f>CHOOSE(CONTROL!$C$42, 30.6643, 30.6643) * CHOOSE(CONTROL!$C$21, $C$9, 100%, $E$9)</f>
        <v>30.664300000000001</v>
      </c>
      <c r="Q587" s="17">
        <f>CHOOSE(CONTROL!$C$42, 31.2484, 31.2484) * CHOOSE(CONTROL!$C$21, $C$9, 100%, $E$9)</f>
        <v>31.2484</v>
      </c>
      <c r="R587" s="17">
        <f>CHOOSE(CONTROL!$C$42, 31.9136, 31.9136) * CHOOSE(CONTROL!$C$21, $C$9, 100%, $E$9)</f>
        <v>31.913599999999999</v>
      </c>
      <c r="S587" s="17">
        <f>CHOOSE(CONTROL!$C$42, 29.8725, 29.8725) * CHOOSE(CONTROL!$C$21, $C$9, 100%, $E$9)</f>
        <v>29.872499999999999</v>
      </c>
      <c r="T58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87" s="56">
        <f>(1000*CHOOSE(CONTROL!$C$42, 695, 695)*CHOOSE(CONTROL!$C$42, 0.5599, 0.5599)*CHOOSE(CONTROL!$C$42, 30, 30))/1000000</f>
        <v>11.673914999999997</v>
      </c>
      <c r="V587" s="56">
        <f>(1000*CHOOSE(CONTROL!$C$42, 500, 500)*CHOOSE(CONTROL!$C$42, 0.275, 0.275)*CHOOSE(CONTROL!$C$42, 30, 30))/1000000</f>
        <v>4.125</v>
      </c>
      <c r="W587" s="56">
        <f>(1000*CHOOSE(CONTROL!$C$42, 0.0916, 0.0916)*CHOOSE(CONTROL!$C$42, 121.5, 121.5)*CHOOSE(CONTROL!$C$42, 30, 30))/1000000</f>
        <v>0.33388200000000001</v>
      </c>
      <c r="X587" s="56">
        <f>(30*0.2374*100000/1000000)</f>
        <v>0.71220000000000006</v>
      </c>
      <c r="Y587" s="56"/>
      <c r="Z587" s="17"/>
      <c r="AA587" s="55"/>
      <c r="AB587" s="48">
        <f>(B587*122.58+C587*297.941+D587*89.177+E587*140.302+F587*40+G587*60+H587*0+I587*100+J587*300)/(122.58+297.941+89.177+140.302+0+40+60+100+300)</f>
        <v>30.854139732434781</v>
      </c>
      <c r="AC587" s="45">
        <f>(M587*'RAP TEMPLATE-GAS AVAILABILITY'!O586+N587*'RAP TEMPLATE-GAS AVAILABILITY'!P586+O587*'RAP TEMPLATE-GAS AVAILABILITY'!Q586+P587*'RAP TEMPLATE-GAS AVAILABILITY'!R586)/('RAP TEMPLATE-GAS AVAILABILITY'!O586+'RAP TEMPLATE-GAS AVAILABILITY'!P586+'RAP TEMPLATE-GAS AVAILABILITY'!Q586+'RAP TEMPLATE-GAS AVAILABILITY'!R586)</f>
        <v>30.616859712230212</v>
      </c>
    </row>
    <row r="588" spans="1:29" ht="15.75" x14ac:dyDescent="0.25">
      <c r="A588" s="13">
        <v>58806</v>
      </c>
      <c r="B588" s="17">
        <f>CHOOSE(CONTROL!$C$42, 32.9161, 32.9161) * CHOOSE(CONTROL!$C$21, $C$9, 100%, $E$9)</f>
        <v>32.9161</v>
      </c>
      <c r="C588" s="17">
        <f>CHOOSE(CONTROL!$C$42, 32.9212, 32.9212) * CHOOSE(CONTROL!$C$21, $C$9, 100%, $E$9)</f>
        <v>32.921199999999999</v>
      </c>
      <c r="D588" s="17">
        <f>CHOOSE(CONTROL!$C$42, 33.0025, 33.0025) * CHOOSE(CONTROL!$C$21, $C$9, 100%, $E$9)</f>
        <v>33.002499999999998</v>
      </c>
      <c r="E588" s="17">
        <f>CHOOSE(CONTROL!$C$42, 33.0363, 33.0363) * CHOOSE(CONTROL!$C$21, $C$9, 100%, $E$9)</f>
        <v>33.036299999999997</v>
      </c>
      <c r="F588" s="17">
        <f>CHOOSE(CONTROL!$C$42, 32.9364, 32.9364)*CHOOSE(CONTROL!$C$21, $C$9, 100%, $E$9)</f>
        <v>32.936399999999999</v>
      </c>
      <c r="G588" s="17">
        <f>CHOOSE(CONTROL!$C$42, 32.9537, 32.9537)*CHOOSE(CONTROL!$C$21, $C$9, 100%, $E$9)</f>
        <v>32.953699999999998</v>
      </c>
      <c r="H588" s="17">
        <f>CHOOSE(CONTROL!$C$42, 33.0252, 33.0252) * CHOOSE(CONTROL!$C$21, $C$9, 100%, $E$9)</f>
        <v>33.025199999999998</v>
      </c>
      <c r="I588" s="17">
        <f>CHOOSE(CONTROL!$C$42, 33.0432, 33.0432)* CHOOSE(CONTROL!$C$21, $C$9, 100%, $E$9)</f>
        <v>33.043199999999999</v>
      </c>
      <c r="J588" s="17">
        <f>CHOOSE(CONTROL!$C$42, 32.929, 32.929)* CHOOSE(CONTROL!$C$21, $C$9, 100%, $E$9)</f>
        <v>32.929000000000002</v>
      </c>
      <c r="K588" s="52">
        <f>CHOOSE(CONTROL!$C$42, 33.0371, 33.0371) * CHOOSE(CONTROL!$C$21, $C$9, 100%, $E$9)</f>
        <v>33.037100000000002</v>
      </c>
      <c r="L588" s="17">
        <f>CHOOSE(CONTROL!$C$42, 33.6122, 33.6122) * CHOOSE(CONTROL!$C$21, $C$9, 100%, $E$9)</f>
        <v>33.612200000000001</v>
      </c>
      <c r="M588" s="17">
        <f>CHOOSE(CONTROL!$C$42, 32.6398, 32.6398) * CHOOSE(CONTROL!$C$21, $C$9, 100%, $E$9)</f>
        <v>32.639800000000001</v>
      </c>
      <c r="N588" s="17">
        <f>CHOOSE(CONTROL!$C$42, 32.657, 32.657) * CHOOSE(CONTROL!$C$21, $C$9, 100%, $E$9)</f>
        <v>32.656999999999996</v>
      </c>
      <c r="O588" s="17">
        <f>CHOOSE(CONTROL!$C$42, 32.7351, 32.7351) * CHOOSE(CONTROL!$C$21, $C$9, 100%, $E$9)</f>
        <v>32.735100000000003</v>
      </c>
      <c r="P588" s="17">
        <f>CHOOSE(CONTROL!$C$42, 32.7521, 32.7521) * CHOOSE(CONTROL!$C$21, $C$9, 100%, $E$9)</f>
        <v>32.752099999999999</v>
      </c>
      <c r="Q588" s="17">
        <f>CHOOSE(CONTROL!$C$42, 33.3298, 33.3298) * CHOOSE(CONTROL!$C$21, $C$9, 100%, $E$9)</f>
        <v>33.329799999999999</v>
      </c>
      <c r="R588" s="17">
        <f>CHOOSE(CONTROL!$C$42, 34.0002, 34.0002) * CHOOSE(CONTROL!$C$21, $C$9, 100%, $E$9)</f>
        <v>34.0002</v>
      </c>
      <c r="S588" s="17">
        <f>CHOOSE(CONTROL!$C$42, 31.9092, 31.9092) * CHOOSE(CONTROL!$C$21, $C$9, 100%, $E$9)</f>
        <v>31.909199999999998</v>
      </c>
      <c r="T58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88" s="56">
        <f>(1000*CHOOSE(CONTROL!$C$42, 695, 695)*CHOOSE(CONTROL!$C$42, 0.5599, 0.5599)*CHOOSE(CONTROL!$C$42, 31, 31))/1000000</f>
        <v>12.063045499999998</v>
      </c>
      <c r="V588" s="56">
        <f>(1000*CHOOSE(CONTROL!$C$42, 500, 500)*CHOOSE(CONTROL!$C$42, 0.275, 0.275)*CHOOSE(CONTROL!$C$42, 31, 31))/1000000</f>
        <v>4.2625000000000002</v>
      </c>
      <c r="W588" s="56">
        <f>(1000*CHOOSE(CONTROL!$C$42, 0.0916, 0.0916)*CHOOSE(CONTROL!$C$42, 121.5, 121.5)*CHOOSE(CONTROL!$C$42, 31, 31))/1000000</f>
        <v>0.34501139999999997</v>
      </c>
      <c r="X588" s="56">
        <f>(31*0.2374*100000/1000000)</f>
        <v>0.73594000000000004</v>
      </c>
      <c r="Y588" s="56"/>
      <c r="Z588" s="17"/>
      <c r="AA588" s="55"/>
      <c r="AB588" s="48">
        <f>(B588*122.58+C588*297.941+D588*89.177+E588*140.302+F588*40+G588*60+H588*0+I588*100+J588*300)/(122.58+297.941+89.177+140.302+0+40+60+100+300)</f>
        <v>32.955871036782604</v>
      </c>
      <c r="AC588" s="45">
        <f>(M588*'RAP TEMPLATE-GAS AVAILABILITY'!O587+N588*'RAP TEMPLATE-GAS AVAILABILITY'!P587+O588*'RAP TEMPLATE-GAS AVAILABILITY'!Q587+P588*'RAP TEMPLATE-GAS AVAILABILITY'!R587)/('RAP TEMPLATE-GAS AVAILABILITY'!O587+'RAP TEMPLATE-GAS AVAILABILITY'!P587+'RAP TEMPLATE-GAS AVAILABILITY'!Q587+'RAP TEMPLATE-GAS AVAILABILITY'!R587)</f>
        <v>32.700141726618703</v>
      </c>
    </row>
    <row r="589" spans="1:29" ht="15.75" x14ac:dyDescent="0.25">
      <c r="A589" s="13">
        <v>58837</v>
      </c>
      <c r="B589" s="17">
        <f>CHOOSE(CONTROL!$C$42, 35.644, 35.644) * CHOOSE(CONTROL!$C$21, $C$9, 100%, $E$9)</f>
        <v>35.643999999999998</v>
      </c>
      <c r="C589" s="17">
        <f>CHOOSE(CONTROL!$C$42, 35.649, 35.649) * CHOOSE(CONTROL!$C$21, $C$9, 100%, $E$9)</f>
        <v>35.649000000000001</v>
      </c>
      <c r="D589" s="17">
        <f>CHOOSE(CONTROL!$C$42, 35.7459, 35.7459) * CHOOSE(CONTROL!$C$21, $C$9, 100%, $E$9)</f>
        <v>35.745899999999999</v>
      </c>
      <c r="E589" s="17">
        <f>CHOOSE(CONTROL!$C$42, 35.7796, 35.7796) * CHOOSE(CONTROL!$C$21, $C$9, 100%, $E$9)</f>
        <v>35.779600000000002</v>
      </c>
      <c r="F589" s="17">
        <f>CHOOSE(CONTROL!$C$42, 35.6582, 35.6582)*CHOOSE(CONTROL!$C$21, $C$9, 100%, $E$9)</f>
        <v>35.658200000000001</v>
      </c>
      <c r="G589" s="17">
        <f>CHOOSE(CONTROL!$C$42, 35.6746, 35.6746)*CHOOSE(CONTROL!$C$21, $C$9, 100%, $E$9)</f>
        <v>35.674599999999998</v>
      </c>
      <c r="H589" s="17">
        <f>CHOOSE(CONTROL!$C$42, 35.7685, 35.7685) * CHOOSE(CONTROL!$C$21, $C$9, 100%, $E$9)</f>
        <v>35.768500000000003</v>
      </c>
      <c r="I589" s="17">
        <f>CHOOSE(CONTROL!$C$42, 35.7795, 35.7795)* CHOOSE(CONTROL!$C$21, $C$9, 100%, $E$9)</f>
        <v>35.779499999999999</v>
      </c>
      <c r="J589" s="17">
        <f>CHOOSE(CONTROL!$C$42, 35.6508, 35.6508)* CHOOSE(CONTROL!$C$21, $C$9, 100%, $E$9)</f>
        <v>35.650799999999997</v>
      </c>
      <c r="K589" s="52">
        <f>CHOOSE(CONTROL!$C$42, 35.7735, 35.7735) * CHOOSE(CONTROL!$C$21, $C$9, 100%, $E$9)</f>
        <v>35.773499999999999</v>
      </c>
      <c r="L589" s="17">
        <f>CHOOSE(CONTROL!$C$42, 36.3555, 36.3555) * CHOOSE(CONTROL!$C$21, $C$9, 100%, $E$9)</f>
        <v>36.355499999999999</v>
      </c>
      <c r="M589" s="17">
        <f>CHOOSE(CONTROL!$C$42, 35.3372, 35.3372) * CHOOSE(CONTROL!$C$21, $C$9, 100%, $E$9)</f>
        <v>35.337200000000003</v>
      </c>
      <c r="N589" s="17">
        <f>CHOOSE(CONTROL!$C$42, 35.3535, 35.3535) * CHOOSE(CONTROL!$C$21, $C$9, 100%, $E$9)</f>
        <v>35.353499999999997</v>
      </c>
      <c r="O589" s="17">
        <f>CHOOSE(CONTROL!$C$42, 35.4538, 35.4538) * CHOOSE(CONTROL!$C$21, $C$9, 100%, $E$9)</f>
        <v>35.453800000000001</v>
      </c>
      <c r="P589" s="17">
        <f>CHOOSE(CONTROL!$C$42, 35.4638, 35.4638) * CHOOSE(CONTROL!$C$21, $C$9, 100%, $E$9)</f>
        <v>35.463799999999999</v>
      </c>
      <c r="Q589" s="17">
        <f>CHOOSE(CONTROL!$C$42, 36.0485, 36.0485) * CHOOSE(CONTROL!$C$21, $C$9, 100%, $E$9)</f>
        <v>36.048499999999997</v>
      </c>
      <c r="R589" s="17">
        <f>CHOOSE(CONTROL!$C$42, 36.7257, 36.7257) * CHOOSE(CONTROL!$C$21, $C$9, 100%, $E$9)</f>
        <v>36.725700000000003</v>
      </c>
      <c r="S589" s="17">
        <f>CHOOSE(CONTROL!$C$42, 34.5544, 34.5544) * CHOOSE(CONTROL!$C$21, $C$9, 100%, $E$9)</f>
        <v>34.554400000000001</v>
      </c>
      <c r="T58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89" s="56">
        <f>(1000*CHOOSE(CONTROL!$C$42, 695, 695)*CHOOSE(CONTROL!$C$42, 0.5599, 0.5599)*CHOOSE(CONTROL!$C$42, 31, 31))/1000000</f>
        <v>12.063045499999998</v>
      </c>
      <c r="V589" s="56">
        <f>(1000*CHOOSE(CONTROL!$C$42, 500, 500)*CHOOSE(CONTROL!$C$42, 0.275, 0.275)*CHOOSE(CONTROL!$C$42, 31, 31))/1000000</f>
        <v>4.2625000000000002</v>
      </c>
      <c r="W589" s="56">
        <f>(1000*CHOOSE(CONTROL!$C$42, 0.0916, 0.0916)*CHOOSE(CONTROL!$C$42, 121.5, 121.5)*CHOOSE(CONTROL!$C$42, 31, 31))/1000000</f>
        <v>0.34501139999999997</v>
      </c>
      <c r="X589" s="56">
        <f>(31*0.2374*100000/1000000)</f>
        <v>0.73594000000000004</v>
      </c>
      <c r="Y589" s="56"/>
      <c r="Z589" s="17"/>
      <c r="AA589" s="55"/>
      <c r="AB589" s="48">
        <f>(B589*122.58+C589*297.941+D589*89.177+E589*140.302+F589*40+G589*60+H589*0+I589*100+J589*300)/(122.58+297.941+89.177+140.302+0+40+60+100+300)</f>
        <v>35.68538764565217</v>
      </c>
      <c r="AC589" s="45">
        <f>(M589*'RAP TEMPLATE-GAS AVAILABILITY'!O588+N589*'RAP TEMPLATE-GAS AVAILABILITY'!P588+O589*'RAP TEMPLATE-GAS AVAILABILITY'!Q588+P589*'RAP TEMPLATE-GAS AVAILABILITY'!R588)/('RAP TEMPLATE-GAS AVAILABILITY'!O588+'RAP TEMPLATE-GAS AVAILABILITY'!P588+'RAP TEMPLATE-GAS AVAILABILITY'!Q588+'RAP TEMPLATE-GAS AVAILABILITY'!R588)</f>
        <v>35.409201438848925</v>
      </c>
    </row>
    <row r="590" spans="1:29" ht="15.75" x14ac:dyDescent="0.25">
      <c r="A590" s="13">
        <v>58865</v>
      </c>
      <c r="B590" s="17">
        <f>CHOOSE(CONTROL!$C$42, 36.2783, 36.2783) * CHOOSE(CONTROL!$C$21, $C$9, 100%, $E$9)</f>
        <v>36.278300000000002</v>
      </c>
      <c r="C590" s="17">
        <f>CHOOSE(CONTROL!$C$42, 36.2834, 36.2834) * CHOOSE(CONTROL!$C$21, $C$9, 100%, $E$9)</f>
        <v>36.2834</v>
      </c>
      <c r="D590" s="17">
        <f>CHOOSE(CONTROL!$C$42, 36.3802, 36.3802) * CHOOSE(CONTROL!$C$21, $C$9, 100%, $E$9)</f>
        <v>36.380200000000002</v>
      </c>
      <c r="E590" s="17">
        <f>CHOOSE(CONTROL!$C$42, 36.414, 36.414) * CHOOSE(CONTROL!$C$21, $C$9, 100%, $E$9)</f>
        <v>36.414000000000001</v>
      </c>
      <c r="F590" s="17">
        <f>CHOOSE(CONTROL!$C$42, 36.2925, 36.2925)*CHOOSE(CONTROL!$C$21, $C$9, 100%, $E$9)</f>
        <v>36.292499999999997</v>
      </c>
      <c r="G590" s="17">
        <f>CHOOSE(CONTROL!$C$42, 36.309, 36.309)*CHOOSE(CONTROL!$C$21, $C$9, 100%, $E$9)</f>
        <v>36.308999999999997</v>
      </c>
      <c r="H590" s="17">
        <f>CHOOSE(CONTROL!$C$42, 36.4028, 36.4028) * CHOOSE(CONTROL!$C$21, $C$9, 100%, $E$9)</f>
        <v>36.402799999999999</v>
      </c>
      <c r="I590" s="17">
        <f>CHOOSE(CONTROL!$C$42, 36.4158, 36.4158)* CHOOSE(CONTROL!$C$21, $C$9, 100%, $E$9)</f>
        <v>36.415799999999997</v>
      </c>
      <c r="J590" s="17">
        <f>CHOOSE(CONTROL!$C$42, 36.2851, 36.2851)* CHOOSE(CONTROL!$C$21, $C$9, 100%, $E$9)</f>
        <v>36.2851</v>
      </c>
      <c r="K590" s="52">
        <f>CHOOSE(CONTROL!$C$42, 36.4098, 36.4098) * CHOOSE(CONTROL!$C$21, $C$9, 100%, $E$9)</f>
        <v>36.409799999999997</v>
      </c>
      <c r="L590" s="17">
        <f>CHOOSE(CONTROL!$C$42, 36.9898, 36.9898) * CHOOSE(CONTROL!$C$21, $C$9, 100%, $E$9)</f>
        <v>36.989800000000002</v>
      </c>
      <c r="M590" s="17">
        <f>CHOOSE(CONTROL!$C$42, 35.9658, 35.9658) * CHOOSE(CONTROL!$C$21, $C$9, 100%, $E$9)</f>
        <v>35.965800000000002</v>
      </c>
      <c r="N590" s="17">
        <f>CHOOSE(CONTROL!$C$42, 35.9821, 35.9821) * CHOOSE(CONTROL!$C$21, $C$9, 100%, $E$9)</f>
        <v>35.982100000000003</v>
      </c>
      <c r="O590" s="17">
        <f>CHOOSE(CONTROL!$C$42, 36.0825, 36.0825) * CHOOSE(CONTROL!$C$21, $C$9, 100%, $E$9)</f>
        <v>36.082500000000003</v>
      </c>
      <c r="P590" s="17">
        <f>CHOOSE(CONTROL!$C$42, 36.0944, 36.0944) * CHOOSE(CONTROL!$C$21, $C$9, 100%, $E$9)</f>
        <v>36.0944</v>
      </c>
      <c r="Q590" s="17">
        <f>CHOOSE(CONTROL!$C$42, 36.6772, 36.6772) * CHOOSE(CONTROL!$C$21, $C$9, 100%, $E$9)</f>
        <v>36.677199999999999</v>
      </c>
      <c r="R590" s="17">
        <f>CHOOSE(CONTROL!$C$42, 37.3559, 37.3559) * CHOOSE(CONTROL!$C$21, $C$9, 100%, $E$9)</f>
        <v>37.355899999999998</v>
      </c>
      <c r="S590" s="17">
        <f>CHOOSE(CONTROL!$C$42, 35.1695, 35.1695) * CHOOSE(CONTROL!$C$21, $C$9, 100%, $E$9)</f>
        <v>35.169499999999999</v>
      </c>
      <c r="T59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90" s="56">
        <f>(1000*CHOOSE(CONTROL!$C$42, 695, 695)*CHOOSE(CONTROL!$C$42, 0.5599, 0.5599)*CHOOSE(CONTROL!$C$42, 28, 28))/1000000</f>
        <v>10.895653999999999</v>
      </c>
      <c r="V590" s="56">
        <f>(1000*CHOOSE(CONTROL!$C$42, 500, 500)*CHOOSE(CONTROL!$C$42, 0.275, 0.275)*CHOOSE(CONTROL!$C$42, 28, 28))/1000000</f>
        <v>3.85</v>
      </c>
      <c r="W590" s="56">
        <f>(1000*CHOOSE(CONTROL!$C$42, 0.0916, 0.0916)*CHOOSE(CONTROL!$C$42, 121.5, 121.5)*CHOOSE(CONTROL!$C$42, 28, 28))/1000000</f>
        <v>0.31162319999999999</v>
      </c>
      <c r="X590" s="56">
        <f>(28*0.2374*100000/1000000)</f>
        <v>0.66471999999999998</v>
      </c>
      <c r="Y590" s="56"/>
      <c r="Z590" s="17"/>
      <c r="AA590" s="55"/>
      <c r="AB590" s="48">
        <f>(B590*122.58+C590*297.941+D590*89.177+E590*140.302+F590*40+G590*60+H590*0+I590*100+J590*300)/(122.58+297.941+89.177+140.302+0+40+60+100+300)</f>
        <v>36.319904884173916</v>
      </c>
      <c r="AC590" s="45">
        <f>(M590*'RAP TEMPLATE-GAS AVAILABILITY'!O589+N590*'RAP TEMPLATE-GAS AVAILABILITY'!P589+O590*'RAP TEMPLATE-GAS AVAILABILITY'!Q589+P590*'RAP TEMPLATE-GAS AVAILABILITY'!R589)/('RAP TEMPLATE-GAS AVAILABILITY'!O589+'RAP TEMPLATE-GAS AVAILABILITY'!P589+'RAP TEMPLATE-GAS AVAILABILITY'!Q589+'RAP TEMPLATE-GAS AVAILABILITY'!R589)</f>
        <v>36.038134532374102</v>
      </c>
    </row>
    <row r="591" spans="1:29" ht="15.75" x14ac:dyDescent="0.25">
      <c r="A591" s="13">
        <v>58893</v>
      </c>
      <c r="B591" s="17">
        <f>CHOOSE(CONTROL!$C$42, 35.2486, 35.2486) * CHOOSE(CONTROL!$C$21, $C$9, 100%, $E$9)</f>
        <v>35.248600000000003</v>
      </c>
      <c r="C591" s="17">
        <f>CHOOSE(CONTROL!$C$42, 35.2537, 35.2537) * CHOOSE(CONTROL!$C$21, $C$9, 100%, $E$9)</f>
        <v>35.253700000000002</v>
      </c>
      <c r="D591" s="17">
        <f>CHOOSE(CONTROL!$C$42, 35.3505, 35.3505) * CHOOSE(CONTROL!$C$21, $C$9, 100%, $E$9)</f>
        <v>35.350499999999997</v>
      </c>
      <c r="E591" s="17">
        <f>CHOOSE(CONTROL!$C$42, 35.3843, 35.3843) * CHOOSE(CONTROL!$C$21, $C$9, 100%, $E$9)</f>
        <v>35.384300000000003</v>
      </c>
      <c r="F591" s="17">
        <f>CHOOSE(CONTROL!$C$42, 35.2622, 35.2622)*CHOOSE(CONTROL!$C$21, $C$9, 100%, $E$9)</f>
        <v>35.2622</v>
      </c>
      <c r="G591" s="17">
        <f>CHOOSE(CONTROL!$C$42, 35.2785, 35.2785)*CHOOSE(CONTROL!$C$21, $C$9, 100%, $E$9)</f>
        <v>35.278500000000001</v>
      </c>
      <c r="H591" s="17">
        <f>CHOOSE(CONTROL!$C$42, 35.3732, 35.3732) * CHOOSE(CONTROL!$C$21, $C$9, 100%, $E$9)</f>
        <v>35.373199999999997</v>
      </c>
      <c r="I591" s="17">
        <f>CHOOSE(CONTROL!$C$42, 35.383, 35.383)* CHOOSE(CONTROL!$C$21, $C$9, 100%, $E$9)</f>
        <v>35.383000000000003</v>
      </c>
      <c r="J591" s="17">
        <f>CHOOSE(CONTROL!$C$42, 35.2548, 35.2548)* CHOOSE(CONTROL!$C$21, $C$9, 100%, $E$9)</f>
        <v>35.254800000000003</v>
      </c>
      <c r="K591" s="52">
        <f>CHOOSE(CONTROL!$C$42, 35.3769, 35.3769) * CHOOSE(CONTROL!$C$21, $C$9, 100%, $E$9)</f>
        <v>35.376899999999999</v>
      </c>
      <c r="L591" s="17">
        <f>CHOOSE(CONTROL!$C$42, 35.9602, 35.9602) * CHOOSE(CONTROL!$C$21, $C$9, 100%, $E$9)</f>
        <v>35.9602</v>
      </c>
      <c r="M591" s="17">
        <f>CHOOSE(CONTROL!$C$42, 34.9448, 34.9448) * CHOOSE(CONTROL!$C$21, $C$9, 100%, $E$9)</f>
        <v>34.944800000000001</v>
      </c>
      <c r="N591" s="17">
        <f>CHOOSE(CONTROL!$C$42, 34.9609, 34.9609) * CHOOSE(CONTROL!$C$21, $C$9, 100%, $E$9)</f>
        <v>34.960900000000002</v>
      </c>
      <c r="O591" s="17">
        <f>CHOOSE(CONTROL!$C$42, 35.0621, 35.0621) * CHOOSE(CONTROL!$C$21, $C$9, 100%, $E$9)</f>
        <v>35.062100000000001</v>
      </c>
      <c r="P591" s="17">
        <f>CHOOSE(CONTROL!$C$42, 35.0708, 35.0708) * CHOOSE(CONTROL!$C$21, $C$9, 100%, $E$9)</f>
        <v>35.070799999999998</v>
      </c>
      <c r="Q591" s="17">
        <f>CHOOSE(CONTROL!$C$42, 35.6568, 35.6568) * CHOOSE(CONTROL!$C$21, $C$9, 100%, $E$9)</f>
        <v>35.656799999999997</v>
      </c>
      <c r="R591" s="17">
        <f>CHOOSE(CONTROL!$C$42, 36.3329, 36.3329) * CHOOSE(CONTROL!$C$21, $C$9, 100%, $E$9)</f>
        <v>36.332900000000002</v>
      </c>
      <c r="S591" s="17">
        <f>CHOOSE(CONTROL!$C$42, 34.1711, 34.1711) * CHOOSE(CONTROL!$C$21, $C$9, 100%, $E$9)</f>
        <v>34.171100000000003</v>
      </c>
      <c r="T59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91" s="56">
        <f>(1000*CHOOSE(CONTROL!$C$42, 695, 695)*CHOOSE(CONTROL!$C$42, 0.5599, 0.5599)*CHOOSE(CONTROL!$C$42, 31, 31))/1000000</f>
        <v>12.063045499999998</v>
      </c>
      <c r="V591" s="56">
        <f>(1000*CHOOSE(CONTROL!$C$42, 500, 500)*CHOOSE(CONTROL!$C$42, 0.275, 0.275)*CHOOSE(CONTROL!$C$42, 31, 31))/1000000</f>
        <v>4.2625000000000002</v>
      </c>
      <c r="W591" s="56">
        <f>(1000*CHOOSE(CONTROL!$C$42, 0.0916, 0.0916)*CHOOSE(CONTROL!$C$42, 121.5, 121.5)*CHOOSE(CONTROL!$C$42, 31, 31))/1000000</f>
        <v>0.34501139999999997</v>
      </c>
      <c r="X591" s="56">
        <f>(31*0.2374*100000/1000000)</f>
        <v>0.73594000000000004</v>
      </c>
      <c r="Y591" s="56"/>
      <c r="Z591" s="17"/>
      <c r="AA591" s="55"/>
      <c r="AB591" s="48">
        <f>(B591*122.58+C591*297.941+D591*89.177+E591*140.302+F591*40+G591*60+H591*0+I591*100+J591*300)/(122.58+297.941+89.177+140.302+0+40+60+100+300)</f>
        <v>35.289716188521737</v>
      </c>
      <c r="AC591" s="45">
        <f>(M591*'RAP TEMPLATE-GAS AVAILABILITY'!O590+N591*'RAP TEMPLATE-GAS AVAILABILITY'!P590+O591*'RAP TEMPLATE-GAS AVAILABILITY'!Q590+P591*'RAP TEMPLATE-GAS AVAILABILITY'!R590)/('RAP TEMPLATE-GAS AVAILABILITY'!O590+'RAP TEMPLATE-GAS AVAILABILITY'!P590+'RAP TEMPLATE-GAS AVAILABILITY'!Q590+'RAP TEMPLATE-GAS AVAILABILITY'!R590)</f>
        <v>35.017020863309355</v>
      </c>
    </row>
    <row r="592" spans="1:29" ht="15.75" x14ac:dyDescent="0.25">
      <c r="A592" s="13">
        <v>58926</v>
      </c>
      <c r="B592" s="17">
        <f>CHOOSE(CONTROL!$C$42, 35.1441, 35.1441) * CHOOSE(CONTROL!$C$21, $C$9, 100%, $E$9)</f>
        <v>35.144100000000002</v>
      </c>
      <c r="C592" s="17">
        <f>CHOOSE(CONTROL!$C$42, 35.1486, 35.1486) * CHOOSE(CONTROL!$C$21, $C$9, 100%, $E$9)</f>
        <v>35.148600000000002</v>
      </c>
      <c r="D592" s="17">
        <f>CHOOSE(CONTROL!$C$42, 35.3962, 35.3962) * CHOOSE(CONTROL!$C$21, $C$9, 100%, $E$9)</f>
        <v>35.3962</v>
      </c>
      <c r="E592" s="17">
        <f>CHOOSE(CONTROL!$C$42, 35.428, 35.428) * CHOOSE(CONTROL!$C$21, $C$9, 100%, $E$9)</f>
        <v>35.427999999999997</v>
      </c>
      <c r="F592" s="17">
        <f>CHOOSE(CONTROL!$C$42, 35.1557, 35.1557)*CHOOSE(CONTROL!$C$21, $C$9, 100%, $E$9)</f>
        <v>35.155700000000003</v>
      </c>
      <c r="G592" s="17">
        <f>CHOOSE(CONTROL!$C$42, 35.1717, 35.1717)*CHOOSE(CONTROL!$C$21, $C$9, 100%, $E$9)</f>
        <v>35.171700000000001</v>
      </c>
      <c r="H592" s="17">
        <f>CHOOSE(CONTROL!$C$42, 35.4174, 35.4174) * CHOOSE(CONTROL!$C$21, $C$9, 100%, $E$9)</f>
        <v>35.417400000000001</v>
      </c>
      <c r="I592" s="17">
        <f>CHOOSE(CONTROL!$C$42, 35.2758, 35.2758)* CHOOSE(CONTROL!$C$21, $C$9, 100%, $E$9)</f>
        <v>35.275799999999997</v>
      </c>
      <c r="J592" s="17">
        <f>CHOOSE(CONTROL!$C$42, 35.1483, 35.1483)* CHOOSE(CONTROL!$C$21, $C$9, 100%, $E$9)</f>
        <v>35.148299999999999</v>
      </c>
      <c r="K592" s="52">
        <f>CHOOSE(CONTROL!$C$42, 35.2698, 35.2698) * CHOOSE(CONTROL!$C$21, $C$9, 100%, $E$9)</f>
        <v>35.269799999999996</v>
      </c>
      <c r="L592" s="17">
        <f>CHOOSE(CONTROL!$C$42, 36.0044, 36.0044) * CHOOSE(CONTROL!$C$21, $C$9, 100%, $E$9)</f>
        <v>36.004399999999997</v>
      </c>
      <c r="M592" s="17">
        <f>CHOOSE(CONTROL!$C$42, 34.8392, 34.8392) * CHOOSE(CONTROL!$C$21, $C$9, 100%, $E$9)</f>
        <v>34.839199999999998</v>
      </c>
      <c r="N592" s="17">
        <f>CHOOSE(CONTROL!$C$42, 34.855, 34.855) * CHOOSE(CONTROL!$C$21, $C$9, 100%, $E$9)</f>
        <v>34.854999999999997</v>
      </c>
      <c r="O592" s="17">
        <f>CHOOSE(CONTROL!$C$42, 35.1059, 35.1059) * CHOOSE(CONTROL!$C$21, $C$9, 100%, $E$9)</f>
        <v>35.105899999999998</v>
      </c>
      <c r="P592" s="17">
        <f>CHOOSE(CONTROL!$C$42, 34.9646, 34.9646) * CHOOSE(CONTROL!$C$21, $C$9, 100%, $E$9)</f>
        <v>34.964599999999997</v>
      </c>
      <c r="Q592" s="17">
        <f>CHOOSE(CONTROL!$C$42, 35.7006, 35.7006) * CHOOSE(CONTROL!$C$21, $C$9, 100%, $E$9)</f>
        <v>35.700600000000001</v>
      </c>
      <c r="R592" s="17">
        <f>CHOOSE(CONTROL!$C$42, 36.3769, 36.3769) * CHOOSE(CONTROL!$C$21, $C$9, 100%, $E$9)</f>
        <v>36.376899999999999</v>
      </c>
      <c r="S592" s="17">
        <f>CHOOSE(CONTROL!$C$42, 34.069, 34.069) * CHOOSE(CONTROL!$C$21, $C$9, 100%, $E$9)</f>
        <v>34.069000000000003</v>
      </c>
      <c r="T59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92" s="56">
        <f>(1000*CHOOSE(CONTROL!$C$42, 695, 695)*CHOOSE(CONTROL!$C$42, 0.5599, 0.5599)*CHOOSE(CONTROL!$C$42, 30, 30))/1000000</f>
        <v>11.673914999999997</v>
      </c>
      <c r="V592" s="56">
        <f>(1000*CHOOSE(CONTROL!$C$42, 500, 500)*CHOOSE(CONTROL!$C$42, 0.275, 0.275)*CHOOSE(CONTROL!$C$42, 30, 30))/1000000</f>
        <v>4.125</v>
      </c>
      <c r="W592" s="56">
        <f>(1000*CHOOSE(CONTROL!$C$42, 0.0916, 0.0916)*CHOOSE(CONTROL!$C$42, 121.5, 121.5)*CHOOSE(CONTROL!$C$42, 30, 30))/1000000</f>
        <v>0.33388200000000001</v>
      </c>
      <c r="X592" s="56">
        <f>(30*0.1790888*145000/1000000)+(30*0.2374*100000/1000000)</f>
        <v>1.4912362799999999</v>
      </c>
      <c r="Y592" s="56"/>
      <c r="Z592" s="17"/>
      <c r="AA592" s="55"/>
      <c r="AB592" s="48">
        <f>(B592*141.293+C592*267.993+D592*115.016+E592*189.698+F592*40+G592*85+H592*0+I592*100+J592*300)/(141.293+267.993+115.016+189.698+0+40+85+100+300)</f>
        <v>35.225856871912832</v>
      </c>
      <c r="AC592" s="45">
        <f>(M592*'RAP TEMPLATE-GAS AVAILABILITY'!O591+N592*'RAP TEMPLATE-GAS AVAILABILITY'!P591+O592*'RAP TEMPLATE-GAS AVAILABILITY'!Q591+P592*'RAP TEMPLATE-GAS AVAILABILITY'!R591)/('RAP TEMPLATE-GAS AVAILABILITY'!O591+'RAP TEMPLATE-GAS AVAILABILITY'!P591+'RAP TEMPLATE-GAS AVAILABILITY'!Q591+'RAP TEMPLATE-GAS AVAILABILITY'!R591)</f>
        <v>34.935710071942445</v>
      </c>
    </row>
    <row r="593" spans="1:29" ht="15.75" x14ac:dyDescent="0.25">
      <c r="A593" s="13">
        <v>58957</v>
      </c>
      <c r="B593" s="17">
        <f>CHOOSE(CONTROL!$C$42, 35.4556, 35.4556) * CHOOSE(CONTROL!$C$21, $C$9, 100%, $E$9)</f>
        <v>35.455599999999997</v>
      </c>
      <c r="C593" s="17">
        <f>CHOOSE(CONTROL!$C$42, 35.4635, 35.4635) * CHOOSE(CONTROL!$C$21, $C$9, 100%, $E$9)</f>
        <v>35.463500000000003</v>
      </c>
      <c r="D593" s="17">
        <f>CHOOSE(CONTROL!$C$42, 35.708, 35.708) * CHOOSE(CONTROL!$C$21, $C$9, 100%, $E$9)</f>
        <v>35.707999999999998</v>
      </c>
      <c r="E593" s="17">
        <f>CHOOSE(CONTROL!$C$42, 35.7392, 35.7392) * CHOOSE(CONTROL!$C$21, $C$9, 100%, $E$9)</f>
        <v>35.739199999999997</v>
      </c>
      <c r="F593" s="17">
        <f>CHOOSE(CONTROL!$C$42, 35.4661, 35.4661)*CHOOSE(CONTROL!$C$21, $C$9, 100%, $E$9)</f>
        <v>35.466099999999997</v>
      </c>
      <c r="G593" s="17">
        <f>CHOOSE(CONTROL!$C$42, 35.4823, 35.4823)*CHOOSE(CONTROL!$C$21, $C$9, 100%, $E$9)</f>
        <v>35.482300000000002</v>
      </c>
      <c r="H593" s="17">
        <f>CHOOSE(CONTROL!$C$42, 35.7275, 35.7275) * CHOOSE(CONTROL!$C$21, $C$9, 100%, $E$9)</f>
        <v>35.727499999999999</v>
      </c>
      <c r="I593" s="17">
        <f>CHOOSE(CONTROL!$C$42, 35.5868, 35.5868)* CHOOSE(CONTROL!$C$21, $C$9, 100%, $E$9)</f>
        <v>35.586799999999997</v>
      </c>
      <c r="J593" s="17">
        <f>CHOOSE(CONTROL!$C$42, 35.4587, 35.4587)* CHOOSE(CONTROL!$C$21, $C$9, 100%, $E$9)</f>
        <v>35.4587</v>
      </c>
      <c r="K593" s="52">
        <f>CHOOSE(CONTROL!$C$42, 35.5808, 35.5808) * CHOOSE(CONTROL!$C$21, $C$9, 100%, $E$9)</f>
        <v>35.580800000000004</v>
      </c>
      <c r="L593" s="17">
        <f>CHOOSE(CONTROL!$C$42, 36.3145, 36.3145) * CHOOSE(CONTROL!$C$21, $C$9, 100%, $E$9)</f>
        <v>36.314500000000002</v>
      </c>
      <c r="M593" s="17">
        <f>CHOOSE(CONTROL!$C$42, 35.1468, 35.1468) * CHOOSE(CONTROL!$C$21, $C$9, 100%, $E$9)</f>
        <v>35.146799999999999</v>
      </c>
      <c r="N593" s="17">
        <f>CHOOSE(CONTROL!$C$42, 35.1629, 35.1629) * CHOOSE(CONTROL!$C$21, $C$9, 100%, $E$9)</f>
        <v>35.1629</v>
      </c>
      <c r="O593" s="17">
        <f>CHOOSE(CONTROL!$C$42, 35.4132, 35.4132) * CHOOSE(CONTROL!$C$21, $C$9, 100%, $E$9)</f>
        <v>35.413200000000003</v>
      </c>
      <c r="P593" s="17">
        <f>CHOOSE(CONTROL!$C$42, 35.2729, 35.2729) * CHOOSE(CONTROL!$C$21, $C$9, 100%, $E$9)</f>
        <v>35.2729</v>
      </c>
      <c r="Q593" s="17">
        <f>CHOOSE(CONTROL!$C$42, 36.0079, 36.0079) * CHOOSE(CONTROL!$C$21, $C$9, 100%, $E$9)</f>
        <v>36.007899999999999</v>
      </c>
      <c r="R593" s="17">
        <f>CHOOSE(CONTROL!$C$42, 36.6849, 36.6849) * CHOOSE(CONTROL!$C$21, $C$9, 100%, $E$9)</f>
        <v>36.684899999999999</v>
      </c>
      <c r="S593" s="17">
        <f>CHOOSE(CONTROL!$C$42, 34.3697, 34.3697) * CHOOSE(CONTROL!$C$21, $C$9, 100%, $E$9)</f>
        <v>34.369700000000002</v>
      </c>
      <c r="T59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93" s="56">
        <f>(1000*CHOOSE(CONTROL!$C$42, 695, 695)*CHOOSE(CONTROL!$C$42, 0.5599, 0.5599)*CHOOSE(CONTROL!$C$42, 31, 31))/1000000</f>
        <v>12.063045499999998</v>
      </c>
      <c r="V593" s="56">
        <f>(1000*CHOOSE(CONTROL!$C$42, 500, 500)*CHOOSE(CONTROL!$C$42, 0.275, 0.275)*CHOOSE(CONTROL!$C$42, 31, 31))/1000000</f>
        <v>4.2625000000000002</v>
      </c>
      <c r="W593" s="56">
        <f>(1000*CHOOSE(CONTROL!$C$42, 0.0916, 0.0916)*CHOOSE(CONTROL!$C$42, 121.5, 121.5)*CHOOSE(CONTROL!$C$42, 31, 31))/1000000</f>
        <v>0.34501139999999997</v>
      </c>
      <c r="X593" s="56">
        <f>(31*0.1790888*145000/1000000)+(31*0.2374*100000/1000000)</f>
        <v>1.5409441560000001</v>
      </c>
      <c r="Y593" s="56"/>
      <c r="Z593" s="17"/>
      <c r="AA593" s="55"/>
      <c r="AB593" s="48">
        <f>(B593*194.205+C593*267.466+D593*133.845+E593*153.484+F593*40+G593*85+H593*0+I593*100+J593*300)/(194.205+267.466+133.845+153.484+0+40+85+100+300)</f>
        <v>35.531081178806907</v>
      </c>
      <c r="AC593" s="45">
        <f>(M593*'RAP TEMPLATE-GAS AVAILABILITY'!O592+N593*'RAP TEMPLATE-GAS AVAILABILITY'!P592+O593*'RAP TEMPLATE-GAS AVAILABILITY'!Q592+P593*'RAP TEMPLATE-GAS AVAILABILITY'!R592)/('RAP TEMPLATE-GAS AVAILABILITY'!O592+'RAP TEMPLATE-GAS AVAILABILITY'!P592+'RAP TEMPLATE-GAS AVAILABILITY'!Q592+'RAP TEMPLATE-GAS AVAILABILITY'!R592)</f>
        <v>35.243395683453244</v>
      </c>
    </row>
    <row r="594" spans="1:29" ht="15.75" x14ac:dyDescent="0.25">
      <c r="A594" s="13">
        <v>58987</v>
      </c>
      <c r="B594" s="17">
        <f>CHOOSE(CONTROL!$C$42, 36.4609, 36.4609) * CHOOSE(CONTROL!$C$21, $C$9, 100%, $E$9)</f>
        <v>36.460900000000002</v>
      </c>
      <c r="C594" s="17">
        <f>CHOOSE(CONTROL!$C$42, 36.4689, 36.4689) * CHOOSE(CONTROL!$C$21, $C$9, 100%, $E$9)</f>
        <v>36.468899999999998</v>
      </c>
      <c r="D594" s="17">
        <f>CHOOSE(CONTROL!$C$42, 36.7134, 36.7134) * CHOOSE(CONTROL!$C$21, $C$9, 100%, $E$9)</f>
        <v>36.7134</v>
      </c>
      <c r="E594" s="17">
        <f>CHOOSE(CONTROL!$C$42, 36.7446, 36.7446) * CHOOSE(CONTROL!$C$21, $C$9, 100%, $E$9)</f>
        <v>36.744599999999998</v>
      </c>
      <c r="F594" s="17">
        <f>CHOOSE(CONTROL!$C$42, 36.4718, 36.4718)*CHOOSE(CONTROL!$C$21, $C$9, 100%, $E$9)</f>
        <v>36.471800000000002</v>
      </c>
      <c r="G594" s="17">
        <f>CHOOSE(CONTROL!$C$42, 36.4881, 36.4881)*CHOOSE(CONTROL!$C$21, $C$9, 100%, $E$9)</f>
        <v>36.488100000000003</v>
      </c>
      <c r="H594" s="17">
        <f>CHOOSE(CONTROL!$C$42, 36.7329, 36.7329) * CHOOSE(CONTROL!$C$21, $C$9, 100%, $E$9)</f>
        <v>36.732900000000001</v>
      </c>
      <c r="I594" s="17">
        <f>CHOOSE(CONTROL!$C$42, 36.5953, 36.5953)* CHOOSE(CONTROL!$C$21, $C$9, 100%, $E$9)</f>
        <v>36.595300000000002</v>
      </c>
      <c r="J594" s="17">
        <f>CHOOSE(CONTROL!$C$42, 36.4644, 36.4644)* CHOOSE(CONTROL!$C$21, $C$9, 100%, $E$9)</f>
        <v>36.464399999999998</v>
      </c>
      <c r="K594" s="52">
        <f>CHOOSE(CONTROL!$C$42, 36.5893, 36.5893) * CHOOSE(CONTROL!$C$21, $C$9, 100%, $E$9)</f>
        <v>36.589300000000001</v>
      </c>
      <c r="L594" s="17">
        <f>CHOOSE(CONTROL!$C$42, 37.3199, 37.3199) * CHOOSE(CONTROL!$C$21, $C$9, 100%, $E$9)</f>
        <v>37.319899999999997</v>
      </c>
      <c r="M594" s="17">
        <f>CHOOSE(CONTROL!$C$42, 36.1435, 36.1435) * CHOOSE(CONTROL!$C$21, $C$9, 100%, $E$9)</f>
        <v>36.143500000000003</v>
      </c>
      <c r="N594" s="17">
        <f>CHOOSE(CONTROL!$C$42, 36.1596, 36.1596) * CHOOSE(CONTROL!$C$21, $C$9, 100%, $E$9)</f>
        <v>36.159599999999998</v>
      </c>
      <c r="O594" s="17">
        <f>CHOOSE(CONTROL!$C$42, 36.4095, 36.4095) * CHOOSE(CONTROL!$C$21, $C$9, 100%, $E$9)</f>
        <v>36.409500000000001</v>
      </c>
      <c r="P594" s="17">
        <f>CHOOSE(CONTROL!$C$42, 36.2723, 36.2723) * CHOOSE(CONTROL!$C$21, $C$9, 100%, $E$9)</f>
        <v>36.272300000000001</v>
      </c>
      <c r="Q594" s="17">
        <f>CHOOSE(CONTROL!$C$42, 37.0042, 37.0042) * CHOOSE(CONTROL!$C$21, $C$9, 100%, $E$9)</f>
        <v>37.004199999999997</v>
      </c>
      <c r="R594" s="17">
        <f>CHOOSE(CONTROL!$C$42, 37.6838, 37.6838) * CHOOSE(CONTROL!$C$21, $C$9, 100%, $E$9)</f>
        <v>37.683799999999998</v>
      </c>
      <c r="S594" s="17">
        <f>CHOOSE(CONTROL!$C$42, 35.3446, 35.3446) * CHOOSE(CONTROL!$C$21, $C$9, 100%, $E$9)</f>
        <v>35.3446</v>
      </c>
      <c r="T59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94" s="56">
        <f>(1000*CHOOSE(CONTROL!$C$42, 695, 695)*CHOOSE(CONTROL!$C$42, 0.5599, 0.5599)*CHOOSE(CONTROL!$C$42, 30, 30))/1000000</f>
        <v>11.673914999999997</v>
      </c>
      <c r="V594" s="56">
        <f>(1000*CHOOSE(CONTROL!$C$42, 500, 500)*CHOOSE(CONTROL!$C$42, 0.275, 0.275)*CHOOSE(CONTROL!$C$42, 30, 30))/1000000</f>
        <v>4.125</v>
      </c>
      <c r="W594" s="56">
        <f>(1000*CHOOSE(CONTROL!$C$42, 0.0916, 0.0916)*CHOOSE(CONTROL!$C$42, 121.5, 121.5)*CHOOSE(CONTROL!$C$42, 30, 30))/1000000</f>
        <v>0.33388200000000001</v>
      </c>
      <c r="X594" s="56">
        <f>(30*0.1790888*145000/1000000)+(30*0.2374*100000/1000000)</f>
        <v>1.4912362799999999</v>
      </c>
      <c r="Y594" s="56"/>
      <c r="Z594" s="17"/>
      <c r="AA594" s="55"/>
      <c r="AB594" s="48">
        <f>(B594*194.205+C594*267.466+D594*133.845+E594*153.484+F594*40+G594*85+H594*0+I594*100+J594*300)/(194.205+267.466+133.845+153.484+0+40+85+100+300)</f>
        <v>36.536816013579276</v>
      </c>
      <c r="AC594" s="45">
        <f>(M594*'RAP TEMPLATE-GAS AVAILABILITY'!O593+N594*'RAP TEMPLATE-GAS AVAILABILITY'!P593+O594*'RAP TEMPLATE-GAS AVAILABILITY'!Q593+P594*'RAP TEMPLATE-GAS AVAILABILITY'!R593)/('RAP TEMPLATE-GAS AVAILABILITY'!O593+'RAP TEMPLATE-GAS AVAILABILITY'!P593+'RAP TEMPLATE-GAS AVAILABILITY'!Q593+'RAP TEMPLATE-GAS AVAILABILITY'!R593)</f>
        <v>36.240371942446039</v>
      </c>
    </row>
    <row r="595" spans="1:29" ht="15.75" x14ac:dyDescent="0.25">
      <c r="A595" s="13">
        <v>59018</v>
      </c>
      <c r="B595" s="17">
        <f>CHOOSE(CONTROL!$C$42, 35.7617, 35.7617) * CHOOSE(CONTROL!$C$21, $C$9, 100%, $E$9)</f>
        <v>35.761699999999998</v>
      </c>
      <c r="C595" s="17">
        <f>CHOOSE(CONTROL!$C$42, 35.7697, 35.7697) * CHOOSE(CONTROL!$C$21, $C$9, 100%, $E$9)</f>
        <v>35.7697</v>
      </c>
      <c r="D595" s="17">
        <f>CHOOSE(CONTROL!$C$42, 36.0141, 36.0141) * CHOOSE(CONTROL!$C$21, $C$9, 100%, $E$9)</f>
        <v>36.014099999999999</v>
      </c>
      <c r="E595" s="17">
        <f>CHOOSE(CONTROL!$C$42, 36.0453, 36.0453) * CHOOSE(CONTROL!$C$21, $C$9, 100%, $E$9)</f>
        <v>36.045299999999997</v>
      </c>
      <c r="F595" s="17">
        <f>CHOOSE(CONTROL!$C$42, 35.773, 35.773)*CHOOSE(CONTROL!$C$21, $C$9, 100%, $E$9)</f>
        <v>35.773000000000003</v>
      </c>
      <c r="G595" s="17">
        <f>CHOOSE(CONTROL!$C$42, 35.7894, 35.7894)*CHOOSE(CONTROL!$C$21, $C$9, 100%, $E$9)</f>
        <v>35.789400000000001</v>
      </c>
      <c r="H595" s="17">
        <f>CHOOSE(CONTROL!$C$42, 36.0336, 36.0336) * CHOOSE(CONTROL!$C$21, $C$9, 100%, $E$9)</f>
        <v>36.0336</v>
      </c>
      <c r="I595" s="17">
        <f>CHOOSE(CONTROL!$C$42, 35.8939, 35.8939)* CHOOSE(CONTROL!$C$21, $C$9, 100%, $E$9)</f>
        <v>35.893900000000002</v>
      </c>
      <c r="J595" s="17">
        <f>CHOOSE(CONTROL!$C$42, 35.7656, 35.7656)* CHOOSE(CONTROL!$C$21, $C$9, 100%, $E$9)</f>
        <v>35.765599999999999</v>
      </c>
      <c r="K595" s="52">
        <f>CHOOSE(CONTROL!$C$42, 35.8879, 35.8879) * CHOOSE(CONTROL!$C$21, $C$9, 100%, $E$9)</f>
        <v>35.887900000000002</v>
      </c>
      <c r="L595" s="17">
        <f>CHOOSE(CONTROL!$C$42, 36.6206, 36.6206) * CHOOSE(CONTROL!$C$21, $C$9, 100%, $E$9)</f>
        <v>36.620600000000003</v>
      </c>
      <c r="M595" s="17">
        <f>CHOOSE(CONTROL!$C$42, 35.451, 35.451) * CHOOSE(CONTROL!$C$21, $C$9, 100%, $E$9)</f>
        <v>35.451000000000001</v>
      </c>
      <c r="N595" s="17">
        <f>CHOOSE(CONTROL!$C$42, 35.4673, 35.4673) * CHOOSE(CONTROL!$C$21, $C$9, 100%, $E$9)</f>
        <v>35.467300000000002</v>
      </c>
      <c r="O595" s="17">
        <f>CHOOSE(CONTROL!$C$42, 35.7166, 35.7166) * CHOOSE(CONTROL!$C$21, $C$9, 100%, $E$9)</f>
        <v>35.7166</v>
      </c>
      <c r="P595" s="17">
        <f>CHOOSE(CONTROL!$C$42, 35.5772, 35.5772) * CHOOSE(CONTROL!$C$21, $C$9, 100%, $E$9)</f>
        <v>35.577199999999998</v>
      </c>
      <c r="Q595" s="17">
        <f>CHOOSE(CONTROL!$C$42, 36.3113, 36.3113) * CHOOSE(CONTROL!$C$21, $C$9, 100%, $E$9)</f>
        <v>36.311300000000003</v>
      </c>
      <c r="R595" s="17">
        <f>CHOOSE(CONTROL!$C$42, 36.9891, 36.9891) * CHOOSE(CONTROL!$C$21, $C$9, 100%, $E$9)</f>
        <v>36.989100000000001</v>
      </c>
      <c r="S595" s="17">
        <f>CHOOSE(CONTROL!$C$42, 34.6665, 34.6665) * CHOOSE(CONTROL!$C$21, $C$9, 100%, $E$9)</f>
        <v>34.666499999999999</v>
      </c>
      <c r="T59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95" s="56">
        <f>(1000*CHOOSE(CONTROL!$C$42, 695, 695)*CHOOSE(CONTROL!$C$42, 0.5599, 0.5599)*CHOOSE(CONTROL!$C$42, 31, 31))/1000000</f>
        <v>12.063045499999998</v>
      </c>
      <c r="V595" s="56">
        <f>(1000*CHOOSE(CONTROL!$C$42, 500, 500)*CHOOSE(CONTROL!$C$42, 0.275, 0.275)*CHOOSE(CONTROL!$C$42, 31, 31))/1000000</f>
        <v>4.2625000000000002</v>
      </c>
      <c r="W595" s="56">
        <f>(1000*CHOOSE(CONTROL!$C$42, 0.0916, 0.0916)*CHOOSE(CONTROL!$C$42, 121.5, 121.5)*CHOOSE(CONTROL!$C$42, 31, 31))/1000000</f>
        <v>0.34501139999999997</v>
      </c>
      <c r="X595" s="56">
        <f>(31*0.1790888*145000/1000000)+(31*0.2374*100000/1000000)</f>
        <v>1.5409441560000001</v>
      </c>
      <c r="Y595" s="56"/>
      <c r="Z595" s="17"/>
      <c r="AA595" s="55"/>
      <c r="AB595" s="48">
        <f>(B595*194.205+C595*267.466+D595*133.845+E595*153.484+F595*40+G595*85+H595*0+I595*100+J595*300)/(194.205+267.466+133.845+153.484+0+40+85+100+300)</f>
        <v>35.837560885714289</v>
      </c>
      <c r="AC595" s="45">
        <f>(M595*'RAP TEMPLATE-GAS AVAILABILITY'!O594+N595*'RAP TEMPLATE-GAS AVAILABILITY'!P594+O595*'RAP TEMPLATE-GAS AVAILABILITY'!Q594+P595*'RAP TEMPLATE-GAS AVAILABILITY'!R594)/('RAP TEMPLATE-GAS AVAILABILITY'!O594+'RAP TEMPLATE-GAS AVAILABILITY'!P594+'RAP TEMPLATE-GAS AVAILABILITY'!Q594+'RAP TEMPLATE-GAS AVAILABILITY'!R594)</f>
        <v>35.547431654676259</v>
      </c>
    </row>
    <row r="596" spans="1:29" ht="15.75" x14ac:dyDescent="0.25">
      <c r="A596" s="13">
        <v>59049</v>
      </c>
      <c r="B596" s="17">
        <f>CHOOSE(CONTROL!$C$42, 33.9959, 33.9959) * CHOOSE(CONTROL!$C$21, $C$9, 100%, $E$9)</f>
        <v>33.995899999999999</v>
      </c>
      <c r="C596" s="17">
        <f>CHOOSE(CONTROL!$C$42, 34.0038, 34.0038) * CHOOSE(CONTROL!$C$21, $C$9, 100%, $E$9)</f>
        <v>34.003799999999998</v>
      </c>
      <c r="D596" s="17">
        <f>CHOOSE(CONTROL!$C$42, 34.2483, 34.2483) * CHOOSE(CONTROL!$C$21, $C$9, 100%, $E$9)</f>
        <v>34.2483</v>
      </c>
      <c r="E596" s="17">
        <f>CHOOSE(CONTROL!$C$42, 34.2795, 34.2795) * CHOOSE(CONTROL!$C$21, $C$9, 100%, $E$9)</f>
        <v>34.279499999999999</v>
      </c>
      <c r="F596" s="17">
        <f>CHOOSE(CONTROL!$C$42, 34.0074, 34.0074)*CHOOSE(CONTROL!$C$21, $C$9, 100%, $E$9)</f>
        <v>34.007399999999997</v>
      </c>
      <c r="G596" s="17">
        <f>CHOOSE(CONTROL!$C$42, 34.0239, 34.0239)*CHOOSE(CONTROL!$C$21, $C$9, 100%, $E$9)</f>
        <v>34.023899999999998</v>
      </c>
      <c r="H596" s="17">
        <f>CHOOSE(CONTROL!$C$42, 34.2678, 34.2678) * CHOOSE(CONTROL!$C$21, $C$9, 100%, $E$9)</f>
        <v>34.267800000000001</v>
      </c>
      <c r="I596" s="17">
        <f>CHOOSE(CONTROL!$C$42, 34.1226, 34.1226)* CHOOSE(CONTROL!$C$21, $C$9, 100%, $E$9)</f>
        <v>34.122599999999998</v>
      </c>
      <c r="J596" s="17">
        <f>CHOOSE(CONTROL!$C$42, 34, 34)* CHOOSE(CONTROL!$C$21, $C$9, 100%, $E$9)</f>
        <v>34</v>
      </c>
      <c r="K596" s="52">
        <f>CHOOSE(CONTROL!$C$42, 34.1166, 34.1166) * CHOOSE(CONTROL!$C$21, $C$9, 100%, $E$9)</f>
        <v>34.116599999999998</v>
      </c>
      <c r="L596" s="17">
        <f>CHOOSE(CONTROL!$C$42, 34.8548, 34.8548) * CHOOSE(CONTROL!$C$21, $C$9, 100%, $E$9)</f>
        <v>34.854799999999997</v>
      </c>
      <c r="M596" s="17">
        <f>CHOOSE(CONTROL!$C$42, 33.7013, 33.7013) * CHOOSE(CONTROL!$C$21, $C$9, 100%, $E$9)</f>
        <v>33.701300000000003</v>
      </c>
      <c r="N596" s="17">
        <f>CHOOSE(CONTROL!$C$42, 33.7176, 33.7176) * CHOOSE(CONTROL!$C$21, $C$9, 100%, $E$9)</f>
        <v>33.717599999999997</v>
      </c>
      <c r="O596" s="17">
        <f>CHOOSE(CONTROL!$C$42, 33.9666, 33.9666) * CHOOSE(CONTROL!$C$21, $C$9, 100%, $E$9)</f>
        <v>33.9666</v>
      </c>
      <c r="P596" s="17">
        <f>CHOOSE(CONTROL!$C$42, 33.8219, 33.8219) * CHOOSE(CONTROL!$C$21, $C$9, 100%, $E$9)</f>
        <v>33.821899999999999</v>
      </c>
      <c r="Q596" s="17">
        <f>CHOOSE(CONTROL!$C$42, 34.5613, 34.5613) * CHOOSE(CONTROL!$C$21, $C$9, 100%, $E$9)</f>
        <v>34.561300000000003</v>
      </c>
      <c r="R596" s="17">
        <f>CHOOSE(CONTROL!$C$42, 35.2347, 35.2347) * CHOOSE(CONTROL!$C$21, $C$9, 100%, $E$9)</f>
        <v>35.234699999999997</v>
      </c>
      <c r="S596" s="17">
        <f>CHOOSE(CONTROL!$C$42, 32.9542, 32.9542) * CHOOSE(CONTROL!$C$21, $C$9, 100%, $E$9)</f>
        <v>32.9542</v>
      </c>
      <c r="T59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96" s="56">
        <f>(1000*CHOOSE(CONTROL!$C$42, 695, 695)*CHOOSE(CONTROL!$C$42, 0.5599, 0.5599)*CHOOSE(CONTROL!$C$42, 31, 31))/1000000</f>
        <v>12.063045499999998</v>
      </c>
      <c r="V596" s="56">
        <f>(1000*CHOOSE(CONTROL!$C$42, 500, 500)*CHOOSE(CONTROL!$C$42, 0.275, 0.275)*CHOOSE(CONTROL!$C$42, 31, 31))/1000000</f>
        <v>4.2625000000000002</v>
      </c>
      <c r="W596" s="56">
        <f>(1000*CHOOSE(CONTROL!$C$42, 0.0916, 0.0916)*CHOOSE(CONTROL!$C$42, 121.5, 121.5)*CHOOSE(CONTROL!$C$42, 31, 31))/1000000</f>
        <v>0.34501139999999997</v>
      </c>
      <c r="X596" s="56">
        <f>(31*0.1790888*145000/1000000)+(31*0.2374*100000/1000000)</f>
        <v>1.5409441560000001</v>
      </c>
      <c r="Y596" s="56"/>
      <c r="Z596" s="17"/>
      <c r="AA596" s="55"/>
      <c r="AB596" s="48">
        <f>(B596*194.205+C596*267.466+D596*133.845+E596*153.484+F596*40+G596*85+H596*0+I596*100+J596*300)/(194.205+267.466+133.845+153.484+0+40+85+100+300)</f>
        <v>34.071381571271587</v>
      </c>
      <c r="AC596" s="45">
        <f>(M596*'RAP TEMPLATE-GAS AVAILABILITY'!O595+N596*'RAP TEMPLATE-GAS AVAILABILITY'!P595+O596*'RAP TEMPLATE-GAS AVAILABILITY'!Q595+P596*'RAP TEMPLATE-GAS AVAILABILITY'!R595)/('RAP TEMPLATE-GAS AVAILABILITY'!O595+'RAP TEMPLATE-GAS AVAILABILITY'!P595+'RAP TEMPLATE-GAS AVAILABILITY'!Q595+'RAP TEMPLATE-GAS AVAILABILITY'!R595)</f>
        <v>33.796841726618709</v>
      </c>
    </row>
    <row r="597" spans="1:29" ht="15.75" x14ac:dyDescent="0.25">
      <c r="A597" s="13">
        <v>59079</v>
      </c>
      <c r="B597" s="17">
        <f>CHOOSE(CONTROL!$C$42, 31.8381, 31.8381) * CHOOSE(CONTROL!$C$21, $C$9, 100%, $E$9)</f>
        <v>31.838100000000001</v>
      </c>
      <c r="C597" s="17">
        <f>CHOOSE(CONTROL!$C$42, 31.8461, 31.8461) * CHOOSE(CONTROL!$C$21, $C$9, 100%, $E$9)</f>
        <v>31.8461</v>
      </c>
      <c r="D597" s="17">
        <f>CHOOSE(CONTROL!$C$42, 32.0906, 32.0906) * CHOOSE(CONTROL!$C$21, $C$9, 100%, $E$9)</f>
        <v>32.090600000000002</v>
      </c>
      <c r="E597" s="17">
        <f>CHOOSE(CONTROL!$C$42, 32.1218, 32.1218) * CHOOSE(CONTROL!$C$21, $C$9, 100%, $E$9)</f>
        <v>32.1218</v>
      </c>
      <c r="F597" s="17">
        <f>CHOOSE(CONTROL!$C$42, 31.8497, 31.8497)*CHOOSE(CONTROL!$C$21, $C$9, 100%, $E$9)</f>
        <v>31.849699999999999</v>
      </c>
      <c r="G597" s="17">
        <f>CHOOSE(CONTROL!$C$42, 31.8663, 31.8663)*CHOOSE(CONTROL!$C$21, $C$9, 100%, $E$9)</f>
        <v>31.866299999999999</v>
      </c>
      <c r="H597" s="17">
        <f>CHOOSE(CONTROL!$C$42, 32.1101, 32.1101) * CHOOSE(CONTROL!$C$21, $C$9, 100%, $E$9)</f>
        <v>32.110100000000003</v>
      </c>
      <c r="I597" s="17">
        <f>CHOOSE(CONTROL!$C$42, 31.9582, 31.9582)* CHOOSE(CONTROL!$C$21, $C$9, 100%, $E$9)</f>
        <v>31.958200000000001</v>
      </c>
      <c r="J597" s="17">
        <f>CHOOSE(CONTROL!$C$42, 31.8423, 31.8423)* CHOOSE(CONTROL!$C$21, $C$9, 100%, $E$9)</f>
        <v>31.842300000000002</v>
      </c>
      <c r="K597" s="52">
        <f>CHOOSE(CONTROL!$C$42, 31.9521, 31.9521) * CHOOSE(CONTROL!$C$21, $C$9, 100%, $E$9)</f>
        <v>31.952100000000002</v>
      </c>
      <c r="L597" s="17">
        <f>CHOOSE(CONTROL!$C$42, 32.6971, 32.6971) * CHOOSE(CONTROL!$C$21, $C$9, 100%, $E$9)</f>
        <v>32.697099999999999</v>
      </c>
      <c r="M597" s="17">
        <f>CHOOSE(CONTROL!$C$42, 31.563, 31.563) * CHOOSE(CONTROL!$C$21, $C$9, 100%, $E$9)</f>
        <v>31.562999999999999</v>
      </c>
      <c r="N597" s="17">
        <f>CHOOSE(CONTROL!$C$42, 31.5793, 31.5793) * CHOOSE(CONTROL!$C$21, $C$9, 100%, $E$9)</f>
        <v>31.5793</v>
      </c>
      <c r="O597" s="17">
        <f>CHOOSE(CONTROL!$C$42, 31.8283, 31.8283) * CHOOSE(CONTROL!$C$21, $C$9, 100%, $E$9)</f>
        <v>31.828299999999999</v>
      </c>
      <c r="P597" s="17">
        <f>CHOOSE(CONTROL!$C$42, 31.677, 31.677) * CHOOSE(CONTROL!$C$21, $C$9, 100%, $E$9)</f>
        <v>31.677</v>
      </c>
      <c r="Q597" s="17">
        <f>CHOOSE(CONTROL!$C$42, 32.423, 32.423) * CHOOSE(CONTROL!$C$21, $C$9, 100%, $E$9)</f>
        <v>32.423000000000002</v>
      </c>
      <c r="R597" s="17">
        <f>CHOOSE(CONTROL!$C$42, 33.0911, 33.0911) * CHOOSE(CONTROL!$C$21, $C$9, 100%, $E$9)</f>
        <v>33.091099999999997</v>
      </c>
      <c r="S597" s="17">
        <f>CHOOSE(CONTROL!$C$42, 30.8619, 30.8619) * CHOOSE(CONTROL!$C$21, $C$9, 100%, $E$9)</f>
        <v>30.861899999999999</v>
      </c>
      <c r="T59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97" s="56">
        <f>(1000*CHOOSE(CONTROL!$C$42, 695, 695)*CHOOSE(CONTROL!$C$42, 0.5599, 0.5599)*CHOOSE(CONTROL!$C$42, 30, 30))/1000000</f>
        <v>11.673914999999997</v>
      </c>
      <c r="V597" s="56">
        <f>(1000*CHOOSE(CONTROL!$C$42, 500, 500)*CHOOSE(CONTROL!$C$42, 0.275, 0.275)*CHOOSE(CONTROL!$C$42, 30, 30))/1000000</f>
        <v>4.125</v>
      </c>
      <c r="W597" s="56">
        <f>(1000*CHOOSE(CONTROL!$C$42, 0.0916, 0.0916)*CHOOSE(CONTROL!$C$42, 121.5, 121.5)*CHOOSE(CONTROL!$C$42, 30, 30))/1000000</f>
        <v>0.33388200000000001</v>
      </c>
      <c r="X597" s="56">
        <f>(30*0.1790888*145000/1000000)+(30*0.2374*100000/1000000)</f>
        <v>1.4912362799999999</v>
      </c>
      <c r="Y597" s="56"/>
      <c r="Z597" s="17"/>
      <c r="AA597" s="55"/>
      <c r="AB597" s="48">
        <f>(B597*194.205+C597*267.466+D597*133.845+E597*153.484+F597*40+G597*85+H597*0+I597*100+J597*300)/(194.205+267.466+133.845+153.484+0+40+85+100+300)</f>
        <v>31.913147096781792</v>
      </c>
      <c r="AC597" s="45">
        <f>(M597*'RAP TEMPLATE-GAS AVAILABILITY'!O596+N597*'RAP TEMPLATE-GAS AVAILABILITY'!P596+O597*'RAP TEMPLATE-GAS AVAILABILITY'!Q596+P597*'RAP TEMPLATE-GAS AVAILABILITY'!R596)/('RAP TEMPLATE-GAS AVAILABILITY'!O596+'RAP TEMPLATE-GAS AVAILABILITY'!P596+'RAP TEMPLATE-GAS AVAILABILITY'!Q596+'RAP TEMPLATE-GAS AVAILABILITY'!R596)</f>
        <v>31.65759208633094</v>
      </c>
    </row>
    <row r="598" spans="1:29" ht="15.75" x14ac:dyDescent="0.25">
      <c r="A598" s="13">
        <v>59110</v>
      </c>
      <c r="B598" s="17">
        <f>CHOOSE(CONTROL!$C$42, 31.1902, 31.1902) * CHOOSE(CONTROL!$C$21, $C$9, 100%, $E$9)</f>
        <v>31.190200000000001</v>
      </c>
      <c r="C598" s="17">
        <f>CHOOSE(CONTROL!$C$42, 31.1956, 31.1956) * CHOOSE(CONTROL!$C$21, $C$9, 100%, $E$9)</f>
        <v>31.195599999999999</v>
      </c>
      <c r="D598" s="17">
        <f>CHOOSE(CONTROL!$C$42, 31.4449, 31.4449) * CHOOSE(CONTROL!$C$21, $C$9, 100%, $E$9)</f>
        <v>31.444900000000001</v>
      </c>
      <c r="E598" s="17">
        <f>CHOOSE(CONTROL!$C$42, 31.4738, 31.4738) * CHOOSE(CONTROL!$C$21, $C$9, 100%, $E$9)</f>
        <v>31.473800000000001</v>
      </c>
      <c r="F598" s="17">
        <f>CHOOSE(CONTROL!$C$42, 31.204, 31.204)*CHOOSE(CONTROL!$C$21, $C$9, 100%, $E$9)</f>
        <v>31.204000000000001</v>
      </c>
      <c r="G598" s="17">
        <f>CHOOSE(CONTROL!$C$42, 31.2204, 31.2204)*CHOOSE(CONTROL!$C$21, $C$9, 100%, $E$9)</f>
        <v>31.220400000000001</v>
      </c>
      <c r="H598" s="17">
        <f>CHOOSE(CONTROL!$C$42, 31.4639, 31.4639) * CHOOSE(CONTROL!$C$21, $C$9, 100%, $E$9)</f>
        <v>31.463899999999999</v>
      </c>
      <c r="I598" s="17">
        <f>CHOOSE(CONTROL!$C$42, 31.31, 31.31)* CHOOSE(CONTROL!$C$21, $C$9, 100%, $E$9)</f>
        <v>31.31</v>
      </c>
      <c r="J598" s="17">
        <f>CHOOSE(CONTROL!$C$42, 31.1966, 31.1966)* CHOOSE(CONTROL!$C$21, $C$9, 100%, $E$9)</f>
        <v>31.1966</v>
      </c>
      <c r="K598" s="52">
        <f>CHOOSE(CONTROL!$C$42, 31.304, 31.304) * CHOOSE(CONTROL!$C$21, $C$9, 100%, $E$9)</f>
        <v>31.303999999999998</v>
      </c>
      <c r="L598" s="17">
        <f>CHOOSE(CONTROL!$C$42, 32.0509, 32.0509) * CHOOSE(CONTROL!$C$21, $C$9, 100%, $E$9)</f>
        <v>32.050899999999999</v>
      </c>
      <c r="M598" s="17">
        <f>CHOOSE(CONTROL!$C$42, 30.9231, 30.9231) * CHOOSE(CONTROL!$C$21, $C$9, 100%, $E$9)</f>
        <v>30.923100000000002</v>
      </c>
      <c r="N598" s="17">
        <f>CHOOSE(CONTROL!$C$42, 30.9393, 30.9393) * CHOOSE(CONTROL!$C$21, $C$9, 100%, $E$9)</f>
        <v>30.939299999999999</v>
      </c>
      <c r="O598" s="17">
        <f>CHOOSE(CONTROL!$C$42, 31.1879, 31.1879) * CHOOSE(CONTROL!$C$21, $C$9, 100%, $E$9)</f>
        <v>31.187899999999999</v>
      </c>
      <c r="P598" s="17">
        <f>CHOOSE(CONTROL!$C$42, 31.0346, 31.0346) * CHOOSE(CONTROL!$C$21, $C$9, 100%, $E$9)</f>
        <v>31.034600000000001</v>
      </c>
      <c r="Q598" s="17">
        <f>CHOOSE(CONTROL!$C$42, 31.7826, 31.7826) * CHOOSE(CONTROL!$C$21, $C$9, 100%, $E$9)</f>
        <v>31.782599999999999</v>
      </c>
      <c r="R598" s="17">
        <f>CHOOSE(CONTROL!$C$42, 32.4491, 32.4491) * CHOOSE(CONTROL!$C$21, $C$9, 100%, $E$9)</f>
        <v>32.449100000000001</v>
      </c>
      <c r="S598" s="17">
        <f>CHOOSE(CONTROL!$C$42, 30.2352, 30.2352) * CHOOSE(CONTROL!$C$21, $C$9, 100%, $E$9)</f>
        <v>30.235199999999999</v>
      </c>
      <c r="T59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98" s="56">
        <f>(1000*CHOOSE(CONTROL!$C$42, 695, 695)*CHOOSE(CONTROL!$C$42, 0.5599, 0.5599)*CHOOSE(CONTROL!$C$42, 31, 31))/1000000</f>
        <v>12.063045499999998</v>
      </c>
      <c r="V598" s="56">
        <f>(1000*CHOOSE(CONTROL!$C$42, 500, 500)*CHOOSE(CONTROL!$C$42, 0.275, 0.275)*CHOOSE(CONTROL!$C$42, 31, 31))/1000000</f>
        <v>4.2625000000000002</v>
      </c>
      <c r="W598" s="56">
        <f>(1000*CHOOSE(CONTROL!$C$42, 0.0916, 0.0916)*CHOOSE(CONTROL!$C$42, 121.5, 121.5)*CHOOSE(CONTROL!$C$42, 31, 31))/1000000</f>
        <v>0.34501139999999997</v>
      </c>
      <c r="X598" s="56">
        <f>(31*0.1790888*145000/1000000)+(31*0.2374*100000/1000000)</f>
        <v>1.5409441560000001</v>
      </c>
      <c r="Y598" s="56"/>
      <c r="Z598" s="17"/>
      <c r="AA598" s="55"/>
      <c r="AB598" s="48">
        <f>(B598*131.881+C598*277.167+D598*79.08+E598*225.872+F598*40+G598*85+H598*0+I598*100+J598*300)/(131.881+277.167+79.08+225.872+0+40+85+100+300)</f>
        <v>31.273101272800645</v>
      </c>
      <c r="AC598" s="45">
        <f>(M598*'RAP TEMPLATE-GAS AVAILABILITY'!O597+N598*'RAP TEMPLATE-GAS AVAILABILITY'!P597+O598*'RAP TEMPLATE-GAS AVAILABILITY'!Q597+P598*'RAP TEMPLATE-GAS AVAILABILITY'!R597)/('RAP TEMPLATE-GAS AVAILABILITY'!O597+'RAP TEMPLATE-GAS AVAILABILITY'!P597+'RAP TEMPLATE-GAS AVAILABILITY'!Q597+'RAP TEMPLATE-GAS AVAILABILITY'!R597)</f>
        <v>31.017169064748199</v>
      </c>
    </row>
    <row r="599" spans="1:29" ht="15.75" x14ac:dyDescent="0.25">
      <c r="A599" s="13">
        <v>59140</v>
      </c>
      <c r="B599" s="17">
        <f>CHOOSE(CONTROL!$C$42, 32.0112, 32.0112) * CHOOSE(CONTROL!$C$21, $C$9, 100%, $E$9)</f>
        <v>32.011200000000002</v>
      </c>
      <c r="C599" s="17">
        <f>CHOOSE(CONTROL!$C$42, 32.0163, 32.0163) * CHOOSE(CONTROL!$C$21, $C$9, 100%, $E$9)</f>
        <v>32.016300000000001</v>
      </c>
      <c r="D599" s="17">
        <f>CHOOSE(CONTROL!$C$42, 32.0977, 32.0977) * CHOOSE(CONTROL!$C$21, $C$9, 100%, $E$9)</f>
        <v>32.097700000000003</v>
      </c>
      <c r="E599" s="17">
        <f>CHOOSE(CONTROL!$C$42, 32.1314, 32.1314) * CHOOSE(CONTROL!$C$21, $C$9, 100%, $E$9)</f>
        <v>32.131399999999999</v>
      </c>
      <c r="F599" s="17">
        <f>CHOOSE(CONTROL!$C$42, 32.0292, 32.0292)*CHOOSE(CONTROL!$C$21, $C$9, 100%, $E$9)</f>
        <v>32.029200000000003</v>
      </c>
      <c r="G599" s="17">
        <f>CHOOSE(CONTROL!$C$42, 32.0459, 32.0459)*CHOOSE(CONTROL!$C$21, $C$9, 100%, $E$9)</f>
        <v>32.045900000000003</v>
      </c>
      <c r="H599" s="17">
        <f>CHOOSE(CONTROL!$C$42, 32.1203, 32.1203) * CHOOSE(CONTROL!$C$21, $C$9, 100%, $E$9)</f>
        <v>32.1203</v>
      </c>
      <c r="I599" s="17">
        <f>CHOOSE(CONTROL!$C$42, 32.1355, 32.1355)* CHOOSE(CONTROL!$C$21, $C$9, 100%, $E$9)</f>
        <v>32.1355</v>
      </c>
      <c r="J599" s="17">
        <f>CHOOSE(CONTROL!$C$42, 32.0218, 32.0218)* CHOOSE(CONTROL!$C$21, $C$9, 100%, $E$9)</f>
        <v>32.021799999999999</v>
      </c>
      <c r="K599" s="52">
        <f>CHOOSE(CONTROL!$C$42, 32.1295, 32.1295) * CHOOSE(CONTROL!$C$21, $C$9, 100%, $E$9)</f>
        <v>32.1295</v>
      </c>
      <c r="L599" s="17">
        <f>CHOOSE(CONTROL!$C$42, 32.7073, 32.7073) * CHOOSE(CONTROL!$C$21, $C$9, 100%, $E$9)</f>
        <v>32.707299999999996</v>
      </c>
      <c r="M599" s="17">
        <f>CHOOSE(CONTROL!$C$42, 31.7408, 31.7408) * CHOOSE(CONTROL!$C$21, $C$9, 100%, $E$9)</f>
        <v>31.7408</v>
      </c>
      <c r="N599" s="17">
        <f>CHOOSE(CONTROL!$C$42, 31.7574, 31.7574) * CHOOSE(CONTROL!$C$21, $C$9, 100%, $E$9)</f>
        <v>31.757400000000001</v>
      </c>
      <c r="O599" s="17">
        <f>CHOOSE(CONTROL!$C$42, 31.8384, 31.8384) * CHOOSE(CONTROL!$C$21, $C$9, 100%, $E$9)</f>
        <v>31.8384</v>
      </c>
      <c r="P599" s="17">
        <f>CHOOSE(CONTROL!$C$42, 31.8527, 31.8527) * CHOOSE(CONTROL!$C$21, $C$9, 100%, $E$9)</f>
        <v>31.852699999999999</v>
      </c>
      <c r="Q599" s="17">
        <f>CHOOSE(CONTROL!$C$42, 32.4331, 32.4331) * CHOOSE(CONTROL!$C$21, $C$9, 100%, $E$9)</f>
        <v>32.433100000000003</v>
      </c>
      <c r="R599" s="17">
        <f>CHOOSE(CONTROL!$C$42, 33.1012, 33.1012) * CHOOSE(CONTROL!$C$21, $C$9, 100%, $E$9)</f>
        <v>33.101199999999999</v>
      </c>
      <c r="S599" s="17">
        <f>CHOOSE(CONTROL!$C$42, 31.0318, 31.0318) * CHOOSE(CONTROL!$C$21, $C$9, 100%, $E$9)</f>
        <v>31.0318</v>
      </c>
      <c r="T59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99" s="56">
        <f>(1000*CHOOSE(CONTROL!$C$42, 695, 695)*CHOOSE(CONTROL!$C$42, 0.5599, 0.5599)*CHOOSE(CONTROL!$C$42, 30, 30))/1000000</f>
        <v>11.673914999999997</v>
      </c>
      <c r="V599" s="56">
        <f>(1000*CHOOSE(CONTROL!$C$42, 500, 500)*CHOOSE(CONTROL!$C$42, 0.275, 0.275)*CHOOSE(CONTROL!$C$42, 30, 30))/1000000</f>
        <v>4.125</v>
      </c>
      <c r="W599" s="56">
        <f>(1000*CHOOSE(CONTROL!$C$42, 0.0916, 0.0916)*CHOOSE(CONTROL!$C$42, 121.5, 121.5)*CHOOSE(CONTROL!$C$42, 30, 30))/1000000</f>
        <v>0.33388200000000001</v>
      </c>
      <c r="X599" s="56">
        <f>(30*0.2374*100000/1000000)</f>
        <v>0.71220000000000006</v>
      </c>
      <c r="Y599" s="56"/>
      <c r="Z599" s="17"/>
      <c r="AA599" s="55"/>
      <c r="AB599" s="48">
        <f>(B599*122.58+C599*297.941+D599*89.177+E599*140.302+F599*40+G599*60+H599*0+I599*100+J599*300)/(122.58+297.941+89.177+140.302+0+40+60+100+300)</f>
        <v>32.049904008695648</v>
      </c>
      <c r="AC599" s="45">
        <f>(M599*'RAP TEMPLATE-GAS AVAILABILITY'!O598+N599*'RAP TEMPLATE-GAS AVAILABILITY'!P598+O599*'RAP TEMPLATE-GAS AVAILABILITY'!Q598+P599*'RAP TEMPLATE-GAS AVAILABILITY'!R598)/('RAP TEMPLATE-GAS AVAILABILITY'!O598+'RAP TEMPLATE-GAS AVAILABILITY'!P598+'RAP TEMPLATE-GAS AVAILABILITY'!Q598+'RAP TEMPLATE-GAS AVAILABILITY'!R598)</f>
        <v>31.802092086330937</v>
      </c>
    </row>
    <row r="600" spans="1:29" ht="15.75" x14ac:dyDescent="0.25">
      <c r="A600" s="13">
        <v>59171</v>
      </c>
      <c r="B600" s="17">
        <f>CHOOSE(CONTROL!$C$42, 34.1923, 34.1923) * CHOOSE(CONTROL!$C$21, $C$9, 100%, $E$9)</f>
        <v>34.192300000000003</v>
      </c>
      <c r="C600" s="17">
        <f>CHOOSE(CONTROL!$C$42, 34.1974, 34.1974) * CHOOSE(CONTROL!$C$21, $C$9, 100%, $E$9)</f>
        <v>34.197400000000002</v>
      </c>
      <c r="D600" s="17">
        <f>CHOOSE(CONTROL!$C$42, 34.2787, 34.2787) * CHOOSE(CONTROL!$C$21, $C$9, 100%, $E$9)</f>
        <v>34.278700000000001</v>
      </c>
      <c r="E600" s="17">
        <f>CHOOSE(CONTROL!$C$42, 34.3125, 34.3125) * CHOOSE(CONTROL!$C$21, $C$9, 100%, $E$9)</f>
        <v>34.3125</v>
      </c>
      <c r="F600" s="17">
        <f>CHOOSE(CONTROL!$C$42, 34.2126, 34.2126)*CHOOSE(CONTROL!$C$21, $C$9, 100%, $E$9)</f>
        <v>34.212600000000002</v>
      </c>
      <c r="G600" s="17">
        <f>CHOOSE(CONTROL!$C$42, 34.23, 34.23)*CHOOSE(CONTROL!$C$21, $C$9, 100%, $E$9)</f>
        <v>34.229999999999997</v>
      </c>
      <c r="H600" s="17">
        <f>CHOOSE(CONTROL!$C$42, 34.3014, 34.3014) * CHOOSE(CONTROL!$C$21, $C$9, 100%, $E$9)</f>
        <v>34.301400000000001</v>
      </c>
      <c r="I600" s="17">
        <f>CHOOSE(CONTROL!$C$42, 34.3233, 34.3233)* CHOOSE(CONTROL!$C$21, $C$9, 100%, $E$9)</f>
        <v>34.323300000000003</v>
      </c>
      <c r="J600" s="17">
        <f>CHOOSE(CONTROL!$C$42, 34.2052, 34.2052)* CHOOSE(CONTROL!$C$21, $C$9, 100%, $E$9)</f>
        <v>34.205199999999998</v>
      </c>
      <c r="K600" s="52">
        <f>CHOOSE(CONTROL!$C$42, 34.3173, 34.3173) * CHOOSE(CONTROL!$C$21, $C$9, 100%, $E$9)</f>
        <v>34.317300000000003</v>
      </c>
      <c r="L600" s="17">
        <f>CHOOSE(CONTROL!$C$42, 34.8884, 34.8884) * CHOOSE(CONTROL!$C$21, $C$9, 100%, $E$9)</f>
        <v>34.888399999999997</v>
      </c>
      <c r="M600" s="17">
        <f>CHOOSE(CONTROL!$C$42, 33.9046, 33.9046) * CHOOSE(CONTROL!$C$21, $C$9, 100%, $E$9)</f>
        <v>33.904600000000002</v>
      </c>
      <c r="N600" s="17">
        <f>CHOOSE(CONTROL!$C$42, 33.9218, 33.9218) * CHOOSE(CONTROL!$C$21, $C$9, 100%, $E$9)</f>
        <v>33.921799999999998</v>
      </c>
      <c r="O600" s="17">
        <f>CHOOSE(CONTROL!$C$42, 33.9999, 33.9999) * CHOOSE(CONTROL!$C$21, $C$9, 100%, $E$9)</f>
        <v>33.999899999999997</v>
      </c>
      <c r="P600" s="17">
        <f>CHOOSE(CONTROL!$C$42, 34.0208, 34.0208) * CHOOSE(CONTROL!$C$21, $C$9, 100%, $E$9)</f>
        <v>34.020800000000001</v>
      </c>
      <c r="Q600" s="17">
        <f>CHOOSE(CONTROL!$C$42, 34.5946, 34.5946) * CHOOSE(CONTROL!$C$21, $C$9, 100%, $E$9)</f>
        <v>34.5946</v>
      </c>
      <c r="R600" s="17">
        <f>CHOOSE(CONTROL!$C$42, 35.2681, 35.2681) * CHOOSE(CONTROL!$C$21, $C$9, 100%, $E$9)</f>
        <v>35.268099999999997</v>
      </c>
      <c r="S600" s="17">
        <f>CHOOSE(CONTROL!$C$42, 33.1467, 33.1467) * CHOOSE(CONTROL!$C$21, $C$9, 100%, $E$9)</f>
        <v>33.146700000000003</v>
      </c>
      <c r="T60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00" s="56">
        <f>(1000*CHOOSE(CONTROL!$C$42, 695, 695)*CHOOSE(CONTROL!$C$42, 0.5599, 0.5599)*CHOOSE(CONTROL!$C$42, 31, 31))/1000000</f>
        <v>12.063045499999998</v>
      </c>
      <c r="V600" s="56">
        <f>(1000*CHOOSE(CONTROL!$C$42, 500, 500)*CHOOSE(CONTROL!$C$42, 0.275, 0.275)*CHOOSE(CONTROL!$C$42, 31, 31))/1000000</f>
        <v>4.2625000000000002</v>
      </c>
      <c r="W600" s="56">
        <f>(1000*CHOOSE(CONTROL!$C$42, 0.0916, 0.0916)*CHOOSE(CONTROL!$C$42, 121.5, 121.5)*CHOOSE(CONTROL!$C$42, 31, 31))/1000000</f>
        <v>0.34501139999999997</v>
      </c>
      <c r="X600" s="56">
        <f>(31*0.2374*100000/1000000)</f>
        <v>0.73594000000000004</v>
      </c>
      <c r="Y600" s="56"/>
      <c r="Z600" s="17"/>
      <c r="AA600" s="55"/>
      <c r="AB600" s="48">
        <f>(B600*122.58+C600*297.941+D600*89.177+E600*140.302+F600*40+G600*60+H600*0+I600*100+J600*300)/(122.58+297.941+89.177+140.302+0+40+60+100+300)</f>
        <v>34.2324153846087</v>
      </c>
      <c r="AC600" s="45">
        <f>(M600*'RAP TEMPLATE-GAS AVAILABILITY'!O599+N600*'RAP TEMPLATE-GAS AVAILABILITY'!P599+O600*'RAP TEMPLATE-GAS AVAILABILITY'!Q599+P600*'RAP TEMPLATE-GAS AVAILABILITY'!R599)/('RAP TEMPLATE-GAS AVAILABILITY'!O599+'RAP TEMPLATE-GAS AVAILABILITY'!P599+'RAP TEMPLATE-GAS AVAILABILITY'!Q599+'RAP TEMPLATE-GAS AVAILABILITY'!R599)</f>
        <v>33.965502877697844</v>
      </c>
    </row>
    <row r="601" spans="1:29" ht="15" x14ac:dyDescent="0.2">
      <c r="A601" s="12"/>
    </row>
    <row r="602" spans="1:29" ht="15.75" x14ac:dyDescent="0.25">
      <c r="A602" s="11">
        <v>2013</v>
      </c>
      <c r="B602" s="17">
        <f t="shared" ref="B602:J602" si="3">AVERAGE(B13:B24)</f>
        <v>3.6422190216479868</v>
      </c>
      <c r="C602" s="17">
        <f t="shared" si="3"/>
        <v>3.6484830629426512</v>
      </c>
      <c r="D602" s="17">
        <f t="shared" si="3"/>
        <v>3.832610139626516</v>
      </c>
      <c r="E602" s="17">
        <f t="shared" si="3"/>
        <v>3.8647201021617898</v>
      </c>
      <c r="F602" s="17">
        <f t="shared" si="3"/>
        <v>3.644709980384357</v>
      </c>
      <c r="G602" s="17">
        <f t="shared" si="3"/>
        <v>3.6594185464044138</v>
      </c>
      <c r="H602" s="17">
        <f t="shared" si="3"/>
        <v>3.853516436496641</v>
      </c>
      <c r="I602" s="17">
        <f t="shared" si="3"/>
        <v>3.6689948413545661</v>
      </c>
      <c r="J602" s="17">
        <f t="shared" si="3"/>
        <v>3.6373099803843569</v>
      </c>
      <c r="K602" s="52"/>
      <c r="L602" s="17">
        <f t="shared" ref="L602:S602" si="4">AVERAGE(L13:L24)</f>
        <v>4.4405164364966412</v>
      </c>
      <c r="M602" s="17">
        <f t="shared" si="4"/>
        <v>3.6115830195660461</v>
      </c>
      <c r="N602" s="17">
        <f t="shared" si="4"/>
        <v>3.6261868909368355</v>
      </c>
      <c r="O602" s="17">
        <f t="shared" si="4"/>
        <v>3.8258723489737285</v>
      </c>
      <c r="P602" s="17">
        <f t="shared" si="4"/>
        <v>3.6429386862847686</v>
      </c>
      <c r="Q602" s="17">
        <f t="shared" si="4"/>
        <v>4.420572348973729</v>
      </c>
      <c r="R602" s="17">
        <f t="shared" si="4"/>
        <v>5.0186232798461621</v>
      </c>
      <c r="S602" s="17">
        <f t="shared" si="4"/>
        <v>3.5213715101374592</v>
      </c>
      <c r="T602" s="51">
        <f t="shared" ref="T602:Y602" si="5">SUM(T13:T24)</f>
        <v>360.245856</v>
      </c>
      <c r="U602" s="51">
        <f t="shared" si="5"/>
        <v>142.03378299999997</v>
      </c>
      <c r="V602" s="51">
        <f t="shared" si="5"/>
        <v>58.217499999999994</v>
      </c>
      <c r="W602" s="51">
        <f t="shared" si="5"/>
        <v>6.6869179999999995</v>
      </c>
      <c r="X602" s="51">
        <f t="shared" si="5"/>
        <v>5.5571254639999994</v>
      </c>
      <c r="Y602" s="51">
        <f t="shared" si="5"/>
        <v>1.17</v>
      </c>
      <c r="Z602" s="17">
        <f>AVERAGE(Z13:Z24)</f>
        <v>3.6245094525460169</v>
      </c>
      <c r="AA602" s="51">
        <f>SUM(AA13:AA24)</f>
        <v>9.4679999999999982</v>
      </c>
      <c r="AB602" s="48">
        <f>AVERAGE(AB13:AB24)</f>
        <v>3.7045217738078269</v>
      </c>
      <c r="AC602" s="45">
        <f>AVERAGE(AC13:AC24)</f>
        <v>3.6988697513812974</v>
      </c>
    </row>
    <row r="603" spans="1:29" ht="15.75" x14ac:dyDescent="0.25">
      <c r="A603" s="11">
        <v>2014</v>
      </c>
      <c r="B603" s="17">
        <f t="shared" ref="B603:J603" si="6">AVERAGE(B25:B36)</f>
        <v>4.1721083333333331</v>
      </c>
      <c r="C603" s="17">
        <f t="shared" si="6"/>
        <v>4.1783583333333336</v>
      </c>
      <c r="D603" s="17">
        <f t="shared" si="6"/>
        <v>4.3593916666666663</v>
      </c>
      <c r="E603" s="17">
        <f t="shared" si="6"/>
        <v>4.391516666666667</v>
      </c>
      <c r="F603" s="17">
        <f t="shared" si="6"/>
        <v>4.1855666666666664</v>
      </c>
      <c r="G603" s="17">
        <f t="shared" si="6"/>
        <v>4.2020166666666663</v>
      </c>
      <c r="H603" s="17">
        <f t="shared" si="6"/>
        <v>4.380325</v>
      </c>
      <c r="I603" s="17">
        <f t="shared" si="6"/>
        <v>4.2081083333333344</v>
      </c>
      <c r="J603" s="17">
        <f t="shared" si="6"/>
        <v>4.1781666666666668</v>
      </c>
      <c r="K603" s="52"/>
      <c r="L603" s="17">
        <f t="shared" ref="L603:S603" si="7">AVERAGE(L25:L36)</f>
        <v>4.9673249999999998</v>
      </c>
      <c r="M603" s="17">
        <f t="shared" si="7"/>
        <v>4.1476083333333325</v>
      </c>
      <c r="N603" s="17">
        <f t="shared" si="7"/>
        <v>4.1639249999999999</v>
      </c>
      <c r="O603" s="17">
        <f t="shared" si="7"/>
        <v>4.3479166666666673</v>
      </c>
      <c r="P603" s="17">
        <f t="shared" si="7"/>
        <v>4.1772</v>
      </c>
      <c r="Q603" s="17">
        <f t="shared" si="7"/>
        <v>4.9426166666666669</v>
      </c>
      <c r="R603" s="17">
        <f t="shared" si="7"/>
        <v>5.5419833333333344</v>
      </c>
      <c r="S603" s="17">
        <f t="shared" si="7"/>
        <v>4.0351999999999997</v>
      </c>
      <c r="T603" s="51">
        <f t="shared" ref="T603:Y603" si="8">SUM(T25:T36)</f>
        <v>364.83318099999997</v>
      </c>
      <c r="U603" s="51">
        <f t="shared" si="8"/>
        <v>142.03263249999998</v>
      </c>
      <c r="V603" s="51">
        <f t="shared" si="8"/>
        <v>58.217499999999994</v>
      </c>
      <c r="W603" s="51">
        <f t="shared" si="8"/>
        <v>6.6867999999999999</v>
      </c>
      <c r="X603" s="51">
        <f t="shared" si="8"/>
        <v>5.5571254639999994</v>
      </c>
      <c r="Y603" s="51">
        <f t="shared" si="8"/>
        <v>0</v>
      </c>
      <c r="Z603" s="17">
        <f>AVERAGE(Z25:Z36)</f>
        <v>4.1498083333333327</v>
      </c>
      <c r="AA603" s="51">
        <f>SUM(AA25:AA36)</f>
        <v>9.4679999999999982</v>
      </c>
      <c r="AB603" s="48">
        <f>AVERAGE(AB25:AB36)</f>
        <v>4.238682799738883</v>
      </c>
      <c r="AC603" s="45">
        <f>AVERAGE(AC25:AC36)</f>
        <v>4.2290466426858515</v>
      </c>
    </row>
    <row r="604" spans="1:29" ht="15.75" x14ac:dyDescent="0.25">
      <c r="A604" s="11">
        <v>2015</v>
      </c>
      <c r="B604" s="17">
        <f t="shared" ref="B604:J604" si="9">AVERAGE(B37:B48)</f>
        <v>4.3847249999999995</v>
      </c>
      <c r="C604" s="17">
        <f t="shared" si="9"/>
        <v>4.3909750000000001</v>
      </c>
      <c r="D604" s="17">
        <f t="shared" si="9"/>
        <v>4.5720000000000001</v>
      </c>
      <c r="E604" s="17">
        <f t="shared" si="9"/>
        <v>4.6041249999999998</v>
      </c>
      <c r="F604" s="17">
        <f t="shared" si="9"/>
        <v>4.3981833333333329</v>
      </c>
      <c r="G604" s="17">
        <f t="shared" si="9"/>
        <v>4.4146583333333327</v>
      </c>
      <c r="H604" s="17">
        <f t="shared" si="9"/>
        <v>4.5929083333333329</v>
      </c>
      <c r="I604" s="17">
        <f t="shared" si="9"/>
        <v>4.4213666666666667</v>
      </c>
      <c r="J604" s="17">
        <f t="shared" si="9"/>
        <v>4.3907833333333333</v>
      </c>
      <c r="K604" s="52"/>
      <c r="L604" s="17">
        <f t="shared" ref="L604:S604" si="10">AVERAGE(L37:L48)</f>
        <v>5.1799083333333327</v>
      </c>
      <c r="M604" s="17">
        <f t="shared" si="10"/>
        <v>4.3582916666666671</v>
      </c>
      <c r="N604" s="17">
        <f t="shared" si="10"/>
        <v>4.3746166666666673</v>
      </c>
      <c r="O604" s="17">
        <f t="shared" si="10"/>
        <v>4.5586166666666665</v>
      </c>
      <c r="P604" s="17">
        <f t="shared" si="10"/>
        <v>4.3885416666666668</v>
      </c>
      <c r="Q604" s="17">
        <f t="shared" si="10"/>
        <v>5.1533166666666661</v>
      </c>
      <c r="R604" s="17">
        <f t="shared" si="10"/>
        <v>5.7532083333333333</v>
      </c>
      <c r="S604" s="17">
        <f t="shared" si="10"/>
        <v>4.2413666666666661</v>
      </c>
      <c r="T604" s="51">
        <f>SUM(T37:T48)</f>
        <v>364.83318099999997</v>
      </c>
      <c r="U604" s="51">
        <f>SUM(U37:U48)</f>
        <v>142.03263249999998</v>
      </c>
      <c r="V604" s="51">
        <f>SUM(V37:V48)</f>
        <v>58.217499999999994</v>
      </c>
      <c r="W604" s="51">
        <f>SUM(W37:W48)</f>
        <v>6.6867999999999999</v>
      </c>
      <c r="X604" s="51">
        <f>SUM(X37:X48)</f>
        <v>12.085625463999998</v>
      </c>
      <c r="Y604" s="51"/>
      <c r="Z604" s="17">
        <f>AVERAGE(Z37:Z48)</f>
        <v>4.3608166666666657</v>
      </c>
      <c r="AA604" s="51">
        <f>SUM(AA37:AA48)</f>
        <v>9.4679999999999982</v>
      </c>
      <c r="AB604" s="48">
        <f>AVERAGE(AB37:AB48)</f>
        <v>4.4437273422755466</v>
      </c>
      <c r="AC604" s="45">
        <f>AVERAGE(AC37:AC48)</f>
        <v>4.4306893285371709</v>
      </c>
    </row>
    <row r="605" spans="1:29" ht="15.75" x14ac:dyDescent="0.25">
      <c r="A605" s="11">
        <v>2016</v>
      </c>
      <c r="B605" s="17">
        <f t="shared" ref="B605:J605" si="11">AVERAGE(B49:B60)</f>
        <v>4.6300083333333335</v>
      </c>
      <c r="C605" s="17">
        <f t="shared" si="11"/>
        <v>4.6362666666666668</v>
      </c>
      <c r="D605" s="17">
        <f t="shared" si="11"/>
        <v>4.8173166666666658</v>
      </c>
      <c r="E605" s="17">
        <f t="shared" si="11"/>
        <v>4.8494166666666665</v>
      </c>
      <c r="F605" s="17">
        <f t="shared" si="11"/>
        <v>4.6434833333333341</v>
      </c>
      <c r="G605" s="17">
        <f t="shared" si="11"/>
        <v>4.6599249999999994</v>
      </c>
      <c r="H605" s="17">
        <f t="shared" si="11"/>
        <v>4.8382249999999996</v>
      </c>
      <c r="I605" s="17">
        <f t="shared" si="11"/>
        <v>4.6674333333333342</v>
      </c>
      <c r="J605" s="17">
        <f t="shared" si="11"/>
        <v>4.6360833333333336</v>
      </c>
      <c r="K605" s="52"/>
      <c r="L605" s="17">
        <f t="shared" ref="L605:S605" si="12">AVERAGE(L49:L60)</f>
        <v>5.4252250000000002</v>
      </c>
      <c r="M605" s="17">
        <f t="shared" si="12"/>
        <v>4.6013833333333336</v>
      </c>
      <c r="N605" s="17">
        <f t="shared" si="12"/>
        <v>4.6177000000000001</v>
      </c>
      <c r="O605" s="17">
        <f t="shared" si="12"/>
        <v>4.8017166666666657</v>
      </c>
      <c r="P605" s="17">
        <f t="shared" si="12"/>
        <v>4.6323750000000006</v>
      </c>
      <c r="Q605" s="17">
        <f t="shared" si="12"/>
        <v>5.3964166666666662</v>
      </c>
      <c r="R605" s="17">
        <f t="shared" si="12"/>
        <v>5.9969166666666673</v>
      </c>
      <c r="S605" s="17">
        <f t="shared" si="12"/>
        <v>4.4792583333333331</v>
      </c>
      <c r="T605" s="51">
        <f>SUM(T49:T60)</f>
        <v>358.26753550000001</v>
      </c>
      <c r="U605" s="51">
        <f>SUM(U49:U60)</f>
        <v>142.42176299999997</v>
      </c>
      <c r="V605" s="51">
        <f>SUM(V49:V60)</f>
        <v>58.377000000000002</v>
      </c>
      <c r="W605" s="51">
        <f>SUM(W49:W60)</f>
        <v>4.9434229999999992</v>
      </c>
      <c r="X605" s="51">
        <f>SUM(X49:X60)</f>
        <v>14.245965463999999</v>
      </c>
      <c r="Y605" s="51"/>
      <c r="Z605" s="17"/>
      <c r="AA605" s="51"/>
      <c r="AB605" s="48">
        <f>AVERAGE(AB49:AB60)</f>
        <v>4.6845047660685681</v>
      </c>
      <c r="AC605" s="45">
        <f>AVERAGE(AC49:AC60)</f>
        <v>4.6724435251798555</v>
      </c>
    </row>
    <row r="606" spans="1:29" ht="15.75" x14ac:dyDescent="0.25">
      <c r="A606" s="11">
        <v>2017</v>
      </c>
      <c r="B606" s="17">
        <f t="shared" ref="B606:S606" si="13">AVERAGE(B61:B72)</f>
        <v>4.9834083333333341</v>
      </c>
      <c r="C606" s="17">
        <f t="shared" si="13"/>
        <v>4.9896750000000001</v>
      </c>
      <c r="D606" s="17">
        <f t="shared" si="13"/>
        <v>5.1707083333333337</v>
      </c>
      <c r="E606" s="17">
        <f t="shared" si="13"/>
        <v>5.2028083333333335</v>
      </c>
      <c r="F606" s="17">
        <f t="shared" si="13"/>
        <v>4.9968750000000002</v>
      </c>
      <c r="G606" s="17">
        <f t="shared" si="13"/>
        <v>5.0133416666666681</v>
      </c>
      <c r="H606" s="17">
        <f t="shared" si="13"/>
        <v>5.1916416666666665</v>
      </c>
      <c r="I606" s="17">
        <f t="shared" si="13"/>
        <v>5.0219250000000004</v>
      </c>
      <c r="J606" s="17">
        <f t="shared" si="13"/>
        <v>4.9894749999999997</v>
      </c>
      <c r="K606" s="52">
        <f t="shared" si="13"/>
        <v>4.9532874999999992</v>
      </c>
      <c r="L606" s="17">
        <f t="shared" si="13"/>
        <v>5.778641666666668</v>
      </c>
      <c r="M606" s="17">
        <f t="shared" si="13"/>
        <v>4.9516166666666672</v>
      </c>
      <c r="N606" s="17">
        <f t="shared" si="13"/>
        <v>4.967950000000001</v>
      </c>
      <c r="O606" s="17">
        <f t="shared" si="13"/>
        <v>5.1519249999999994</v>
      </c>
      <c r="P606" s="17">
        <f t="shared" si="13"/>
        <v>4.983691666666668</v>
      </c>
      <c r="Q606" s="17">
        <f t="shared" si="13"/>
        <v>5.7466250000000008</v>
      </c>
      <c r="R606" s="17">
        <f t="shared" si="13"/>
        <v>6.3479916666666663</v>
      </c>
      <c r="S606" s="17">
        <f t="shared" si="13"/>
        <v>4.8219500000000002</v>
      </c>
      <c r="T606" s="51">
        <f>SUM(T61:T72)</f>
        <v>357.33618100000001</v>
      </c>
      <c r="U606" s="51">
        <f>SUM(U61:U72)</f>
        <v>142.03263249999998</v>
      </c>
      <c r="V606" s="51">
        <f>SUM(V61:V72)</f>
        <v>58.217499999999994</v>
      </c>
      <c r="W606" s="51">
        <f>SUM(W61:W72)</f>
        <v>4.0622309999999988</v>
      </c>
      <c r="X606" s="51">
        <f>SUM(X61:X72)</f>
        <v>14.222225463999999</v>
      </c>
      <c r="Y606" s="51"/>
      <c r="Z606" s="17"/>
      <c r="AA606" s="17"/>
      <c r="AB606" s="48">
        <f>AVERAGE(AB61:AB72)</f>
        <v>5.0379934822902008</v>
      </c>
      <c r="AC606" s="45">
        <f>AVERAGE(AC61:AC72)</f>
        <v>5.0228252398081539</v>
      </c>
    </row>
    <row r="607" spans="1:29" ht="15.75" x14ac:dyDescent="0.25">
      <c r="A607" s="11">
        <v>2018</v>
      </c>
      <c r="B607" s="17">
        <f t="shared" ref="B607:S607" si="14">AVERAGE(B73:B84)</f>
        <v>5.8107083333333334</v>
      </c>
      <c r="C607" s="17">
        <f t="shared" si="14"/>
        <v>5.816958333333333</v>
      </c>
      <c r="D607" s="17">
        <f t="shared" si="14"/>
        <v>5.9979916666666666</v>
      </c>
      <c r="E607" s="17">
        <f t="shared" si="14"/>
        <v>6.0301166666666672</v>
      </c>
      <c r="F607" s="17">
        <f t="shared" si="14"/>
        <v>5.8241666666666667</v>
      </c>
      <c r="G607" s="17">
        <f t="shared" si="14"/>
        <v>5.8406416666666665</v>
      </c>
      <c r="H607" s="17">
        <f t="shared" si="14"/>
        <v>6.0189166666666667</v>
      </c>
      <c r="I607" s="17">
        <f t="shared" si="14"/>
        <v>5.8517833333333336</v>
      </c>
      <c r="J607" s="17">
        <f t="shared" si="14"/>
        <v>5.8167666666666671</v>
      </c>
      <c r="K607" s="52">
        <f t="shared" si="14"/>
        <v>5.8457416666666662</v>
      </c>
      <c r="L607" s="17">
        <f t="shared" si="14"/>
        <v>6.6059166666666664</v>
      </c>
      <c r="M607" s="17">
        <f t="shared" si="14"/>
        <v>5.7714749999999997</v>
      </c>
      <c r="N607" s="17">
        <f t="shared" si="14"/>
        <v>5.7877750000000008</v>
      </c>
      <c r="O607" s="17">
        <f t="shared" si="14"/>
        <v>5.9717833333333337</v>
      </c>
      <c r="P607" s="17">
        <f t="shared" si="14"/>
        <v>5.8060416666666663</v>
      </c>
      <c r="Q607" s="17">
        <f t="shared" si="14"/>
        <v>6.5664833333333332</v>
      </c>
      <c r="R607" s="17">
        <f t="shared" si="14"/>
        <v>7.1699083333333347</v>
      </c>
      <c r="S607" s="17">
        <f t="shared" si="14"/>
        <v>5.6241750000000001</v>
      </c>
      <c r="T607" s="51">
        <f>SUM(T73:T84)</f>
        <v>357.33618100000001</v>
      </c>
      <c r="U607" s="51">
        <f>SUM(U73:U84)</f>
        <v>142.03263249999998</v>
      </c>
      <c r="V607" s="51">
        <f>SUM(V73:V84)</f>
        <v>50.187500000000007</v>
      </c>
      <c r="W607" s="51">
        <f>SUM(W73:W84)</f>
        <v>4.0622309999999988</v>
      </c>
      <c r="X607" s="51">
        <f>SUM(X73:X84)</f>
        <v>14.222225463999999</v>
      </c>
      <c r="Y607" s="51"/>
      <c r="Z607" s="17"/>
      <c r="AA607" s="17"/>
      <c r="AB607" s="48">
        <f>AVERAGE(AB73:AB84)</f>
        <v>5.8654980640761778</v>
      </c>
      <c r="AC607" s="45">
        <f>AVERAGE(AC73:AC84)</f>
        <v>5.8430372901678664</v>
      </c>
    </row>
    <row r="608" spans="1:29" ht="15.75" x14ac:dyDescent="0.25">
      <c r="A608" s="11">
        <v>2019</v>
      </c>
      <c r="B608" s="17">
        <f t="shared" ref="B608:S608" si="15">AVERAGE(B85:B96)</f>
        <v>6.3536499999999991</v>
      </c>
      <c r="C608" s="17">
        <f t="shared" si="15"/>
        <v>6.3599249999999996</v>
      </c>
      <c r="D608" s="17">
        <f t="shared" si="15"/>
        <v>6.5409583333333332</v>
      </c>
      <c r="E608" s="17">
        <f t="shared" si="15"/>
        <v>6.5730666666666666</v>
      </c>
      <c r="F608" s="17">
        <f t="shared" si="15"/>
        <v>6.367141666666666</v>
      </c>
      <c r="G608" s="17">
        <f t="shared" si="15"/>
        <v>6.3836000000000004</v>
      </c>
      <c r="H608" s="17">
        <f t="shared" si="15"/>
        <v>6.5618666666666661</v>
      </c>
      <c r="I608" s="17">
        <f t="shared" si="15"/>
        <v>6.3964333333333334</v>
      </c>
      <c r="J608" s="17">
        <f t="shared" si="15"/>
        <v>6.3597416666666673</v>
      </c>
      <c r="K608" s="52">
        <f t="shared" si="15"/>
        <v>6.3903999999999996</v>
      </c>
      <c r="L608" s="17">
        <f t="shared" si="15"/>
        <v>7.1488666666666667</v>
      </c>
      <c r="M608" s="17">
        <f t="shared" si="15"/>
        <v>6.3095500000000007</v>
      </c>
      <c r="N608" s="17">
        <f t="shared" si="15"/>
        <v>6.3258583333333336</v>
      </c>
      <c r="O608" s="17">
        <f t="shared" si="15"/>
        <v>6.5098500000000001</v>
      </c>
      <c r="P608" s="17">
        <f t="shared" si="15"/>
        <v>6.3457833333333342</v>
      </c>
      <c r="Q608" s="17">
        <f t="shared" si="15"/>
        <v>7.1045499999999988</v>
      </c>
      <c r="R608" s="17">
        <f t="shared" si="15"/>
        <v>7.7093333333333334</v>
      </c>
      <c r="S608" s="17">
        <f t="shared" si="15"/>
        <v>6.1506666666666669</v>
      </c>
      <c r="T608" s="51">
        <f>SUM(T85:T96)</f>
        <v>357.33618100000001</v>
      </c>
      <c r="U608" s="51">
        <f>SUM(U85:U96)</f>
        <v>142.03263249999998</v>
      </c>
      <c r="V608" s="51">
        <f>SUM(V85:V96)</f>
        <v>50.187500000000007</v>
      </c>
      <c r="W608" s="51">
        <f>SUM(W85:W96)</f>
        <v>4.0622309999999988</v>
      </c>
      <c r="X608" s="51">
        <f>SUM(X85:X96)</f>
        <v>14.222225463999999</v>
      </c>
      <c r="Y608" s="51"/>
      <c r="Z608" s="17"/>
      <c r="AA608" s="17"/>
      <c r="AB608" s="48">
        <f>AVERAGE(AB85:AB96)</f>
        <v>6.4085999399012392</v>
      </c>
      <c r="AC608" s="45">
        <f>AVERAGE(AC85:AC96)</f>
        <v>6.3813516786570759</v>
      </c>
    </row>
    <row r="609" spans="1:29" ht="15.75" x14ac:dyDescent="0.25">
      <c r="A609" s="11">
        <v>2020</v>
      </c>
      <c r="B609" s="17">
        <f t="shared" ref="B609:S609" si="16">AVERAGE(B97:B108)</f>
        <v>6.8938333333333333</v>
      </c>
      <c r="C609" s="17">
        <f t="shared" si="16"/>
        <v>6.9001000000000019</v>
      </c>
      <c r="D609" s="17">
        <f t="shared" si="16"/>
        <v>7.0811083333333338</v>
      </c>
      <c r="E609" s="17">
        <f t="shared" si="16"/>
        <v>7.1132500000000007</v>
      </c>
      <c r="F609" s="17">
        <f t="shared" si="16"/>
        <v>6.9073000000000002</v>
      </c>
      <c r="G609" s="17">
        <f t="shared" si="16"/>
        <v>6.9237583333333346</v>
      </c>
      <c r="H609" s="17">
        <f t="shared" si="16"/>
        <v>7.1020250000000011</v>
      </c>
      <c r="I609" s="17">
        <f t="shared" si="16"/>
        <v>6.9382833333333318</v>
      </c>
      <c r="J609" s="17">
        <f t="shared" si="16"/>
        <v>6.8998999999999997</v>
      </c>
      <c r="K609" s="52">
        <f t="shared" si="16"/>
        <v>6.9322333333333317</v>
      </c>
      <c r="L609" s="17">
        <f t="shared" si="16"/>
        <v>7.689025</v>
      </c>
      <c r="M609" s="17">
        <f t="shared" si="16"/>
        <v>6.8448416666666674</v>
      </c>
      <c r="N609" s="17">
        <f t="shared" si="16"/>
        <v>6.861158333333333</v>
      </c>
      <c r="O609" s="17">
        <f t="shared" si="16"/>
        <v>7.0451583333333332</v>
      </c>
      <c r="P609" s="17">
        <f t="shared" si="16"/>
        <v>6.8827333333333343</v>
      </c>
      <c r="Q609" s="17">
        <f t="shared" si="16"/>
        <v>7.6398583333333328</v>
      </c>
      <c r="R609" s="17">
        <f t="shared" si="16"/>
        <v>8.2459666666666678</v>
      </c>
      <c r="S609" s="17">
        <f t="shared" si="16"/>
        <v>6.674475000000001</v>
      </c>
      <c r="T609" s="51">
        <f>SUM(T97:T108)</f>
        <v>358.26753550000001</v>
      </c>
      <c r="U609" s="51">
        <f>SUM(U97:U108)</f>
        <v>142.42176299999997</v>
      </c>
      <c r="V609" s="51">
        <f>SUM(V97:V108)</f>
        <v>50.325000000000003</v>
      </c>
      <c r="W609" s="51">
        <f>SUM(W97:W108)</f>
        <v>4.0733603999999994</v>
      </c>
      <c r="X609" s="51">
        <f>SUM(X97:X108)</f>
        <v>14.245965463999999</v>
      </c>
      <c r="Y609" s="51"/>
      <c r="Z609" s="17"/>
      <c r="AA609" s="17"/>
      <c r="AB609" s="48">
        <f>AVERAGE(AB97:AB108)</f>
        <v>6.9489067790820664</v>
      </c>
      <c r="AC609" s="45">
        <f>AVERAGE(AC97:AC108)</f>
        <v>6.9168885491606718</v>
      </c>
    </row>
    <row r="610" spans="1:29" ht="15.75" x14ac:dyDescent="0.25">
      <c r="A610" s="11">
        <v>2021</v>
      </c>
      <c r="B610" s="17">
        <f t="shared" ref="B610:S610" si="17">AVERAGE(B109:B120)</f>
        <v>7.2951666666666668</v>
      </c>
      <c r="C610" s="17">
        <f t="shared" si="17"/>
        <v>7.3014333333333346</v>
      </c>
      <c r="D610" s="17">
        <f t="shared" si="17"/>
        <v>7.4824833333333345</v>
      </c>
      <c r="E610" s="17">
        <f t="shared" si="17"/>
        <v>7.5146083333333342</v>
      </c>
      <c r="F610" s="17">
        <f t="shared" si="17"/>
        <v>7.3086583333333328</v>
      </c>
      <c r="G610" s="17">
        <f t="shared" si="17"/>
        <v>7.3251083333333336</v>
      </c>
      <c r="H610" s="17">
        <f t="shared" si="17"/>
        <v>7.5033833333333328</v>
      </c>
      <c r="I610" s="17">
        <f t="shared" si="17"/>
        <v>7.340841666666666</v>
      </c>
      <c r="J610" s="17">
        <f t="shared" si="17"/>
        <v>7.3012583333333341</v>
      </c>
      <c r="K610" s="52">
        <f t="shared" si="17"/>
        <v>7.3348333333333331</v>
      </c>
      <c r="L610" s="17">
        <f t="shared" si="17"/>
        <v>8.0903833333333335</v>
      </c>
      <c r="M610" s="17">
        <f t="shared" si="17"/>
        <v>7.2425916666666668</v>
      </c>
      <c r="N610" s="17">
        <f t="shared" si="17"/>
        <v>7.2588999999999979</v>
      </c>
      <c r="O610" s="17">
        <f t="shared" si="17"/>
        <v>7.4429083333333326</v>
      </c>
      <c r="P610" s="17">
        <f t="shared" si="17"/>
        <v>7.2816916666666662</v>
      </c>
      <c r="Q610" s="17">
        <f t="shared" si="17"/>
        <v>8.037608333333333</v>
      </c>
      <c r="R610" s="17">
        <f t="shared" si="17"/>
        <v>8.6447083333333339</v>
      </c>
      <c r="S610" s="17">
        <f t="shared" si="17"/>
        <v>7.0636583333333336</v>
      </c>
      <c r="T610" s="51">
        <f>SUM(T109:T120)</f>
        <v>357.33618100000001</v>
      </c>
      <c r="U610" s="51">
        <f>SUM(U109:U120)</f>
        <v>142.03263249999998</v>
      </c>
      <c r="V610" s="51">
        <f>SUM(V109:V120)</f>
        <v>50.187500000000007</v>
      </c>
      <c r="W610" s="51">
        <f>SUM(W109:W120)</f>
        <v>4.0622309999999988</v>
      </c>
      <c r="X610" s="51">
        <f>SUM(X109:X120)</f>
        <v>14.222225463999999</v>
      </c>
      <c r="Y610" s="51"/>
      <c r="Z610" s="17"/>
      <c r="AA610" s="17"/>
      <c r="AB610" s="48">
        <f>AVERAGE(AB109:AB120)</f>
        <v>7.3503564263653276</v>
      </c>
      <c r="AC610" s="45">
        <f>AVERAGE(AC109:AC120)</f>
        <v>7.3148104916067149</v>
      </c>
    </row>
    <row r="611" spans="1:29" ht="15.75" x14ac:dyDescent="0.25">
      <c r="A611" s="11">
        <v>2022</v>
      </c>
      <c r="B611" s="17">
        <f t="shared" ref="B611:S611" si="18">AVERAGE(B121:B132)</f>
        <v>7.6016833333333338</v>
      </c>
      <c r="C611" s="17">
        <f t="shared" si="18"/>
        <v>7.6079500000000015</v>
      </c>
      <c r="D611" s="17">
        <f t="shared" si="18"/>
        <v>7.7890000000000006</v>
      </c>
      <c r="E611" s="17">
        <f t="shared" si="18"/>
        <v>7.8211166666666676</v>
      </c>
      <c r="F611" s="17">
        <f t="shared" si="18"/>
        <v>7.615191666666667</v>
      </c>
      <c r="G611" s="17">
        <f t="shared" si="18"/>
        <v>7.6316333333333342</v>
      </c>
      <c r="H611" s="17">
        <f t="shared" si="18"/>
        <v>7.8098999999999998</v>
      </c>
      <c r="I611" s="17">
        <f t="shared" si="18"/>
        <v>7.6483333333333334</v>
      </c>
      <c r="J611" s="17">
        <f t="shared" si="18"/>
        <v>7.6077916666666665</v>
      </c>
      <c r="K611" s="52">
        <f t="shared" si="18"/>
        <v>7.6422999999999988</v>
      </c>
      <c r="L611" s="17">
        <f t="shared" si="18"/>
        <v>8.3969000000000005</v>
      </c>
      <c r="M611" s="17">
        <f t="shared" si="18"/>
        <v>7.5463500000000012</v>
      </c>
      <c r="N611" s="17">
        <f t="shared" si="18"/>
        <v>7.562666666666666</v>
      </c>
      <c r="O611" s="17">
        <f t="shared" si="18"/>
        <v>7.7466749999999998</v>
      </c>
      <c r="P611" s="17">
        <f t="shared" si="18"/>
        <v>7.5863916666666649</v>
      </c>
      <c r="Q611" s="17">
        <f t="shared" si="18"/>
        <v>8.3413750000000011</v>
      </c>
      <c r="R611" s="17">
        <f t="shared" si="18"/>
        <v>8.9492250000000002</v>
      </c>
      <c r="S611" s="17">
        <f t="shared" si="18"/>
        <v>7.3608749999999992</v>
      </c>
      <c r="T611" s="51">
        <f>SUM(T121:T132)</f>
        <v>357.33618100000001</v>
      </c>
      <c r="U611" s="51">
        <f>SUM(U121:U132)</f>
        <v>142.03263249999998</v>
      </c>
      <c r="V611" s="51">
        <f>SUM(V121:V132)</f>
        <v>50.187500000000007</v>
      </c>
      <c r="W611" s="51">
        <f>SUM(W121:W132)</f>
        <v>4.0622309999999988</v>
      </c>
      <c r="X611" s="51">
        <f>SUM(X121:X132)</f>
        <v>14.222225463999999</v>
      </c>
      <c r="Y611" s="51"/>
      <c r="Z611" s="17"/>
      <c r="AA611" s="17"/>
      <c r="AB611" s="48">
        <f>AVERAGE(AB121:AB132)</f>
        <v>7.6569575885717098</v>
      </c>
      <c r="AC611" s="45">
        <f>AVERAGE(AC121:AC132)</f>
        <v>7.618708573141487</v>
      </c>
    </row>
    <row r="612" spans="1:29" ht="15.75" x14ac:dyDescent="0.25">
      <c r="A612" s="11">
        <v>2023</v>
      </c>
      <c r="B612" s="17">
        <f t="shared" ref="B612:S612" si="19">AVERAGE(B133:B144)</f>
        <v>8.2307416666666668</v>
      </c>
      <c r="C612" s="17">
        <f t="shared" si="19"/>
        <v>8.2370000000000001</v>
      </c>
      <c r="D612" s="17">
        <f t="shared" si="19"/>
        <v>8.4180416666666673</v>
      </c>
      <c r="E612" s="17">
        <f t="shared" si="19"/>
        <v>8.4501583333333325</v>
      </c>
      <c r="F612" s="17">
        <f t="shared" si="19"/>
        <v>8.2442166666666683</v>
      </c>
      <c r="G612" s="17">
        <f t="shared" si="19"/>
        <v>8.2606750000000009</v>
      </c>
      <c r="H612" s="17">
        <f t="shared" si="19"/>
        <v>8.4389583333333338</v>
      </c>
      <c r="I612" s="17">
        <f t="shared" si="19"/>
        <v>8.2793333333333337</v>
      </c>
      <c r="J612" s="17">
        <f t="shared" si="19"/>
        <v>8.236816666666666</v>
      </c>
      <c r="K612" s="52">
        <f t="shared" si="19"/>
        <v>8.2732833333333335</v>
      </c>
      <c r="L612" s="17">
        <f t="shared" si="19"/>
        <v>9.0259583333333335</v>
      </c>
      <c r="M612" s="17">
        <f t="shared" si="19"/>
        <v>8.1697500000000005</v>
      </c>
      <c r="N612" s="17">
        <f t="shared" si="19"/>
        <v>8.186066666666667</v>
      </c>
      <c r="O612" s="17">
        <f t="shared" si="19"/>
        <v>8.3700666666666663</v>
      </c>
      <c r="P612" s="17">
        <f t="shared" si="19"/>
        <v>8.2117166666666659</v>
      </c>
      <c r="Q612" s="17">
        <f t="shared" si="19"/>
        <v>8.9647666666666677</v>
      </c>
      <c r="R612" s="17">
        <f t="shared" si="19"/>
        <v>9.5741833333333339</v>
      </c>
      <c r="S612" s="17">
        <f t="shared" si="19"/>
        <v>7.9708666666666668</v>
      </c>
      <c r="T612" s="51">
        <f>SUM(T133:T144)</f>
        <v>357.33618100000001</v>
      </c>
      <c r="U612" s="51">
        <f>SUM(U133:U144)</f>
        <v>142.03263249999998</v>
      </c>
      <c r="V612" s="51">
        <f>SUM(V133:V144)</f>
        <v>50.187500000000007</v>
      </c>
      <c r="W612" s="51">
        <f>SUM(W133:W144)</f>
        <v>4.0622309999999988</v>
      </c>
      <c r="X612" s="51">
        <f>SUM(X133:X144)</f>
        <v>14.222225463999999</v>
      </c>
      <c r="Y612" s="51"/>
      <c r="Z612" s="17"/>
      <c r="AA612" s="17"/>
      <c r="AB612" s="48">
        <f>AVERAGE(AB133:AB144)</f>
        <v>8.2861591379051927</v>
      </c>
      <c r="AC612" s="45">
        <f>AVERAGE(AC133:AC144)</f>
        <v>8.2423817745803341</v>
      </c>
    </row>
    <row r="613" spans="1:29" ht="15.75" x14ac:dyDescent="0.25">
      <c r="A613" s="11">
        <v>2024</v>
      </c>
      <c r="B613" s="17">
        <f t="shared" ref="B613:S613" si="20">AVERAGE(B145:B156)</f>
        <v>8.5960000000000019</v>
      </c>
      <c r="C613" s="17">
        <f t="shared" si="20"/>
        <v>8.602249999999998</v>
      </c>
      <c r="D613" s="17">
        <f t="shared" si="20"/>
        <v>8.7833083333333324</v>
      </c>
      <c r="E613" s="17">
        <f t="shared" si="20"/>
        <v>8.8154249999999994</v>
      </c>
      <c r="F613" s="17">
        <f t="shared" si="20"/>
        <v>8.6094833333333352</v>
      </c>
      <c r="G613" s="17">
        <f t="shared" si="20"/>
        <v>8.6259249999999987</v>
      </c>
      <c r="H613" s="17">
        <f t="shared" si="20"/>
        <v>8.8042083333333334</v>
      </c>
      <c r="I613" s="17">
        <f t="shared" si="20"/>
        <v>8.6457249999999988</v>
      </c>
      <c r="J613" s="17">
        <f t="shared" si="20"/>
        <v>8.6020833333333329</v>
      </c>
      <c r="K613" s="52">
        <f t="shared" si="20"/>
        <v>8.6396999999999995</v>
      </c>
      <c r="L613" s="17">
        <f t="shared" si="20"/>
        <v>9.3912083333333332</v>
      </c>
      <c r="M613" s="17">
        <f t="shared" si="20"/>
        <v>8.5317166666666679</v>
      </c>
      <c r="N613" s="17">
        <f t="shared" si="20"/>
        <v>8.5480083333333319</v>
      </c>
      <c r="O613" s="17">
        <f t="shared" si="20"/>
        <v>8.7320333333333338</v>
      </c>
      <c r="P613" s="17">
        <f t="shared" si="20"/>
        <v>8.5748000000000015</v>
      </c>
      <c r="Q613" s="17">
        <f t="shared" si="20"/>
        <v>9.3267333333333333</v>
      </c>
      <c r="R613" s="17">
        <f t="shared" si="20"/>
        <v>9.9370583333333347</v>
      </c>
      <c r="S613" s="17">
        <f t="shared" si="20"/>
        <v>8.3250666666666664</v>
      </c>
      <c r="T613" s="51">
        <f>SUM(T145:T156)</f>
        <v>358.26753550000001</v>
      </c>
      <c r="U613" s="51">
        <f>SUM(U145:U156)</f>
        <v>142.42176299999997</v>
      </c>
      <c r="V613" s="51">
        <f>SUM(V145:V156)</f>
        <v>50.325000000000003</v>
      </c>
      <c r="W613" s="51">
        <f>SUM(W145:W156)</f>
        <v>4.0733603999999994</v>
      </c>
      <c r="X613" s="51">
        <f>SUM(X145:X156)</f>
        <v>14.245965463999999</v>
      </c>
      <c r="Y613" s="51"/>
      <c r="Z613" s="17"/>
      <c r="AA613" s="17"/>
      <c r="AB613" s="48">
        <f>AVERAGE(AB145:AB156)</f>
        <v>8.6515129837600266</v>
      </c>
      <c r="AC613" s="45">
        <f>AVERAGE(AC145:AC156)</f>
        <v>8.604506235011991</v>
      </c>
    </row>
    <row r="614" spans="1:29" ht="15.75" x14ac:dyDescent="0.25">
      <c r="A614" s="11">
        <v>2025</v>
      </c>
      <c r="B614" s="17">
        <f t="shared" ref="B614:S614" si="21">AVERAGE(B157:B168)</f>
        <v>8.9594750000000012</v>
      </c>
      <c r="C614" s="17">
        <f t="shared" si="21"/>
        <v>8.9657583333333335</v>
      </c>
      <c r="D614" s="17">
        <f t="shared" si="21"/>
        <v>9.1467833333333335</v>
      </c>
      <c r="E614" s="17">
        <f t="shared" si="21"/>
        <v>9.1789083333333323</v>
      </c>
      <c r="F614" s="17">
        <f t="shared" si="21"/>
        <v>8.9729583333333345</v>
      </c>
      <c r="G614" s="17">
        <f t="shared" si="21"/>
        <v>8.9894333333333325</v>
      </c>
      <c r="H614" s="17">
        <f t="shared" si="21"/>
        <v>9.1677083333333353</v>
      </c>
      <c r="I614" s="17">
        <f t="shared" si="21"/>
        <v>9.0103500000000007</v>
      </c>
      <c r="J614" s="17">
        <f t="shared" si="21"/>
        <v>8.9655583333333322</v>
      </c>
      <c r="K614" s="52">
        <f t="shared" si="21"/>
        <v>9.004291666666667</v>
      </c>
      <c r="L614" s="17">
        <f t="shared" si="21"/>
        <v>9.7547083333333333</v>
      </c>
      <c r="M614" s="17">
        <f t="shared" si="21"/>
        <v>8.8919333333333324</v>
      </c>
      <c r="N614" s="17">
        <f t="shared" si="21"/>
        <v>8.9082500000000007</v>
      </c>
      <c r="O614" s="17">
        <f t="shared" si="21"/>
        <v>9.0922499999999999</v>
      </c>
      <c r="P614" s="17">
        <f t="shared" si="21"/>
        <v>8.9361333333333324</v>
      </c>
      <c r="Q614" s="17">
        <f t="shared" si="21"/>
        <v>9.6869499999999977</v>
      </c>
      <c r="R614" s="17">
        <f t="shared" si="21"/>
        <v>10.298166666666667</v>
      </c>
      <c r="S614" s="17">
        <f t="shared" si="21"/>
        <v>8.6775416666666683</v>
      </c>
      <c r="T614" s="51">
        <f>SUM(T157:T168)</f>
        <v>357.33618100000001</v>
      </c>
      <c r="U614" s="51">
        <f>SUM(U157:U168)</f>
        <v>142.03263249999998</v>
      </c>
      <c r="V614" s="51">
        <f>SUM(V157:V168)</f>
        <v>50.187500000000007</v>
      </c>
      <c r="W614" s="51">
        <f>SUM(W157:W168)</f>
        <v>4.0622309999999988</v>
      </c>
      <c r="X614" s="51">
        <f>SUM(X157:X168)</f>
        <v>14.222225463999999</v>
      </c>
      <c r="Y614" s="51"/>
      <c r="Z614" s="17"/>
      <c r="AA614" s="17"/>
      <c r="AB614" s="48">
        <f>AVERAGE(AB157:AB168)</f>
        <v>9.0150935700811736</v>
      </c>
      <c r="AC614" s="45">
        <f>AVERAGE(AC157:AC168)</f>
        <v>8.9648893285371702</v>
      </c>
    </row>
    <row r="615" spans="1:29" ht="15.75" x14ac:dyDescent="0.25">
      <c r="A615" s="11">
        <v>2026</v>
      </c>
      <c r="B615" s="17">
        <f t="shared" ref="B615:S615" si="22">AVERAGE(B169:B180)</f>
        <v>9.282375</v>
      </c>
      <c r="C615" s="17">
        <f t="shared" si="22"/>
        <v>9.2886333333333333</v>
      </c>
      <c r="D615" s="17">
        <f t="shared" si="22"/>
        <v>9.4696833333333341</v>
      </c>
      <c r="E615" s="17">
        <f t="shared" si="22"/>
        <v>9.5018000000000011</v>
      </c>
      <c r="F615" s="17">
        <f t="shared" si="22"/>
        <v>9.2958749999999988</v>
      </c>
      <c r="G615" s="17">
        <f t="shared" si="22"/>
        <v>9.3123166666666677</v>
      </c>
      <c r="H615" s="17">
        <f t="shared" si="22"/>
        <v>9.4905833333333316</v>
      </c>
      <c r="I615" s="17">
        <f t="shared" si="22"/>
        <v>9.3342333333333336</v>
      </c>
      <c r="J615" s="17">
        <f t="shared" si="22"/>
        <v>9.288475</v>
      </c>
      <c r="K615" s="52">
        <f t="shared" si="22"/>
        <v>9.3281999999999989</v>
      </c>
      <c r="L615" s="17">
        <f t="shared" si="22"/>
        <v>10.077583333333335</v>
      </c>
      <c r="M615" s="17">
        <f t="shared" si="22"/>
        <v>9.2119083333333336</v>
      </c>
      <c r="N615" s="17">
        <f t="shared" si="22"/>
        <v>9.2282249999999983</v>
      </c>
      <c r="O615" s="17">
        <f t="shared" si="22"/>
        <v>9.412250000000002</v>
      </c>
      <c r="P615" s="17">
        <f t="shared" si="22"/>
        <v>9.2570916666666694</v>
      </c>
      <c r="Q615" s="17">
        <f t="shared" si="22"/>
        <v>10.00695</v>
      </c>
      <c r="R615" s="17">
        <f t="shared" si="22"/>
        <v>10.61895</v>
      </c>
      <c r="S615" s="17">
        <f t="shared" si="22"/>
        <v>8.9906583333333323</v>
      </c>
      <c r="T615" s="51">
        <f>SUM(T169:T180)</f>
        <v>357.33618100000001</v>
      </c>
      <c r="U615" s="51">
        <f>SUM(U169:U180)</f>
        <v>142.03263249999998</v>
      </c>
      <c r="V615" s="51">
        <f>SUM(V169:V180)</f>
        <v>50.187500000000007</v>
      </c>
      <c r="W615" s="51">
        <f>SUM(W169:W180)</f>
        <v>4.0622309999999988</v>
      </c>
      <c r="X615" s="51">
        <f>SUM(X169:X180)</f>
        <v>14.222225463999999</v>
      </c>
      <c r="Y615" s="51"/>
      <c r="Z615" s="17"/>
      <c r="AA615" s="17"/>
      <c r="AB615" s="48">
        <f>AVERAGE(AB169:AB180)</f>
        <v>9.3380715838892616</v>
      </c>
      <c r="AC615" s="45">
        <f>AVERAGE(AC169:AC180)</f>
        <v>9.2850128297362104</v>
      </c>
    </row>
    <row r="616" spans="1:29" ht="15.75" x14ac:dyDescent="0.25">
      <c r="A616" s="11">
        <v>2027</v>
      </c>
      <c r="B616" s="17">
        <f t="shared" ref="B616:S616" si="23">AVERAGE(B181:B192)</f>
        <v>9.6001749999999983</v>
      </c>
      <c r="C616" s="17">
        <f t="shared" si="23"/>
        <v>9.6064333333333369</v>
      </c>
      <c r="D616" s="17">
        <f t="shared" si="23"/>
        <v>9.7874749999999988</v>
      </c>
      <c r="E616" s="17">
        <f t="shared" si="23"/>
        <v>9.819583333333334</v>
      </c>
      <c r="F616" s="17">
        <f t="shared" si="23"/>
        <v>9.613666666666667</v>
      </c>
      <c r="G616" s="17">
        <f t="shared" si="23"/>
        <v>9.6301166666666695</v>
      </c>
      <c r="H616" s="17">
        <f t="shared" si="23"/>
        <v>9.8084000000000007</v>
      </c>
      <c r="I616" s="17">
        <f t="shared" si="23"/>
        <v>9.6530333333333331</v>
      </c>
      <c r="J616" s="17">
        <f t="shared" si="23"/>
        <v>9.6062666666666665</v>
      </c>
      <c r="K616" s="52">
        <f t="shared" si="23"/>
        <v>9.646983333333333</v>
      </c>
      <c r="L616" s="17">
        <f t="shared" si="23"/>
        <v>10.3954</v>
      </c>
      <c r="M616" s="17">
        <f t="shared" si="23"/>
        <v>9.526858333333335</v>
      </c>
      <c r="N616" s="17">
        <f t="shared" si="23"/>
        <v>9.543191666666667</v>
      </c>
      <c r="O616" s="17">
        <f t="shared" si="23"/>
        <v>9.7271750000000008</v>
      </c>
      <c r="P616" s="17">
        <f t="shared" si="23"/>
        <v>9.5730000000000004</v>
      </c>
      <c r="Q616" s="17">
        <f t="shared" si="23"/>
        <v>10.321875</v>
      </c>
      <c r="R616" s="17">
        <f t="shared" si="23"/>
        <v>10.934683333333334</v>
      </c>
      <c r="S616" s="17">
        <f t="shared" si="23"/>
        <v>9.2988333333333326</v>
      </c>
      <c r="T616" s="51">
        <f>SUM(T181:T192)</f>
        <v>357.33618100000001</v>
      </c>
      <c r="U616" s="51">
        <f>SUM(U181:U192)</f>
        <v>142.03263249999998</v>
      </c>
      <c r="V616" s="51">
        <f>SUM(V181:V192)</f>
        <v>50.187500000000007</v>
      </c>
      <c r="W616" s="51">
        <f>SUM(W181:W192)</f>
        <v>4.0622309999999988</v>
      </c>
      <c r="X616" s="51">
        <f>SUM(X181:X192)</f>
        <v>14.222225463999999</v>
      </c>
      <c r="Y616" s="51"/>
      <c r="Z616" s="17"/>
      <c r="AA616" s="17"/>
      <c r="AB616" s="48">
        <f>AVERAGE(AB181:AB192)</f>
        <v>9.6559483300677478</v>
      </c>
      <c r="AC616" s="45">
        <f>AVERAGE(AC181:AC192)</f>
        <v>9.6000932254196645</v>
      </c>
    </row>
    <row r="617" spans="1:29" ht="15.75" x14ac:dyDescent="0.25">
      <c r="A617" s="11">
        <v>2028</v>
      </c>
      <c r="B617" s="17">
        <f t="shared" ref="B617:S617" si="24">AVERAGE(B193:B204)</f>
        <v>9.9200499999999998</v>
      </c>
      <c r="C617" s="17">
        <f t="shared" si="24"/>
        <v>9.9263250000000003</v>
      </c>
      <c r="D617" s="17">
        <f t="shared" si="24"/>
        <v>10.107349999999999</v>
      </c>
      <c r="E617" s="17">
        <f t="shared" si="24"/>
        <v>10.139474999999999</v>
      </c>
      <c r="F617" s="17">
        <f t="shared" si="24"/>
        <v>9.9335333333333331</v>
      </c>
      <c r="G617" s="17">
        <f t="shared" si="24"/>
        <v>9.9499916666666657</v>
      </c>
      <c r="H617" s="17">
        <f t="shared" si="24"/>
        <v>10.128266666666667</v>
      </c>
      <c r="I617" s="17">
        <f t="shared" si="24"/>
        <v>9.9738999999999987</v>
      </c>
      <c r="J617" s="17">
        <f t="shared" si="24"/>
        <v>9.9261333333333326</v>
      </c>
      <c r="K617" s="52">
        <f t="shared" si="24"/>
        <v>9.9678500000000003</v>
      </c>
      <c r="L617" s="17">
        <f t="shared" si="24"/>
        <v>10.715266666666666</v>
      </c>
      <c r="M617" s="17">
        <f t="shared" si="24"/>
        <v>9.8438583333333334</v>
      </c>
      <c r="N617" s="17">
        <f t="shared" si="24"/>
        <v>9.8601916666666636</v>
      </c>
      <c r="O617" s="17">
        <f t="shared" si="24"/>
        <v>10.044183333333335</v>
      </c>
      <c r="P617" s="17">
        <f t="shared" si="24"/>
        <v>9.8909833333333328</v>
      </c>
      <c r="Q617" s="17">
        <f t="shared" si="24"/>
        <v>10.638883333333332</v>
      </c>
      <c r="R617" s="17">
        <f t="shared" si="24"/>
        <v>11.252491666666666</v>
      </c>
      <c r="S617" s="17">
        <f t="shared" si="24"/>
        <v>9.6090083333333336</v>
      </c>
      <c r="T617" s="51">
        <f>SUM(T193:T204)</f>
        <v>358.26753550000001</v>
      </c>
      <c r="U617" s="51">
        <f>SUM(U193:U204)</f>
        <v>142.42176299999997</v>
      </c>
      <c r="V617" s="51">
        <f>SUM(V193:V204)</f>
        <v>50.325000000000003</v>
      </c>
      <c r="W617" s="51">
        <f>SUM(W193:W204)</f>
        <v>4.0733603999999994</v>
      </c>
      <c r="X617" s="51">
        <f>SUM(X193:X204)</f>
        <v>14.245965463999999</v>
      </c>
      <c r="Y617" s="51"/>
      <c r="Z617" s="17"/>
      <c r="AA617" s="17"/>
      <c r="AB617" s="48">
        <f>AVERAGE(AB193:AB204)</f>
        <v>9.9759085498968911</v>
      </c>
      <c r="AC617" s="45">
        <f>AVERAGE(AC193:AC204)</f>
        <v>9.9172370503597129</v>
      </c>
    </row>
    <row r="618" spans="1:29" ht="15.75" x14ac:dyDescent="0.25">
      <c r="A618" s="11">
        <v>2029</v>
      </c>
      <c r="B618" s="17">
        <f t="shared" ref="B618:S618" si="25">AVERAGE(B205:B216)</f>
        <v>10.249949999999998</v>
      </c>
      <c r="C618" s="17">
        <f t="shared" si="25"/>
        <v>10.256191666666666</v>
      </c>
      <c r="D618" s="17">
        <f t="shared" si="25"/>
        <v>10.437241666666667</v>
      </c>
      <c r="E618" s="17">
        <f t="shared" si="25"/>
        <v>10.469341666666667</v>
      </c>
      <c r="F618" s="17">
        <f t="shared" si="25"/>
        <v>10.263416666666668</v>
      </c>
      <c r="G618" s="17">
        <f t="shared" si="25"/>
        <v>10.279875000000001</v>
      </c>
      <c r="H618" s="17">
        <f t="shared" si="25"/>
        <v>10.458166666666665</v>
      </c>
      <c r="I618" s="17">
        <f t="shared" si="25"/>
        <v>10.304799999999998</v>
      </c>
      <c r="J618" s="17">
        <f t="shared" si="25"/>
        <v>10.256016666666666</v>
      </c>
      <c r="K618" s="52">
        <f t="shared" si="25"/>
        <v>10.298766666666667</v>
      </c>
      <c r="L618" s="17">
        <f t="shared" si="25"/>
        <v>11.045166666666667</v>
      </c>
      <c r="M618" s="17">
        <f t="shared" si="25"/>
        <v>10.170783333333333</v>
      </c>
      <c r="N618" s="17">
        <f t="shared" si="25"/>
        <v>10.187091666666666</v>
      </c>
      <c r="O618" s="17">
        <f t="shared" si="25"/>
        <v>10.371100000000002</v>
      </c>
      <c r="P618" s="17">
        <f t="shared" si="25"/>
        <v>10.218908333333333</v>
      </c>
      <c r="Q618" s="17">
        <f t="shared" si="25"/>
        <v>10.9658</v>
      </c>
      <c r="R618" s="17">
        <f t="shared" si="25"/>
        <v>11.580216666666667</v>
      </c>
      <c r="S618" s="17">
        <f t="shared" si="25"/>
        <v>9.928899999999997</v>
      </c>
      <c r="T618" s="51">
        <f>SUM(T205:T216)</f>
        <v>357.33618100000001</v>
      </c>
      <c r="U618" s="51">
        <f>SUM(U205:U216)</f>
        <v>142.03263249999998</v>
      </c>
      <c r="V618" s="51">
        <f>SUM(V205:V216)</f>
        <v>50.187500000000007</v>
      </c>
      <c r="W618" s="51">
        <f>SUM(W205:W216)</f>
        <v>4.0622309999999988</v>
      </c>
      <c r="X618" s="51">
        <f>SUM(X205:X216)</f>
        <v>14.222225463999999</v>
      </c>
      <c r="Y618" s="51"/>
      <c r="Z618" s="17"/>
      <c r="AA618" s="17"/>
      <c r="AB618" s="48">
        <f>AVERAGE(AB205:AB216)</f>
        <v>10.305872434511729</v>
      </c>
      <c r="AC618" s="45">
        <f>AVERAGE(AC205:AC216)</f>
        <v>10.244300719424459</v>
      </c>
    </row>
    <row r="619" spans="1:29" ht="15.75" x14ac:dyDescent="0.25">
      <c r="A619" s="11">
        <v>2030</v>
      </c>
      <c r="B619" s="17">
        <f t="shared" ref="B619:S619" si="26">AVERAGE(B217:B228)</f>
        <v>10.54735</v>
      </c>
      <c r="C619" s="17">
        <f t="shared" si="26"/>
        <v>10.553625</v>
      </c>
      <c r="D619" s="17">
        <f t="shared" si="26"/>
        <v>10.734658333333334</v>
      </c>
      <c r="E619" s="17">
        <f t="shared" si="26"/>
        <v>10.766783333333334</v>
      </c>
      <c r="F619" s="17">
        <f t="shared" si="26"/>
        <v>10.560841666666667</v>
      </c>
      <c r="G619" s="17">
        <f t="shared" si="26"/>
        <v>10.577283333333332</v>
      </c>
      <c r="H619" s="17">
        <f t="shared" si="26"/>
        <v>10.755575</v>
      </c>
      <c r="I619" s="17">
        <f t="shared" si="26"/>
        <v>10.603158333333333</v>
      </c>
      <c r="J619" s="17">
        <f t="shared" si="26"/>
        <v>10.553441666666666</v>
      </c>
      <c r="K619" s="52">
        <f t="shared" si="26"/>
        <v>10.597099999999999</v>
      </c>
      <c r="L619" s="17">
        <f t="shared" si="26"/>
        <v>11.342575000000002</v>
      </c>
      <c r="M619" s="17">
        <f t="shared" si="26"/>
        <v>10.465541666666667</v>
      </c>
      <c r="N619" s="17">
        <f t="shared" si="26"/>
        <v>10.481850000000001</v>
      </c>
      <c r="O619" s="17">
        <f t="shared" si="26"/>
        <v>10.665833333333333</v>
      </c>
      <c r="P619" s="17">
        <f t="shared" si="26"/>
        <v>10.514541666666666</v>
      </c>
      <c r="Q619" s="17">
        <f t="shared" si="26"/>
        <v>11.260533333333333</v>
      </c>
      <c r="R619" s="17">
        <f t="shared" si="26"/>
        <v>11.875683333333333</v>
      </c>
      <c r="S619" s="17">
        <f t="shared" si="26"/>
        <v>10.217308333333333</v>
      </c>
      <c r="T619" s="51">
        <f>SUM(T217:T228)</f>
        <v>357.33618100000001</v>
      </c>
      <c r="U619" s="51">
        <f>SUM(U217:U228)</f>
        <v>142.03263249999998</v>
      </c>
      <c r="V619" s="51">
        <f>SUM(V217:V228)</f>
        <v>50.187500000000007</v>
      </c>
      <c r="W619" s="51">
        <f>SUM(W217:W228)</f>
        <v>4.0622309999999988</v>
      </c>
      <c r="X619" s="51">
        <f>SUM(X217:X228)</f>
        <v>14.222225463999999</v>
      </c>
      <c r="Y619" s="51"/>
      <c r="Z619" s="17"/>
      <c r="AA619" s="17"/>
      <c r="AB619" s="48">
        <f>AVERAGE(AB217:AB228)</f>
        <v>10.603373289433604</v>
      </c>
      <c r="AC619" s="45">
        <f>AVERAGE(AC217:AC228)</f>
        <v>10.539173621103117</v>
      </c>
    </row>
    <row r="620" spans="1:29" ht="15.75" x14ac:dyDescent="0.25">
      <c r="A620" s="11">
        <v>2031</v>
      </c>
      <c r="B620" s="17">
        <f t="shared" ref="B620:S620" si="27">AVERAGE(B229:B240)</f>
        <v>10.997008333333333</v>
      </c>
      <c r="C620" s="17">
        <f t="shared" si="27"/>
        <v>11.003275000000002</v>
      </c>
      <c r="D620" s="17">
        <f t="shared" si="27"/>
        <v>11.184325000000001</v>
      </c>
      <c r="E620" s="17">
        <f t="shared" si="27"/>
        <v>11.216416666666669</v>
      </c>
      <c r="F620" s="17">
        <f t="shared" si="27"/>
        <v>11.010483333333333</v>
      </c>
      <c r="G620" s="17">
        <f t="shared" si="27"/>
        <v>11.026949999999999</v>
      </c>
      <c r="H620" s="17">
        <f t="shared" si="27"/>
        <v>11.205216666666667</v>
      </c>
      <c r="I620" s="17">
        <f t="shared" si="27"/>
        <v>11.0542</v>
      </c>
      <c r="J620" s="17">
        <f t="shared" si="27"/>
        <v>11.003083333333334</v>
      </c>
      <c r="K620" s="52">
        <f t="shared" si="27"/>
        <v>11.04815</v>
      </c>
      <c r="L620" s="17">
        <f t="shared" si="27"/>
        <v>11.792216666666668</v>
      </c>
      <c r="M620" s="17">
        <f t="shared" si="27"/>
        <v>10.911149999999999</v>
      </c>
      <c r="N620" s="17">
        <f t="shared" si="27"/>
        <v>10.927441666666667</v>
      </c>
      <c r="O620" s="17">
        <f t="shared" si="27"/>
        <v>11.111458333333331</v>
      </c>
      <c r="P620" s="17">
        <f t="shared" si="27"/>
        <v>10.961525</v>
      </c>
      <c r="Q620" s="17">
        <f t="shared" si="27"/>
        <v>11.706158333333333</v>
      </c>
      <c r="R620" s="17">
        <f t="shared" si="27"/>
        <v>12.322408333333334</v>
      </c>
      <c r="S620" s="17">
        <f t="shared" si="27"/>
        <v>10.653333333333331</v>
      </c>
      <c r="T620" s="51">
        <f>SUM(T229:T240)</f>
        <v>357.33618100000001</v>
      </c>
      <c r="U620" s="51">
        <f>SUM(U229:U240)</f>
        <v>142.03263249999998</v>
      </c>
      <c r="V620" s="51">
        <f>SUM(V229:V240)</f>
        <v>50.187500000000007</v>
      </c>
      <c r="W620" s="51">
        <f>SUM(W229:W240)</f>
        <v>4.0622309999999988</v>
      </c>
      <c r="X620" s="51">
        <f>SUM(X229:X240)</f>
        <v>14.222225463999999</v>
      </c>
      <c r="Y620" s="51"/>
      <c r="Z620" s="17"/>
      <c r="AA620" s="17"/>
      <c r="AB620" s="48">
        <f>AVERAGE(AB229:AB240)</f>
        <v>11.053138371074537</v>
      </c>
      <c r="AC620" s="45">
        <f>AVERAGE(AC229:AC240)</f>
        <v>10.984984952038369</v>
      </c>
    </row>
    <row r="621" spans="1:29" ht="15.75" x14ac:dyDescent="0.25">
      <c r="A621" s="11">
        <v>2032</v>
      </c>
      <c r="B621" s="17">
        <f t="shared" ref="B621:S621" si="28">AVERAGE(B241:B252)</f>
        <v>11.423291666666666</v>
      </c>
      <c r="C621" s="17">
        <f t="shared" si="28"/>
        <v>11.429575</v>
      </c>
      <c r="D621" s="17">
        <f t="shared" si="28"/>
        <v>11.610608333333333</v>
      </c>
      <c r="E621" s="17">
        <f t="shared" si="28"/>
        <v>11.642725</v>
      </c>
      <c r="F621" s="17">
        <f t="shared" si="28"/>
        <v>11.436791666666666</v>
      </c>
      <c r="G621" s="17">
        <f t="shared" si="28"/>
        <v>11.453249999999999</v>
      </c>
      <c r="H621" s="17">
        <f t="shared" si="28"/>
        <v>11.631525000000002</v>
      </c>
      <c r="I621" s="17">
        <f t="shared" si="28"/>
        <v>11.481808333333333</v>
      </c>
      <c r="J621" s="17">
        <f t="shared" si="28"/>
        <v>11.429391666666668</v>
      </c>
      <c r="K621" s="52">
        <f t="shared" si="28"/>
        <v>11.475791666666666</v>
      </c>
      <c r="L621" s="17">
        <f t="shared" si="28"/>
        <v>12.218525</v>
      </c>
      <c r="M621" s="17">
        <f t="shared" si="28"/>
        <v>11.333599999999999</v>
      </c>
      <c r="N621" s="17">
        <f t="shared" si="28"/>
        <v>11.349924999999999</v>
      </c>
      <c r="O621" s="17">
        <f t="shared" si="28"/>
        <v>11.533916666666665</v>
      </c>
      <c r="P621" s="17">
        <f t="shared" si="28"/>
        <v>11.385283333333334</v>
      </c>
      <c r="Q621" s="17">
        <f t="shared" si="28"/>
        <v>12.128616666666666</v>
      </c>
      <c r="R621" s="17">
        <f t="shared" si="28"/>
        <v>12.745933333333335</v>
      </c>
      <c r="S621" s="17">
        <f t="shared" si="28"/>
        <v>11.066725</v>
      </c>
      <c r="T621" s="51">
        <f>SUM(T241:T252)</f>
        <v>358.26753550000001</v>
      </c>
      <c r="U621" s="51">
        <f>SUM(U241:U252)</f>
        <v>142.42176299999997</v>
      </c>
      <c r="V621" s="51">
        <f>SUM(V241:V252)</f>
        <v>50.325000000000003</v>
      </c>
      <c r="W621" s="51">
        <f>SUM(W241:W252)</f>
        <v>4.0733603999999994</v>
      </c>
      <c r="X621" s="51">
        <f>SUM(X241:X252)</f>
        <v>14.245965463999999</v>
      </c>
      <c r="Y621" s="51"/>
      <c r="Z621" s="17"/>
      <c r="AA621" s="17"/>
      <c r="AB621" s="48">
        <f>AVERAGE(AB241:AB252)</f>
        <v>11.479545383315964</v>
      </c>
      <c r="AC621" s="45">
        <f>AVERAGE(AC241:AC252)</f>
        <v>11.407630335731413</v>
      </c>
    </row>
    <row r="622" spans="1:29" ht="15.75" x14ac:dyDescent="0.25">
      <c r="A622" s="11">
        <v>2033</v>
      </c>
      <c r="B622" s="17">
        <f t="shared" ref="B622:S622" si="29">AVERAGE(B253:B264)</f>
        <v>11.866158333333336</v>
      </c>
      <c r="C622" s="17">
        <f t="shared" si="29"/>
        <v>11.872433333333333</v>
      </c>
      <c r="D622" s="17">
        <f t="shared" si="29"/>
        <v>12.053475000000001</v>
      </c>
      <c r="E622" s="17">
        <f t="shared" si="29"/>
        <v>12.085583333333334</v>
      </c>
      <c r="F622" s="17">
        <f t="shared" si="29"/>
        <v>11.879641666666666</v>
      </c>
      <c r="G622" s="17">
        <f t="shared" si="29"/>
        <v>11.896100000000002</v>
      </c>
      <c r="H622" s="17">
        <f t="shared" si="29"/>
        <v>12.074383333333335</v>
      </c>
      <c r="I622" s="17">
        <f t="shared" si="29"/>
        <v>11.926033333333336</v>
      </c>
      <c r="J622" s="17">
        <f t="shared" si="29"/>
        <v>11.872241666666666</v>
      </c>
      <c r="K622" s="52">
        <f t="shared" si="29"/>
        <v>11.920000000000002</v>
      </c>
      <c r="L622" s="17">
        <f t="shared" si="29"/>
        <v>12.661383333333333</v>
      </c>
      <c r="M622" s="17">
        <f t="shared" si="29"/>
        <v>11.772466666666666</v>
      </c>
      <c r="N622" s="17">
        <f t="shared" si="29"/>
        <v>11.788766666666666</v>
      </c>
      <c r="O622" s="17">
        <f t="shared" si="29"/>
        <v>11.972775</v>
      </c>
      <c r="P622" s="17">
        <f t="shared" si="29"/>
        <v>11.825516666666667</v>
      </c>
      <c r="Q622" s="17">
        <f t="shared" si="29"/>
        <v>12.567475</v>
      </c>
      <c r="R622" s="17">
        <f t="shared" si="29"/>
        <v>13.185916666666666</v>
      </c>
      <c r="S622" s="17">
        <f t="shared" si="29"/>
        <v>11.496158333333334</v>
      </c>
      <c r="T622" s="51">
        <f>SUM(T253:T264)</f>
        <v>357.33618100000001</v>
      </c>
      <c r="U622" s="51">
        <f>SUM(U253:U264)</f>
        <v>142.03263249999998</v>
      </c>
      <c r="V622" s="51">
        <f>SUM(V253:V264)</f>
        <v>50.187500000000007</v>
      </c>
      <c r="W622" s="51">
        <f>SUM(W253:W264)</f>
        <v>4.0622309999999988</v>
      </c>
      <c r="X622" s="51">
        <f>SUM(X253:X264)</f>
        <v>14.222225463999999</v>
      </c>
      <c r="Y622" s="51"/>
      <c r="Z622" s="17"/>
      <c r="AA622" s="17"/>
      <c r="AB622" s="48">
        <f>AVERAGE(AB253:AB264)</f>
        <v>11.922515087847399</v>
      </c>
      <c r="AC622" s="45">
        <f>AVERAGE(AC253:AC264)</f>
        <v>11.846688429256597</v>
      </c>
    </row>
    <row r="623" spans="1:29" ht="15.75" x14ac:dyDescent="0.25">
      <c r="A623" s="11">
        <v>2034</v>
      </c>
      <c r="B623" s="17">
        <f t="shared" ref="B623:S623" si="30">AVERAGE(B265:B276)</f>
        <v>12.3262</v>
      </c>
      <c r="C623" s="17">
        <f t="shared" si="30"/>
        <v>12.332475000000001</v>
      </c>
      <c r="D623" s="17">
        <f t="shared" si="30"/>
        <v>12.513491666666667</v>
      </c>
      <c r="E623" s="17">
        <f t="shared" si="30"/>
        <v>12.5456</v>
      </c>
      <c r="F623" s="17">
        <f t="shared" si="30"/>
        <v>12.339658333333334</v>
      </c>
      <c r="G623" s="17">
        <f t="shared" si="30"/>
        <v>12.356116666666667</v>
      </c>
      <c r="H623" s="17">
        <f t="shared" si="30"/>
        <v>12.534416666666667</v>
      </c>
      <c r="I623" s="17">
        <f t="shared" si="30"/>
        <v>12.387508333333335</v>
      </c>
      <c r="J623" s="17">
        <f t="shared" si="30"/>
        <v>12.332258333333334</v>
      </c>
      <c r="K623" s="52">
        <f t="shared" si="30"/>
        <v>12.381458333333333</v>
      </c>
      <c r="L623" s="17">
        <f t="shared" si="30"/>
        <v>13.121416666666669</v>
      </c>
      <c r="M623" s="17">
        <f t="shared" si="30"/>
        <v>12.228358333333333</v>
      </c>
      <c r="N623" s="17">
        <f t="shared" si="30"/>
        <v>12.244675000000001</v>
      </c>
      <c r="O623" s="17">
        <f t="shared" si="30"/>
        <v>12.428675</v>
      </c>
      <c r="P623" s="17">
        <f t="shared" si="30"/>
        <v>12.282800000000002</v>
      </c>
      <c r="Q623" s="17">
        <f t="shared" si="30"/>
        <v>13.023375000000001</v>
      </c>
      <c r="R623" s="17">
        <f t="shared" si="30"/>
        <v>13.642941666666665</v>
      </c>
      <c r="S623" s="17">
        <f t="shared" si="30"/>
        <v>11.942233333333332</v>
      </c>
      <c r="T623" s="51">
        <f>SUM(T265:T276)</f>
        <v>357.33618100000001</v>
      </c>
      <c r="U623" s="51">
        <f>SUM(U265:U276)</f>
        <v>142.03263249999998</v>
      </c>
      <c r="V623" s="51">
        <f>SUM(V265:V276)</f>
        <v>50.187500000000007</v>
      </c>
      <c r="W623" s="51">
        <f>SUM(W265:W276)</f>
        <v>4.0622309999999988</v>
      </c>
      <c r="X623" s="51">
        <f>SUM(X265:X276)</f>
        <v>14.222225463999999</v>
      </c>
      <c r="Y623" s="51"/>
      <c r="Z623" s="17"/>
      <c r="AA623" s="17"/>
      <c r="AB623" s="48">
        <f>AVERAGE(AB265:AB276)</f>
        <v>12.382661262629275</v>
      </c>
      <c r="AC623" s="45">
        <f>AVERAGE(AC265:AC276)</f>
        <v>12.302785071942447</v>
      </c>
    </row>
    <row r="624" spans="1:29" ht="15.75" x14ac:dyDescent="0.25">
      <c r="A624" s="11">
        <v>2035</v>
      </c>
      <c r="B624" s="17">
        <f t="shared" ref="B624:S624" si="31">AVERAGE(B277:B288)</f>
        <v>12.804074999999999</v>
      </c>
      <c r="C624" s="17">
        <f t="shared" si="31"/>
        <v>12.810333333333334</v>
      </c>
      <c r="D624" s="17">
        <f t="shared" si="31"/>
        <v>12.991383333333333</v>
      </c>
      <c r="E624" s="17">
        <f t="shared" si="31"/>
        <v>13.023491666666667</v>
      </c>
      <c r="F624" s="17">
        <f t="shared" si="31"/>
        <v>12.817558333333332</v>
      </c>
      <c r="G624" s="17">
        <f t="shared" si="31"/>
        <v>12.834025000000002</v>
      </c>
      <c r="H624" s="17">
        <f t="shared" si="31"/>
        <v>13.012299999999998</v>
      </c>
      <c r="I624" s="17">
        <f t="shared" si="31"/>
        <v>12.866866666666667</v>
      </c>
      <c r="J624" s="17">
        <f t="shared" si="31"/>
        <v>12.810158333333334</v>
      </c>
      <c r="K624" s="52">
        <f t="shared" si="31"/>
        <v>12.860824999999998</v>
      </c>
      <c r="L624" s="17">
        <f t="shared" si="31"/>
        <v>13.599300000000001</v>
      </c>
      <c r="M624" s="17">
        <f t="shared" si="31"/>
        <v>12.701941666666665</v>
      </c>
      <c r="N624" s="17">
        <f t="shared" si="31"/>
        <v>12.718258333333333</v>
      </c>
      <c r="O624" s="17">
        <f t="shared" si="31"/>
        <v>12.902283333333335</v>
      </c>
      <c r="P624" s="17">
        <f t="shared" si="31"/>
        <v>12.757849999999999</v>
      </c>
      <c r="Q624" s="17">
        <f t="shared" si="31"/>
        <v>13.496983333333333</v>
      </c>
      <c r="R624" s="17">
        <f t="shared" si="31"/>
        <v>14.117733333333332</v>
      </c>
      <c r="S624" s="17">
        <f t="shared" si="31"/>
        <v>12.40565</v>
      </c>
      <c r="T624" s="51">
        <f>SUM(T277:T288)</f>
        <v>357.33618100000001</v>
      </c>
      <c r="U624" s="51">
        <f>SUM(U277:U288)</f>
        <v>142.03263249999998</v>
      </c>
      <c r="V624" s="51">
        <f>SUM(V277:V288)</f>
        <v>50.187500000000007</v>
      </c>
      <c r="W624" s="51">
        <f>SUM(W277:W288)</f>
        <v>4.0622309999999988</v>
      </c>
      <c r="X624" s="51">
        <f>SUM(X277:X288)</f>
        <v>14.222225463999999</v>
      </c>
      <c r="Y624" s="51"/>
      <c r="Z624" s="17"/>
      <c r="AA624" s="17"/>
      <c r="AB624" s="48">
        <f>AVERAGE(AB277:AB288)</f>
        <v>12.860667054398087</v>
      </c>
      <c r="AC624" s="45">
        <f>AVERAGE(AC277:AC288)</f>
        <v>12.776589328537172</v>
      </c>
    </row>
    <row r="625" spans="1:29" ht="15.75" x14ac:dyDescent="0.25">
      <c r="A625" s="11">
        <v>2036</v>
      </c>
      <c r="B625" s="17">
        <f t="shared" ref="B625:S625" si="32">AVERAGE(B289:B300)</f>
        <v>13.300500000000001</v>
      </c>
      <c r="C625" s="17">
        <f t="shared" si="32"/>
        <v>13.306791666666667</v>
      </c>
      <c r="D625" s="17">
        <f t="shared" si="32"/>
        <v>13.487825000000003</v>
      </c>
      <c r="E625" s="17">
        <f t="shared" si="32"/>
        <v>13.519925000000001</v>
      </c>
      <c r="F625" s="17">
        <f t="shared" si="32"/>
        <v>13.313991666666665</v>
      </c>
      <c r="G625" s="17">
        <f t="shared" si="32"/>
        <v>13.330449999999999</v>
      </c>
      <c r="H625" s="17">
        <f t="shared" si="32"/>
        <v>13.508741666666666</v>
      </c>
      <c r="I625" s="17">
        <f t="shared" si="32"/>
        <v>13.364833333333335</v>
      </c>
      <c r="J625" s="17">
        <f t="shared" si="32"/>
        <v>13.306591666666668</v>
      </c>
      <c r="K625" s="52">
        <f t="shared" si="32"/>
        <v>13.358808333333334</v>
      </c>
      <c r="L625" s="17">
        <f t="shared" si="32"/>
        <v>14.095741666666667</v>
      </c>
      <c r="M625" s="17">
        <f t="shared" si="32"/>
        <v>13.193925000000002</v>
      </c>
      <c r="N625" s="17">
        <f t="shared" si="32"/>
        <v>13.210233333333333</v>
      </c>
      <c r="O625" s="17">
        <f t="shared" si="32"/>
        <v>13.394233333333332</v>
      </c>
      <c r="P625" s="17">
        <f t="shared" si="32"/>
        <v>13.251325</v>
      </c>
      <c r="Q625" s="17">
        <f t="shared" si="32"/>
        <v>13.988933333333337</v>
      </c>
      <c r="R625" s="17">
        <f t="shared" si="32"/>
        <v>14.610908333333336</v>
      </c>
      <c r="S625" s="17">
        <f t="shared" si="32"/>
        <v>12.887041666666663</v>
      </c>
      <c r="T625" s="51">
        <f>SUM(T289:T300)</f>
        <v>358.26753550000001</v>
      </c>
      <c r="U625" s="51">
        <f>SUM(U289:U300)</f>
        <v>142.42176299999997</v>
      </c>
      <c r="V625" s="51">
        <f>SUM(V289:V300)</f>
        <v>50.325000000000003</v>
      </c>
      <c r="W625" s="51">
        <f>SUM(W289:W300)</f>
        <v>4.0733603999999994</v>
      </c>
      <c r="X625" s="51">
        <f>SUM(X289:X300)</f>
        <v>14.245965463999999</v>
      </c>
      <c r="Y625" s="51"/>
      <c r="Z625" s="17"/>
      <c r="AA625" s="17"/>
      <c r="AB625" s="48">
        <f>AVERAGE(AB289:AB300)</f>
        <v>13.357232080000104</v>
      </c>
      <c r="AC625" s="45">
        <f>AVERAGE(AC289:AC300)</f>
        <v>13.26877458033573</v>
      </c>
    </row>
    <row r="626" spans="1:29" ht="15.75" x14ac:dyDescent="0.25">
      <c r="A626" s="11">
        <v>2037</v>
      </c>
      <c r="B626" s="17">
        <f t="shared" ref="B626:S626" si="33">AVERAGE(B301:B312)</f>
        <v>13.816216666666669</v>
      </c>
      <c r="C626" s="17">
        <f t="shared" si="33"/>
        <v>13.822474999999999</v>
      </c>
      <c r="D626" s="17">
        <f t="shared" si="33"/>
        <v>14.003500000000001</v>
      </c>
      <c r="E626" s="17">
        <f t="shared" si="33"/>
        <v>14.035624999999998</v>
      </c>
      <c r="F626" s="17">
        <f t="shared" si="33"/>
        <v>13.829691666666667</v>
      </c>
      <c r="G626" s="17">
        <f t="shared" si="33"/>
        <v>13.84615</v>
      </c>
      <c r="H626" s="17">
        <f t="shared" si="33"/>
        <v>14.024416666666667</v>
      </c>
      <c r="I626" s="17">
        <f t="shared" si="33"/>
        <v>13.882133333333334</v>
      </c>
      <c r="J626" s="17">
        <f t="shared" si="33"/>
        <v>13.822291666666667</v>
      </c>
      <c r="K626" s="52">
        <f t="shared" si="33"/>
        <v>13.876091666666666</v>
      </c>
      <c r="L626" s="17">
        <f t="shared" si="33"/>
        <v>14.611416666666669</v>
      </c>
      <c r="M626" s="17">
        <f t="shared" si="33"/>
        <v>13.704991666666666</v>
      </c>
      <c r="N626" s="17">
        <f t="shared" si="33"/>
        <v>13.721291666666668</v>
      </c>
      <c r="O626" s="17">
        <f t="shared" si="33"/>
        <v>13.905291666666665</v>
      </c>
      <c r="P626" s="17">
        <f t="shared" si="33"/>
        <v>13.763949999999999</v>
      </c>
      <c r="Q626" s="17">
        <f t="shared" si="33"/>
        <v>14.499991666666668</v>
      </c>
      <c r="R626" s="17">
        <f t="shared" si="33"/>
        <v>15.123241666666665</v>
      </c>
      <c r="S626" s="17">
        <f t="shared" si="33"/>
        <v>13.387108333333336</v>
      </c>
      <c r="T626" s="51">
        <f>SUM(T301:T312)</f>
        <v>357.33618100000001</v>
      </c>
      <c r="U626" s="51">
        <f>SUM(U301:U312)</f>
        <v>142.03263249999998</v>
      </c>
      <c r="V626" s="51">
        <f>SUM(V301:V312)</f>
        <v>50.187500000000007</v>
      </c>
      <c r="W626" s="51">
        <f>SUM(W301:W312)</f>
        <v>4.0622309999999988</v>
      </c>
      <c r="X626" s="51">
        <f>SUM(X301:X312)</f>
        <v>14.222225463999999</v>
      </c>
      <c r="Y626" s="51"/>
      <c r="Z626" s="17"/>
      <c r="AA626" s="17"/>
      <c r="AB626" s="48">
        <f>AVERAGE(AB301:AB312)</f>
        <v>13.873059879871315</v>
      </c>
      <c r="AC626" s="45">
        <f>AVERAGE(AC301:AC312)</f>
        <v>13.780059772182256</v>
      </c>
    </row>
    <row r="627" spans="1:29" ht="15.75" x14ac:dyDescent="0.25">
      <c r="A627" s="11">
        <f t="shared" ref="A627:A650" si="34">A626+1</f>
        <v>2038</v>
      </c>
      <c r="B627" s="17">
        <f t="shared" ref="B627:S627" si="35">AVERAGE(B313:B324)</f>
        <v>14.351925000000001</v>
      </c>
      <c r="C627" s="17">
        <f t="shared" si="35"/>
        <v>14.358175000000001</v>
      </c>
      <c r="D627" s="17">
        <f t="shared" si="35"/>
        <v>14.539216666666666</v>
      </c>
      <c r="E627" s="17">
        <f t="shared" si="35"/>
        <v>14.571325000000002</v>
      </c>
      <c r="F627" s="17">
        <f t="shared" si="35"/>
        <v>14.365383333333334</v>
      </c>
      <c r="G627" s="17">
        <f t="shared" si="35"/>
        <v>14.38185</v>
      </c>
      <c r="H627" s="17">
        <f t="shared" si="35"/>
        <v>14.560116666666667</v>
      </c>
      <c r="I627" s="17">
        <f t="shared" si="35"/>
        <v>14.419516666666667</v>
      </c>
      <c r="J627" s="17">
        <f t="shared" si="35"/>
        <v>14.357983333333332</v>
      </c>
      <c r="K627" s="52">
        <f t="shared" si="35"/>
        <v>14.413483333333332</v>
      </c>
      <c r="L627" s="17">
        <f t="shared" si="35"/>
        <v>15.147116666666667</v>
      </c>
      <c r="M627" s="17">
        <f t="shared" si="35"/>
        <v>14.235883333333332</v>
      </c>
      <c r="N627" s="17">
        <f t="shared" si="35"/>
        <v>14.252174999999999</v>
      </c>
      <c r="O627" s="17">
        <f t="shared" si="35"/>
        <v>14.436175</v>
      </c>
      <c r="P627" s="17">
        <f t="shared" si="35"/>
        <v>14.296483333333335</v>
      </c>
      <c r="Q627" s="17">
        <f t="shared" si="35"/>
        <v>15.030874999999996</v>
      </c>
      <c r="R627" s="17">
        <f t="shared" si="35"/>
        <v>15.655441666666666</v>
      </c>
      <c r="S627" s="17">
        <f t="shared" si="35"/>
        <v>13.906566666666668</v>
      </c>
      <c r="T627" s="51">
        <f>SUM(T313:T324)</f>
        <v>357.33618100000001</v>
      </c>
      <c r="U627" s="51">
        <f>SUM(U313:U324)</f>
        <v>142.03263249999998</v>
      </c>
      <c r="V627" s="51">
        <f>SUM(V313:V324)</f>
        <v>50.187500000000007</v>
      </c>
      <c r="W627" s="51">
        <f>SUM(W313:W324)</f>
        <v>4.0622309999999988</v>
      </c>
      <c r="X627" s="51">
        <f>SUM(X313:X324)</f>
        <v>14.222225463999999</v>
      </c>
      <c r="Y627" s="51"/>
      <c r="Z627" s="17"/>
      <c r="AA627" s="17"/>
      <c r="AB627" s="48">
        <f>AVERAGE(AB313:AB324)</f>
        <v>14.408899169341559</v>
      </c>
      <c r="AC627" s="45">
        <f>AVERAGE(AC313:AC324)</f>
        <v>14.311184832134289</v>
      </c>
    </row>
    <row r="628" spans="1:29" ht="15.75" x14ac:dyDescent="0.25">
      <c r="A628" s="11">
        <f t="shared" si="34"/>
        <v>2039</v>
      </c>
      <c r="B628" s="17">
        <f t="shared" ref="B628:S628" si="36">AVERAGE(B325:B336)</f>
        <v>14.9084</v>
      </c>
      <c r="C628" s="17">
        <f t="shared" si="36"/>
        <v>14.914666666666667</v>
      </c>
      <c r="D628" s="17">
        <f t="shared" si="36"/>
        <v>15.095716666666666</v>
      </c>
      <c r="E628" s="17">
        <f t="shared" si="36"/>
        <v>15.127816666666666</v>
      </c>
      <c r="F628" s="17">
        <f t="shared" si="36"/>
        <v>14.921891666666665</v>
      </c>
      <c r="G628" s="17">
        <f t="shared" si="36"/>
        <v>14.93835</v>
      </c>
      <c r="H628" s="17">
        <f t="shared" si="36"/>
        <v>15.116641666666666</v>
      </c>
      <c r="I628" s="17">
        <f t="shared" si="36"/>
        <v>14.977733333333333</v>
      </c>
      <c r="J628" s="17">
        <f t="shared" si="36"/>
        <v>14.914491666666668</v>
      </c>
      <c r="K628" s="52">
        <f t="shared" si="36"/>
        <v>14.971691666666665</v>
      </c>
      <c r="L628" s="17">
        <f t="shared" si="36"/>
        <v>15.703641666666668</v>
      </c>
      <c r="M628" s="17">
        <f t="shared" si="36"/>
        <v>14.787366666666665</v>
      </c>
      <c r="N628" s="17">
        <f t="shared" si="36"/>
        <v>14.803666666666667</v>
      </c>
      <c r="O628" s="17">
        <f t="shared" si="36"/>
        <v>14.987683333333331</v>
      </c>
      <c r="P628" s="17">
        <f t="shared" si="36"/>
        <v>14.849675</v>
      </c>
      <c r="Q628" s="17">
        <f t="shared" si="36"/>
        <v>15.582383333333334</v>
      </c>
      <c r="R628" s="17">
        <f t="shared" si="36"/>
        <v>16.208324999999999</v>
      </c>
      <c r="S628" s="17">
        <f t="shared" si="36"/>
        <v>14.446208333333331</v>
      </c>
      <c r="T628" s="51">
        <f>SUM(T325:T336)</f>
        <v>357.33618100000001</v>
      </c>
      <c r="U628" s="51">
        <f>SUM(U325:U336)</f>
        <v>142.03263249999998</v>
      </c>
      <c r="V628" s="51">
        <f>SUM(V325:V336)</f>
        <v>50.187500000000007</v>
      </c>
      <c r="W628" s="51">
        <f>SUM(W325:W336)</f>
        <v>4.0622309999999988</v>
      </c>
      <c r="X628" s="51">
        <f>SUM(X325:X336)</f>
        <v>14.222225463999999</v>
      </c>
      <c r="Y628" s="51"/>
      <c r="Z628" s="54"/>
      <c r="AA628" s="53"/>
      <c r="AB628" s="48">
        <f>AVERAGE(AB325:AB336)</f>
        <v>14.965535986749742</v>
      </c>
      <c r="AC628" s="45">
        <f>AVERAGE(AC325:AC336)</f>
        <v>14.862922901678653</v>
      </c>
    </row>
    <row r="629" spans="1:29" ht="15.75" x14ac:dyDescent="0.25">
      <c r="A629" s="11">
        <f t="shared" si="34"/>
        <v>2040</v>
      </c>
      <c r="B629" s="17">
        <f t="shared" ref="B629:S629" si="37">AVERAGE(B337:B348)</f>
        <v>15.486508333333333</v>
      </c>
      <c r="C629" s="17">
        <f t="shared" si="37"/>
        <v>15.492758333333335</v>
      </c>
      <c r="D629" s="17">
        <f t="shared" si="37"/>
        <v>15.673800000000002</v>
      </c>
      <c r="E629" s="17">
        <f t="shared" si="37"/>
        <v>15.705933333333332</v>
      </c>
      <c r="F629" s="17">
        <f t="shared" si="37"/>
        <v>15.499983333333335</v>
      </c>
      <c r="G629" s="17">
        <f t="shared" si="37"/>
        <v>15.516433333333337</v>
      </c>
      <c r="H629" s="17">
        <f t="shared" si="37"/>
        <v>15.694716666666665</v>
      </c>
      <c r="I629" s="17">
        <f t="shared" si="37"/>
        <v>15.557599999999999</v>
      </c>
      <c r="J629" s="17">
        <f t="shared" si="37"/>
        <v>15.492583333333334</v>
      </c>
      <c r="K629" s="52">
        <f t="shared" si="37"/>
        <v>15.551575</v>
      </c>
      <c r="L629" s="17">
        <f t="shared" si="37"/>
        <v>16.281716666666664</v>
      </c>
      <c r="M629" s="17">
        <f t="shared" si="37"/>
        <v>15.360258333333334</v>
      </c>
      <c r="N629" s="17">
        <f t="shared" si="37"/>
        <v>15.376566666666669</v>
      </c>
      <c r="O629" s="17">
        <f t="shared" si="37"/>
        <v>15.560566666666666</v>
      </c>
      <c r="P629" s="17">
        <f t="shared" si="37"/>
        <v>15.424316666666664</v>
      </c>
      <c r="Q629" s="17">
        <f t="shared" si="37"/>
        <v>16.155266666666666</v>
      </c>
      <c r="R629" s="17">
        <f t="shared" si="37"/>
        <v>16.78265</v>
      </c>
      <c r="S629" s="17">
        <f t="shared" si="37"/>
        <v>15.006783333333333</v>
      </c>
      <c r="T629" s="51">
        <f>SUM(T337:T348)</f>
        <v>358.26753550000001</v>
      </c>
      <c r="U629" s="51">
        <f>SUM(U337:U348)</f>
        <v>142.42176299999997</v>
      </c>
      <c r="V629" s="51">
        <f>SUM(V337:V348)</f>
        <v>50.325000000000003</v>
      </c>
      <c r="W629" s="51">
        <f>SUM(W337:W348)</f>
        <v>4.0733603999999994</v>
      </c>
      <c r="X629" s="51">
        <f>SUM(X337:X348)</f>
        <v>14.245965463999999</v>
      </c>
      <c r="Y629" s="51"/>
      <c r="Z629" s="54"/>
      <c r="AA629" s="53"/>
      <c r="AB629" s="48">
        <f>AVERAGE(AB337:AB348)</f>
        <v>15.543777839159505</v>
      </c>
      <c r="AC629" s="45">
        <f>AVERAGE(AC337:AC348)</f>
        <v>15.436065947242206</v>
      </c>
    </row>
    <row r="630" spans="1:29" ht="15.75" x14ac:dyDescent="0.25">
      <c r="A630" s="11">
        <f t="shared" si="34"/>
        <v>2041</v>
      </c>
      <c r="B630" s="17">
        <f t="shared" ref="B630:S630" si="38">AVERAGE(B349:B360)</f>
        <v>16.087025000000001</v>
      </c>
      <c r="C630" s="17">
        <f t="shared" si="38"/>
        <v>16.093299999999996</v>
      </c>
      <c r="D630" s="17">
        <f t="shared" si="38"/>
        <v>16.274333333333331</v>
      </c>
      <c r="E630" s="17">
        <f t="shared" si="38"/>
        <v>16.306441666666668</v>
      </c>
      <c r="F630" s="17">
        <f t="shared" si="38"/>
        <v>16.1005</v>
      </c>
      <c r="G630" s="17">
        <f t="shared" si="38"/>
        <v>16.116958333333333</v>
      </c>
      <c r="H630" s="17">
        <f t="shared" si="38"/>
        <v>16.295241666666673</v>
      </c>
      <c r="I630" s="17">
        <f t="shared" si="38"/>
        <v>16.16</v>
      </c>
      <c r="J630" s="17">
        <f t="shared" si="38"/>
        <v>16.093099999999996</v>
      </c>
      <c r="K630" s="52">
        <f t="shared" si="38"/>
        <v>16.153974999999999</v>
      </c>
      <c r="L630" s="17">
        <f t="shared" si="38"/>
        <v>16.882241666666665</v>
      </c>
      <c r="M630" s="17">
        <f t="shared" si="38"/>
        <v>15.955374999999998</v>
      </c>
      <c r="N630" s="17">
        <f t="shared" si="38"/>
        <v>15.971683333333333</v>
      </c>
      <c r="O630" s="17">
        <f t="shared" si="38"/>
        <v>16.155691666666669</v>
      </c>
      <c r="P630" s="17">
        <f t="shared" si="38"/>
        <v>16.021283333333333</v>
      </c>
      <c r="Q630" s="17">
        <f t="shared" si="38"/>
        <v>16.750391666666669</v>
      </c>
      <c r="R630" s="17">
        <f t="shared" si="38"/>
        <v>17.379275</v>
      </c>
      <c r="S630" s="17">
        <f t="shared" si="38"/>
        <v>15.589125000000001</v>
      </c>
      <c r="T630" s="51">
        <f>SUM(T349:T360)</f>
        <v>357.33618100000001</v>
      </c>
      <c r="U630" s="51">
        <f>SUM(U349:U360)</f>
        <v>142.03263249999998</v>
      </c>
      <c r="V630" s="51">
        <f>SUM(V349:V360)</f>
        <v>50.187500000000007</v>
      </c>
      <c r="W630" s="51">
        <f>SUM(W349:W360)</f>
        <v>4.0622309999999988</v>
      </c>
      <c r="X630" s="51">
        <f>SUM(X349:X360)</f>
        <v>14.222225463999999</v>
      </c>
      <c r="Y630" s="51"/>
      <c r="Z630" s="54"/>
      <c r="AA630" s="53"/>
      <c r="AB630" s="48">
        <f>AVERAGE(AB349:AB360)</f>
        <v>16.144456422738539</v>
      </c>
      <c r="AC630" s="45">
        <f>AVERAGE(AC349:AC360)</f>
        <v>16.03145113908873</v>
      </c>
    </row>
    <row r="631" spans="1:29" ht="15.75" x14ac:dyDescent="0.25">
      <c r="A631" s="11">
        <f t="shared" si="34"/>
        <v>2042</v>
      </c>
      <c r="B631" s="17">
        <f t="shared" ref="B631:S631" si="39">AVERAGE(B361:B372)</f>
        <v>16.710841666666671</v>
      </c>
      <c r="C631" s="17">
        <f t="shared" si="39"/>
        <v>16.717108333333332</v>
      </c>
      <c r="D631" s="17">
        <f t="shared" si="39"/>
        <v>16.898158333333335</v>
      </c>
      <c r="E631" s="17">
        <f t="shared" si="39"/>
        <v>16.930274999999998</v>
      </c>
      <c r="F631" s="17">
        <f t="shared" si="39"/>
        <v>16.724350000000001</v>
      </c>
      <c r="G631" s="17">
        <f t="shared" si="39"/>
        <v>16.74079166666667</v>
      </c>
      <c r="H631" s="17">
        <f t="shared" si="39"/>
        <v>16.919074999999996</v>
      </c>
      <c r="I631" s="17">
        <f t="shared" si="39"/>
        <v>16.785774999999997</v>
      </c>
      <c r="J631" s="17">
        <f t="shared" si="39"/>
        <v>16.716950000000001</v>
      </c>
      <c r="K631" s="52">
        <f t="shared" si="39"/>
        <v>16.779733333333329</v>
      </c>
      <c r="L631" s="17">
        <f t="shared" si="39"/>
        <v>17.506074999999999</v>
      </c>
      <c r="M631" s="17">
        <f t="shared" si="39"/>
        <v>16.57361666666667</v>
      </c>
      <c r="N631" s="17">
        <f t="shared" si="39"/>
        <v>16.5899</v>
      </c>
      <c r="O631" s="17">
        <f t="shared" si="39"/>
        <v>16.773916666666668</v>
      </c>
      <c r="P631" s="17">
        <f t="shared" si="39"/>
        <v>16.641416666666668</v>
      </c>
      <c r="Q631" s="17">
        <f t="shared" si="39"/>
        <v>17.368616666666664</v>
      </c>
      <c r="R631" s="17">
        <f t="shared" si="39"/>
        <v>17.999041666666667</v>
      </c>
      <c r="S631" s="17">
        <f t="shared" si="39"/>
        <v>16.194033333333334</v>
      </c>
      <c r="T631" s="51">
        <f>SUM(T361:T372)</f>
        <v>357.33618100000001</v>
      </c>
      <c r="U631" s="51">
        <f>SUM(U361:U372)</f>
        <v>142.03263249999998</v>
      </c>
      <c r="V631" s="51">
        <f>SUM(V361:V372)</f>
        <v>50.187500000000007</v>
      </c>
      <c r="W631" s="51">
        <f>SUM(W361:W372)</f>
        <v>4.0622309999999988</v>
      </c>
      <c r="X631" s="51">
        <f>SUM(X361:X372)</f>
        <v>14.222225463999999</v>
      </c>
      <c r="Y631" s="51"/>
      <c r="Z631" s="54"/>
      <c r="AA631" s="53"/>
      <c r="AB631" s="48">
        <f>AVERAGE(AB361:AB372)</f>
        <v>16.768446210348575</v>
      </c>
      <c r="AC631" s="45">
        <f>AVERAGE(AC361:AC372)</f>
        <v>16.649953117505998</v>
      </c>
    </row>
    <row r="632" spans="1:29" ht="15.75" x14ac:dyDescent="0.25">
      <c r="A632" s="11">
        <f t="shared" si="34"/>
        <v>2043</v>
      </c>
      <c r="B632" s="17">
        <f t="shared" ref="B632:S632" si="40">AVERAGE(B373:B384)</f>
        <v>17.358900000000002</v>
      </c>
      <c r="C632" s="17">
        <f t="shared" si="40"/>
        <v>17.365158333333333</v>
      </c>
      <c r="D632" s="17">
        <f t="shared" si="40"/>
        <v>17.546191666666665</v>
      </c>
      <c r="E632" s="17">
        <f t="shared" si="40"/>
        <v>17.578325000000003</v>
      </c>
      <c r="F632" s="17">
        <f t="shared" si="40"/>
        <v>17.372374999999998</v>
      </c>
      <c r="G632" s="17">
        <f t="shared" si="40"/>
        <v>17.388825000000001</v>
      </c>
      <c r="H632" s="17">
        <f t="shared" si="40"/>
        <v>17.5671</v>
      </c>
      <c r="I632" s="17">
        <f t="shared" si="40"/>
        <v>17.435816666666668</v>
      </c>
      <c r="J632" s="17">
        <f t="shared" si="40"/>
        <v>17.364975000000001</v>
      </c>
      <c r="K632" s="52">
        <f t="shared" si="40"/>
        <v>17.429783333333333</v>
      </c>
      <c r="L632" s="17">
        <f t="shared" si="40"/>
        <v>18.154100000000003</v>
      </c>
      <c r="M632" s="17">
        <f t="shared" si="40"/>
        <v>17.215808333333332</v>
      </c>
      <c r="N632" s="17">
        <f t="shared" si="40"/>
        <v>17.232116666666666</v>
      </c>
      <c r="O632" s="17">
        <f t="shared" si="40"/>
        <v>17.416116666666664</v>
      </c>
      <c r="P632" s="17">
        <f t="shared" si="40"/>
        <v>17.285583333333332</v>
      </c>
      <c r="Q632" s="17">
        <f t="shared" si="40"/>
        <v>18.010816666666667</v>
      </c>
      <c r="R632" s="17">
        <f t="shared" si="40"/>
        <v>18.642858333333333</v>
      </c>
      <c r="S632" s="17">
        <f t="shared" si="40"/>
        <v>16.822458333333334</v>
      </c>
      <c r="T632" s="51">
        <f>SUM(T373:T384)</f>
        <v>357.33618100000001</v>
      </c>
      <c r="U632" s="51">
        <f>SUM(U373:U384)</f>
        <v>142.03263249999998</v>
      </c>
      <c r="V632" s="51">
        <f>SUM(V373:V384)</f>
        <v>50.187500000000007</v>
      </c>
      <c r="W632" s="51">
        <f>SUM(W373:W384)</f>
        <v>4.0622309999999988</v>
      </c>
      <c r="X632" s="51">
        <f>SUM(X373:X384)</f>
        <v>14.222225463999999</v>
      </c>
      <c r="Y632" s="51"/>
      <c r="Z632" s="54"/>
      <c r="AA632" s="53"/>
      <c r="AB632" s="48">
        <f>AVERAGE(AB373:AB384)</f>
        <v>17.416651593138791</v>
      </c>
      <c r="AC632" s="45">
        <f>AVERAGE(AC373:AC384)</f>
        <v>17.292437050359712</v>
      </c>
    </row>
    <row r="633" spans="1:29" ht="15.75" x14ac:dyDescent="0.25">
      <c r="A633" s="11">
        <f t="shared" si="34"/>
        <v>2044</v>
      </c>
      <c r="B633" s="17">
        <f t="shared" ref="B633:S633" si="41">AVERAGE(B385:B396)</f>
        <v>18.03209166666667</v>
      </c>
      <c r="C633" s="17">
        <f t="shared" si="41"/>
        <v>18.038358333333331</v>
      </c>
      <c r="D633" s="17">
        <f t="shared" si="41"/>
        <v>18.219375000000003</v>
      </c>
      <c r="E633" s="17">
        <f t="shared" si="41"/>
        <v>18.251500000000004</v>
      </c>
      <c r="F633" s="17">
        <f t="shared" si="41"/>
        <v>18.045558333333332</v>
      </c>
      <c r="G633" s="17">
        <f t="shared" si="41"/>
        <v>18.062025000000002</v>
      </c>
      <c r="H633" s="17">
        <f t="shared" si="41"/>
        <v>18.240291666666668</v>
      </c>
      <c r="I633" s="17">
        <f t="shared" si="41"/>
        <v>18.111091666666663</v>
      </c>
      <c r="J633" s="17">
        <f t="shared" si="41"/>
        <v>18.038158333333332</v>
      </c>
      <c r="K633" s="52">
        <f t="shared" si="41"/>
        <v>18.105058333333332</v>
      </c>
      <c r="L633" s="17">
        <f t="shared" si="41"/>
        <v>18.827291666666667</v>
      </c>
      <c r="M633" s="17">
        <f t="shared" si="41"/>
        <v>17.882941666666664</v>
      </c>
      <c r="N633" s="17">
        <f t="shared" si="41"/>
        <v>17.899258333333336</v>
      </c>
      <c r="O633" s="17">
        <f t="shared" si="41"/>
        <v>18.083250000000003</v>
      </c>
      <c r="P633" s="17">
        <f t="shared" si="41"/>
        <v>17.954775000000001</v>
      </c>
      <c r="Q633" s="17">
        <f t="shared" si="41"/>
        <v>18.677949999999999</v>
      </c>
      <c r="R633" s="17">
        <f t="shared" si="41"/>
        <v>19.311641666666667</v>
      </c>
      <c r="S633" s="17">
        <f t="shared" si="41"/>
        <v>17.475233333333335</v>
      </c>
      <c r="T633" s="51">
        <f>SUM(T385:T396)</f>
        <v>358.26753550000001</v>
      </c>
      <c r="U633" s="51">
        <f>SUM(U385:U396)</f>
        <v>142.42176299999997</v>
      </c>
      <c r="V633" s="51">
        <f>SUM(V385:V396)</f>
        <v>50.325000000000003</v>
      </c>
      <c r="W633" s="51">
        <f>SUM(W385:W396)</f>
        <v>4.0733603999999994</v>
      </c>
      <c r="X633" s="51">
        <f>SUM(X385:X396)</f>
        <v>14.245965463999999</v>
      </c>
      <c r="Y633" s="51"/>
      <c r="Z633" s="54"/>
      <c r="AA633" s="53"/>
      <c r="AB633" s="48">
        <f>AVERAGE(AB385:AB396)</f>
        <v>18.090011519698436</v>
      </c>
      <c r="AC633" s="45">
        <f>AVERAGE(AC385:AC396)</f>
        <v>17.959869904076744</v>
      </c>
    </row>
    <row r="634" spans="1:29" ht="15.75" x14ac:dyDescent="0.25">
      <c r="A634" s="11">
        <f t="shared" si="34"/>
        <v>2045</v>
      </c>
      <c r="B634" s="17">
        <f t="shared" ref="B634:S634" si="42">AVERAGE(B397:B408)</f>
        <v>18.731400000000001</v>
      </c>
      <c r="C634" s="17">
        <f t="shared" si="42"/>
        <v>18.737666666666666</v>
      </c>
      <c r="D634" s="17">
        <f t="shared" si="42"/>
        <v>18.918700000000001</v>
      </c>
      <c r="E634" s="17">
        <f t="shared" si="42"/>
        <v>18.950808333333338</v>
      </c>
      <c r="F634" s="17">
        <f t="shared" si="42"/>
        <v>18.744875</v>
      </c>
      <c r="G634" s="17">
        <f t="shared" si="42"/>
        <v>18.761333333333333</v>
      </c>
      <c r="H634" s="17">
        <f t="shared" si="42"/>
        <v>18.939608333333329</v>
      </c>
      <c r="I634" s="17">
        <f t="shared" si="42"/>
        <v>18.812566666666665</v>
      </c>
      <c r="J634" s="17">
        <f t="shared" si="42"/>
        <v>18.737475</v>
      </c>
      <c r="K634" s="52">
        <f t="shared" si="42"/>
        <v>18.806550000000001</v>
      </c>
      <c r="L634" s="17">
        <f t="shared" si="42"/>
        <v>19.526608333333332</v>
      </c>
      <c r="M634" s="17">
        <f t="shared" si="42"/>
        <v>18.575958333333332</v>
      </c>
      <c r="N634" s="17">
        <f t="shared" si="42"/>
        <v>18.592283333333334</v>
      </c>
      <c r="O634" s="17">
        <f t="shared" si="42"/>
        <v>18.776283333333332</v>
      </c>
      <c r="P634" s="17">
        <f t="shared" si="42"/>
        <v>18.649916666666666</v>
      </c>
      <c r="Q634" s="17">
        <f t="shared" si="42"/>
        <v>19.370983333333331</v>
      </c>
      <c r="R634" s="17">
        <f t="shared" si="42"/>
        <v>20.006408333333336</v>
      </c>
      <c r="S634" s="17">
        <f t="shared" si="42"/>
        <v>18.153366666666663</v>
      </c>
      <c r="T634" s="51">
        <f>SUM(T397:T408)</f>
        <v>357.33618100000001</v>
      </c>
      <c r="U634" s="51">
        <f>SUM(U397:U408)</f>
        <v>142.03263249999998</v>
      </c>
      <c r="V634" s="51">
        <f>SUM(V397:V408)</f>
        <v>50.187500000000007</v>
      </c>
      <c r="W634" s="51">
        <f>SUM(W397:W408)</f>
        <v>4.0622309999999988</v>
      </c>
      <c r="X634" s="51">
        <f>SUM(X397:X408)</f>
        <v>14.222225463999999</v>
      </c>
      <c r="Y634" s="51"/>
      <c r="Z634" s="54"/>
      <c r="AA634" s="53"/>
      <c r="AB634" s="48">
        <f>AVERAGE(AB397:AB408)</f>
        <v>18.789503027925505</v>
      </c>
      <c r="AC634" s="45">
        <f>AVERAGE(AC397:AC408)</f>
        <v>18.653198920863311</v>
      </c>
    </row>
    <row r="635" spans="1:29" ht="15.75" x14ac:dyDescent="0.25">
      <c r="A635" s="11">
        <f t="shared" si="34"/>
        <v>2046</v>
      </c>
      <c r="B635" s="17">
        <f t="shared" ref="B635:S635" si="43">AVERAGE(B409:B420)</f>
        <v>19.457849999999997</v>
      </c>
      <c r="C635" s="17">
        <f t="shared" si="43"/>
        <v>19.464108333333332</v>
      </c>
      <c r="D635" s="17">
        <f t="shared" si="43"/>
        <v>19.645141666666667</v>
      </c>
      <c r="E635" s="17">
        <f t="shared" si="43"/>
        <v>19.677258333333334</v>
      </c>
      <c r="F635" s="17">
        <f t="shared" si="43"/>
        <v>19.47131666666667</v>
      </c>
      <c r="G635" s="17">
        <f t="shared" si="43"/>
        <v>19.487783333333329</v>
      </c>
      <c r="H635" s="17">
        <f t="shared" si="43"/>
        <v>19.666058333333336</v>
      </c>
      <c r="I635" s="17">
        <f t="shared" si="43"/>
        <v>19.541291666666663</v>
      </c>
      <c r="J635" s="17">
        <f t="shared" si="43"/>
        <v>19.463916666666666</v>
      </c>
      <c r="K635" s="52">
        <f t="shared" si="43"/>
        <v>19.535241666666664</v>
      </c>
      <c r="L635" s="17">
        <f t="shared" si="43"/>
        <v>20.253058333333332</v>
      </c>
      <c r="M635" s="17">
        <f t="shared" si="43"/>
        <v>19.295883333333332</v>
      </c>
      <c r="N635" s="17">
        <f t="shared" si="43"/>
        <v>19.312191666666664</v>
      </c>
      <c r="O635" s="17">
        <f t="shared" si="43"/>
        <v>19.496199999999998</v>
      </c>
      <c r="P635" s="17">
        <f t="shared" si="43"/>
        <v>19.372066666666669</v>
      </c>
      <c r="Q635" s="17">
        <f t="shared" si="43"/>
        <v>20.090900000000001</v>
      </c>
      <c r="R635" s="17">
        <f t="shared" si="43"/>
        <v>20.728133333333332</v>
      </c>
      <c r="S635" s="17">
        <f t="shared" si="43"/>
        <v>18.857808333333331</v>
      </c>
      <c r="T635" s="51">
        <f>SUM(T409:T420)</f>
        <v>357.33618100000001</v>
      </c>
      <c r="U635" s="51">
        <f>SUM(U409:U420)</f>
        <v>142.03263249999998</v>
      </c>
      <c r="V635" s="51">
        <f>SUM(V409:V420)</f>
        <v>50.187500000000007</v>
      </c>
      <c r="W635" s="51">
        <f>SUM(W409:W420)</f>
        <v>4.0622309999999988</v>
      </c>
      <c r="X635" s="51">
        <f>SUM(X409:X420)</f>
        <v>14.222225463999999</v>
      </c>
      <c r="Y635" s="51"/>
      <c r="Z635" s="54"/>
      <c r="AA635" s="53"/>
      <c r="AB635" s="48">
        <f>AVERAGE(AB409:AB420)</f>
        <v>19.516135468356563</v>
      </c>
      <c r="AC635" s="45">
        <f>AVERAGE(AC409:AC420)</f>
        <v>19.373437889688248</v>
      </c>
    </row>
    <row r="636" spans="1:29" ht="15.75" x14ac:dyDescent="0.25">
      <c r="A636" s="11">
        <f t="shared" si="34"/>
        <v>2047</v>
      </c>
      <c r="B636" s="17">
        <f t="shared" ref="B636:S636" si="44">AVERAGE(B421:B432)</f>
        <v>20.212483333333331</v>
      </c>
      <c r="C636" s="17">
        <f t="shared" si="44"/>
        <v>20.218741666666666</v>
      </c>
      <c r="D636" s="17">
        <f t="shared" si="44"/>
        <v>20.399791666666669</v>
      </c>
      <c r="E636" s="17">
        <f t="shared" si="44"/>
        <v>20.431899999999999</v>
      </c>
      <c r="F636" s="17">
        <f t="shared" si="44"/>
        <v>20.225966666666668</v>
      </c>
      <c r="G636" s="17">
        <f t="shared" si="44"/>
        <v>20.242416666666664</v>
      </c>
      <c r="H636" s="17">
        <f t="shared" si="44"/>
        <v>20.420708333333334</v>
      </c>
      <c r="I636" s="17">
        <f t="shared" si="44"/>
        <v>20.298275</v>
      </c>
      <c r="J636" s="17">
        <f t="shared" si="44"/>
        <v>20.218566666666664</v>
      </c>
      <c r="K636" s="52">
        <f t="shared" si="44"/>
        <v>20.292216666666665</v>
      </c>
      <c r="L636" s="17">
        <f t="shared" si="44"/>
        <v>21.007708333333333</v>
      </c>
      <c r="M636" s="17">
        <f t="shared" si="44"/>
        <v>20.043750000000003</v>
      </c>
      <c r="N636" s="17">
        <f t="shared" si="44"/>
        <v>20.060041666666667</v>
      </c>
      <c r="O636" s="17">
        <f t="shared" si="44"/>
        <v>20.244050000000005</v>
      </c>
      <c r="P636" s="17">
        <f t="shared" si="44"/>
        <v>20.122208333333333</v>
      </c>
      <c r="Q636" s="17">
        <f t="shared" si="44"/>
        <v>20.838750000000001</v>
      </c>
      <c r="R636" s="17">
        <f t="shared" si="44"/>
        <v>21.477858333333334</v>
      </c>
      <c r="S636" s="17">
        <f t="shared" si="44"/>
        <v>19.589591666666667</v>
      </c>
      <c r="T636" s="51">
        <f>SUM(T421:T432)</f>
        <v>357.33618100000001</v>
      </c>
      <c r="U636" s="51">
        <f>SUM(U421:U432)</f>
        <v>142.03263249999998</v>
      </c>
      <c r="V636" s="51">
        <f>SUM(V421:V432)</f>
        <v>50.187500000000007</v>
      </c>
      <c r="W636" s="51">
        <f>SUM(W421:W432)</f>
        <v>4.0622309999999988</v>
      </c>
      <c r="X636" s="51">
        <f>SUM(X421:X432)</f>
        <v>14.222225463999999</v>
      </c>
      <c r="Y636" s="51"/>
      <c r="Z636" s="54"/>
      <c r="AA636" s="53"/>
      <c r="AB636" s="48">
        <f>AVERAGE(AB421:AB432)</f>
        <v>20.270969394995003</v>
      </c>
      <c r="AC636" s="45">
        <f>AVERAGE(AC421:AC432)</f>
        <v>20.121624820143889</v>
      </c>
    </row>
    <row r="637" spans="1:29" ht="15.75" x14ac:dyDescent="0.25">
      <c r="A637" s="11">
        <f t="shared" si="34"/>
        <v>2048</v>
      </c>
      <c r="B637" s="17">
        <f t="shared" ref="B637:S637" si="45">AVERAGE(B433:B444)</f>
        <v>20.996424999999999</v>
      </c>
      <c r="C637" s="17">
        <f t="shared" si="45"/>
        <v>21.002683333333337</v>
      </c>
      <c r="D637" s="17">
        <f t="shared" si="45"/>
        <v>21.183700000000002</v>
      </c>
      <c r="E637" s="17">
        <f t="shared" si="45"/>
        <v>21.21584166666667</v>
      </c>
      <c r="F637" s="17">
        <f t="shared" si="45"/>
        <v>21.009883333333331</v>
      </c>
      <c r="G637" s="17">
        <f t="shared" si="45"/>
        <v>21.026341666666667</v>
      </c>
      <c r="H637" s="17">
        <f t="shared" si="45"/>
        <v>21.204616666666663</v>
      </c>
      <c r="I637" s="17">
        <f t="shared" si="45"/>
        <v>21.084616666666665</v>
      </c>
      <c r="J637" s="17">
        <f t="shared" si="45"/>
        <v>21.002483333333331</v>
      </c>
      <c r="K637" s="52">
        <f t="shared" si="45"/>
        <v>21.078583333333334</v>
      </c>
      <c r="L637" s="17">
        <f t="shared" si="45"/>
        <v>21.79161666666667</v>
      </c>
      <c r="M637" s="17">
        <f t="shared" si="45"/>
        <v>20.82061666666667</v>
      </c>
      <c r="N637" s="17">
        <f t="shared" si="45"/>
        <v>20.836908333333334</v>
      </c>
      <c r="O637" s="17">
        <f t="shared" si="45"/>
        <v>21.020916666666668</v>
      </c>
      <c r="P637" s="17">
        <f t="shared" si="45"/>
        <v>20.901483333333335</v>
      </c>
      <c r="Q637" s="17">
        <f t="shared" si="45"/>
        <v>21.615616666666671</v>
      </c>
      <c r="R637" s="17">
        <f t="shared" si="45"/>
        <v>22.256666666666671</v>
      </c>
      <c r="S637" s="17">
        <f t="shared" si="45"/>
        <v>20.34975833333333</v>
      </c>
      <c r="T637" s="51">
        <f>SUM(T433:T444)</f>
        <v>358.26753550000001</v>
      </c>
      <c r="U637" s="51">
        <f>SUM(U433:U444)</f>
        <v>142.42176299999997</v>
      </c>
      <c r="V637" s="51">
        <f>SUM(V433:V444)</f>
        <v>50.325000000000003</v>
      </c>
      <c r="W637" s="51">
        <f>SUM(W433:W444)</f>
        <v>4.0733603999999994</v>
      </c>
      <c r="X637" s="51">
        <f>SUM(X433:X444)</f>
        <v>14.245965463999999</v>
      </c>
      <c r="Y637" s="51"/>
      <c r="Z637" s="54"/>
      <c r="AA637" s="53"/>
      <c r="AB637" s="48">
        <f>AVERAGE(AB433:AB444)</f>
        <v>21.05509795246687</v>
      </c>
      <c r="AC637" s="45">
        <f>AVERAGE(AC433:AC444)</f>
        <v>20.898836570743406</v>
      </c>
    </row>
    <row r="638" spans="1:29" ht="15.75" x14ac:dyDescent="0.25">
      <c r="A638" s="11">
        <f t="shared" si="34"/>
        <v>2049</v>
      </c>
      <c r="B638" s="17">
        <f t="shared" ref="B638:S638" si="46">AVERAGE(B445:B456)</f>
        <v>21.810766666666662</v>
      </c>
      <c r="C638" s="17">
        <f t="shared" si="46"/>
        <v>21.817024999999997</v>
      </c>
      <c r="D638" s="17">
        <f t="shared" si="46"/>
        <v>21.998050000000003</v>
      </c>
      <c r="E638" s="17">
        <f t="shared" si="46"/>
        <v>22.030166666666663</v>
      </c>
      <c r="F638" s="17">
        <f t="shared" si="46"/>
        <v>21.824233333333328</v>
      </c>
      <c r="G638" s="17">
        <f t="shared" si="46"/>
        <v>21.840700000000002</v>
      </c>
      <c r="H638" s="17">
        <f t="shared" si="46"/>
        <v>22.018966666666671</v>
      </c>
      <c r="I638" s="17">
        <f t="shared" si="46"/>
        <v>21.901491666666669</v>
      </c>
      <c r="J638" s="17">
        <f t="shared" si="46"/>
        <v>21.816833333333332</v>
      </c>
      <c r="K638" s="52">
        <f t="shared" si="46"/>
        <v>21.895466666666668</v>
      </c>
      <c r="L638" s="17">
        <f t="shared" si="46"/>
        <v>22.605966666666664</v>
      </c>
      <c r="M638" s="17">
        <f t="shared" si="46"/>
        <v>21.627633333333335</v>
      </c>
      <c r="N638" s="17">
        <f t="shared" si="46"/>
        <v>21.64395833333333</v>
      </c>
      <c r="O638" s="17">
        <f t="shared" si="46"/>
        <v>21.827966666666665</v>
      </c>
      <c r="P638" s="17">
        <f t="shared" si="46"/>
        <v>21.710966666666668</v>
      </c>
      <c r="Q638" s="17">
        <f t="shared" si="46"/>
        <v>22.422666666666668</v>
      </c>
      <c r="R638" s="17">
        <f t="shared" si="46"/>
        <v>23.065708333333333</v>
      </c>
      <c r="S638" s="17">
        <f t="shared" si="46"/>
        <v>21.139416666666666</v>
      </c>
      <c r="T638" s="51">
        <f>SUM(T445:T456)</f>
        <v>357.33618100000001</v>
      </c>
      <c r="U638" s="51">
        <f>SUM(U445:U456)</f>
        <v>142.03263249999998</v>
      </c>
      <c r="V638" s="51">
        <f>SUM(V445:V456)</f>
        <v>50.187500000000007</v>
      </c>
      <c r="W638" s="51">
        <f>SUM(W445:W456)</f>
        <v>4.0622309999999988</v>
      </c>
      <c r="X638" s="51">
        <f>SUM(X445:X456)</f>
        <v>14.222225463999999</v>
      </c>
      <c r="Y638" s="51"/>
      <c r="Z638" s="54"/>
      <c r="AA638" s="53"/>
      <c r="AB638" s="48">
        <f>AVERAGE(AB445:AB456)</f>
        <v>21.869650637566284</v>
      </c>
      <c r="AC638" s="45">
        <f>AVERAGE(AC445:AC456)</f>
        <v>21.706225179856116</v>
      </c>
    </row>
    <row r="639" spans="1:29" ht="15.75" x14ac:dyDescent="0.25">
      <c r="A639" s="11">
        <f t="shared" si="34"/>
        <v>2050</v>
      </c>
      <c r="B639" s="17">
        <f t="shared" ref="B639:S639" si="47">AVERAGE(B457:B468)</f>
        <v>22.656708333333331</v>
      </c>
      <c r="C639" s="17">
        <f t="shared" si="47"/>
        <v>22.662975000000003</v>
      </c>
      <c r="D639" s="17">
        <f t="shared" si="47"/>
        <v>22.843999999999998</v>
      </c>
      <c r="E639" s="17">
        <f t="shared" si="47"/>
        <v>22.876116666666672</v>
      </c>
      <c r="F639" s="17">
        <f t="shared" si="47"/>
        <v>22.67018333333333</v>
      </c>
      <c r="G639" s="17">
        <f t="shared" si="47"/>
        <v>22.686641666666663</v>
      </c>
      <c r="H639" s="17">
        <f t="shared" si="47"/>
        <v>22.864916666666669</v>
      </c>
      <c r="I639" s="17">
        <f t="shared" si="47"/>
        <v>22.750066666666665</v>
      </c>
      <c r="J639" s="17">
        <f t="shared" si="47"/>
        <v>22.662783333333334</v>
      </c>
      <c r="K639" s="52">
        <f t="shared" si="47"/>
        <v>22.744033333333331</v>
      </c>
      <c r="L639" s="17">
        <f t="shared" si="47"/>
        <v>23.451916666666666</v>
      </c>
      <c r="M639" s="17">
        <f t="shared" si="47"/>
        <v>22.465958333333333</v>
      </c>
      <c r="N639" s="17">
        <f t="shared" si="47"/>
        <v>22.482283333333331</v>
      </c>
      <c r="O639" s="17">
        <f t="shared" si="47"/>
        <v>22.666291666666666</v>
      </c>
      <c r="P639" s="17">
        <f t="shared" si="47"/>
        <v>22.551900000000003</v>
      </c>
      <c r="Q639" s="17">
        <f t="shared" si="47"/>
        <v>23.260991666666666</v>
      </c>
      <c r="R639" s="17">
        <f t="shared" si="47"/>
        <v>23.906141666666667</v>
      </c>
      <c r="S639" s="17">
        <f t="shared" si="47"/>
        <v>21.959741666666662</v>
      </c>
      <c r="T639" s="51">
        <f>SUM(T457:T468)</f>
        <v>357.33618100000001</v>
      </c>
      <c r="U639" s="51">
        <f>SUM(U457:U468)</f>
        <v>142.03263249999998</v>
      </c>
      <c r="V639" s="51">
        <f>SUM(V457:V468)</f>
        <v>50.187500000000007</v>
      </c>
      <c r="W639" s="51">
        <f>SUM(W457:W468)</f>
        <v>4.0622309999999988</v>
      </c>
      <c r="X639" s="51">
        <f>SUM(X457:X468)</f>
        <v>14.222225463999999</v>
      </c>
      <c r="Y639" s="51"/>
      <c r="Z639" s="54"/>
      <c r="AA639" s="53"/>
      <c r="AB639" s="48">
        <f>AVERAGE(AB457:AB468)</f>
        <v>22.715815274117372</v>
      </c>
      <c r="AC639" s="45">
        <f>AVERAGE(AC457:AC468)</f>
        <v>22.544925479616307</v>
      </c>
    </row>
    <row r="640" spans="1:29" ht="15.75" x14ac:dyDescent="0.25">
      <c r="A640" s="11">
        <f t="shared" si="34"/>
        <v>2051</v>
      </c>
      <c r="B640" s="17">
        <f t="shared" ref="B640:S640" si="48">AVERAGE(B469:B480)</f>
        <v>23.535483333333335</v>
      </c>
      <c r="C640" s="17">
        <f t="shared" si="48"/>
        <v>23.541750000000004</v>
      </c>
      <c r="D640" s="17">
        <f t="shared" si="48"/>
        <v>23.722799999999996</v>
      </c>
      <c r="E640" s="17">
        <f t="shared" si="48"/>
        <v>23.754891666666666</v>
      </c>
      <c r="F640" s="17">
        <f t="shared" si="48"/>
        <v>23.548958333333331</v>
      </c>
      <c r="G640" s="17">
        <f t="shared" si="48"/>
        <v>23.565416666666668</v>
      </c>
      <c r="H640" s="17">
        <f t="shared" si="48"/>
        <v>23.743716666666668</v>
      </c>
      <c r="I640" s="17">
        <f t="shared" si="48"/>
        <v>23.631583333333335</v>
      </c>
      <c r="J640" s="17">
        <f t="shared" si="48"/>
        <v>23.541558333333338</v>
      </c>
      <c r="K640" s="52">
        <f t="shared" si="48"/>
        <v>23.625525</v>
      </c>
      <c r="L640" s="17">
        <f t="shared" si="48"/>
        <v>24.330716666666664</v>
      </c>
      <c r="M640" s="17">
        <f t="shared" si="48"/>
        <v>23.336841666666668</v>
      </c>
      <c r="N640" s="17">
        <f t="shared" si="48"/>
        <v>23.353166666666667</v>
      </c>
      <c r="O640" s="17">
        <f t="shared" si="48"/>
        <v>23.537158333333334</v>
      </c>
      <c r="P640" s="17">
        <f t="shared" si="48"/>
        <v>23.425433333333331</v>
      </c>
      <c r="Q640" s="17">
        <f t="shared" si="48"/>
        <v>24.131858333333337</v>
      </c>
      <c r="R640" s="17">
        <f t="shared" si="48"/>
        <v>24.779191666666666</v>
      </c>
      <c r="S640" s="17">
        <f t="shared" si="48"/>
        <v>22.811908333333339</v>
      </c>
      <c r="T640" s="51">
        <f>SUM(T469:T480)</f>
        <v>357.33618100000001</v>
      </c>
      <c r="U640" s="51">
        <f>SUM(U469:U480)</f>
        <v>142.03263249999998</v>
      </c>
      <c r="V640" s="51">
        <f>SUM(V469:V480)</f>
        <v>50.187500000000007</v>
      </c>
      <c r="W640" s="51">
        <f>SUM(W469:W480)</f>
        <v>4.0622309999999988</v>
      </c>
      <c r="X640" s="51">
        <f>SUM(X469:X480)</f>
        <v>14.222225463999999</v>
      </c>
      <c r="Y640" s="51"/>
      <c r="Z640" s="54"/>
      <c r="AA640" s="53"/>
      <c r="AB640" s="48">
        <f>AVERAGE(AB469:AB480)</f>
        <v>23.594818972903383</v>
      </c>
      <c r="AC640" s="45">
        <f>AVERAGE(AC469:AC480)</f>
        <v>23.416183992805756</v>
      </c>
    </row>
    <row r="641" spans="1:29" ht="15.75" x14ac:dyDescent="0.25">
      <c r="A641" s="11">
        <f t="shared" si="34"/>
        <v>2052</v>
      </c>
      <c r="B641" s="17">
        <f t="shared" ref="B641:S641" si="49">AVERAGE(B481:B492)</f>
        <v>24.448350000000001</v>
      </c>
      <c r="C641" s="17">
        <f t="shared" si="49"/>
        <v>24.454633333333334</v>
      </c>
      <c r="D641" s="17">
        <f t="shared" si="49"/>
        <v>24.635658333333328</v>
      </c>
      <c r="E641" s="17">
        <f t="shared" si="49"/>
        <v>24.667783333333336</v>
      </c>
      <c r="F641" s="17">
        <f t="shared" si="49"/>
        <v>24.461841666666668</v>
      </c>
      <c r="G641" s="17">
        <f t="shared" si="49"/>
        <v>24.478300000000001</v>
      </c>
      <c r="H641" s="17">
        <f t="shared" si="49"/>
        <v>24.656574999999993</v>
      </c>
      <c r="I641" s="17">
        <f t="shared" si="49"/>
        <v>24.547300000000003</v>
      </c>
      <c r="J641" s="17">
        <f t="shared" si="49"/>
        <v>24.454441666666668</v>
      </c>
      <c r="K641" s="52">
        <f t="shared" si="49"/>
        <v>24.541241666666668</v>
      </c>
      <c r="L641" s="17">
        <f t="shared" si="49"/>
        <v>25.243575000000003</v>
      </c>
      <c r="M641" s="17">
        <f t="shared" si="49"/>
        <v>24.241516666666669</v>
      </c>
      <c r="N641" s="17">
        <f t="shared" si="49"/>
        <v>24.25781666666667</v>
      </c>
      <c r="O641" s="17">
        <f t="shared" si="49"/>
        <v>24.441833333333335</v>
      </c>
      <c r="P641" s="17">
        <f t="shared" si="49"/>
        <v>24.332891666666665</v>
      </c>
      <c r="Q641" s="17">
        <f t="shared" si="49"/>
        <v>25.036533333333335</v>
      </c>
      <c r="R641" s="17">
        <f t="shared" si="49"/>
        <v>25.686125000000001</v>
      </c>
      <c r="S641" s="17">
        <f t="shared" si="49"/>
        <v>23.697108333333333</v>
      </c>
      <c r="T641" s="51">
        <f>SUM(T481:T492)</f>
        <v>358.26753550000001</v>
      </c>
      <c r="U641" s="51">
        <f>SUM(U481:U492)</f>
        <v>142.42176299999997</v>
      </c>
      <c r="V641" s="51">
        <f>SUM(V481:V492)</f>
        <v>50.325000000000003</v>
      </c>
      <c r="W641" s="51">
        <f>SUM(W481:W492)</f>
        <v>4.0733603999999994</v>
      </c>
      <c r="X641" s="51">
        <f>SUM(X481:X492)</f>
        <v>14.245965463999999</v>
      </c>
      <c r="Y641" s="51"/>
      <c r="Z641" s="54"/>
      <c r="AA641" s="53"/>
      <c r="AB641" s="48">
        <f>AVERAGE(AB481:AB492)</f>
        <v>24.507931862281865</v>
      </c>
      <c r="AC641" s="45">
        <f>AVERAGE(AC481:AC492)</f>
        <v>24.321256594724222</v>
      </c>
    </row>
    <row r="642" spans="1:29" ht="15.75" x14ac:dyDescent="0.25">
      <c r="A642" s="11">
        <f t="shared" si="34"/>
        <v>2053</v>
      </c>
      <c r="B642" s="17">
        <f t="shared" ref="B642:S642" si="50">AVERAGE(B493:B504)</f>
        <v>25.396666666666665</v>
      </c>
      <c r="C642" s="17">
        <f t="shared" si="50"/>
        <v>25.402941666666663</v>
      </c>
      <c r="D642" s="17">
        <f t="shared" si="50"/>
        <v>25.583958333333339</v>
      </c>
      <c r="E642" s="17">
        <f t="shared" si="50"/>
        <v>25.616066666666669</v>
      </c>
      <c r="F642" s="17">
        <f t="shared" si="50"/>
        <v>25.410149999999998</v>
      </c>
      <c r="G642" s="17">
        <f t="shared" si="50"/>
        <v>25.426599999999997</v>
      </c>
      <c r="H642" s="17">
        <f t="shared" si="50"/>
        <v>25.604875000000007</v>
      </c>
      <c r="I642" s="17">
        <f t="shared" si="50"/>
        <v>25.498533333333338</v>
      </c>
      <c r="J642" s="17">
        <f t="shared" si="50"/>
        <v>25.402749999999997</v>
      </c>
      <c r="K642" s="52">
        <f t="shared" si="50"/>
        <v>25.492499999999996</v>
      </c>
      <c r="L642" s="17">
        <f t="shared" si="50"/>
        <v>26.191874999999996</v>
      </c>
      <c r="M642" s="17">
        <f t="shared" si="50"/>
        <v>25.181283333333337</v>
      </c>
      <c r="N642" s="17">
        <f t="shared" si="50"/>
        <v>25.197600000000005</v>
      </c>
      <c r="O642" s="17">
        <f t="shared" si="50"/>
        <v>25.381600000000006</v>
      </c>
      <c r="P642" s="17">
        <f t="shared" si="50"/>
        <v>25.275558333333333</v>
      </c>
      <c r="Q642" s="17">
        <f t="shared" si="50"/>
        <v>25.976299999999998</v>
      </c>
      <c r="R642" s="17">
        <f t="shared" si="50"/>
        <v>26.628258333333335</v>
      </c>
      <c r="S642" s="17">
        <f t="shared" si="50"/>
        <v>24.616675000000004</v>
      </c>
      <c r="T642" s="51">
        <f>SUM(T493:T504)</f>
        <v>357.33618100000001</v>
      </c>
      <c r="U642" s="51">
        <f>SUM(U493:U504)</f>
        <v>142.03263249999998</v>
      </c>
      <c r="V642" s="51">
        <f>SUM(V493:V504)</f>
        <v>50.187500000000007</v>
      </c>
      <c r="W642" s="51">
        <f>SUM(W493:W504)</f>
        <v>4.0622309999999988</v>
      </c>
      <c r="X642" s="51">
        <f>SUM(X493:X504)</f>
        <v>14.222225463999999</v>
      </c>
      <c r="Y642" s="51"/>
      <c r="Z642" s="54"/>
      <c r="AA642" s="53"/>
      <c r="AB642" s="48">
        <f>AVERAGE(AB493:AB504)</f>
        <v>25.456477551695983</v>
      </c>
      <c r="AC642" s="45">
        <f>AVERAGE(AC493:AC504)</f>
        <v>25.26144292565947</v>
      </c>
    </row>
    <row r="643" spans="1:29" ht="15.75" x14ac:dyDescent="0.25">
      <c r="A643" s="11">
        <f t="shared" si="34"/>
        <v>2054</v>
      </c>
      <c r="B643" s="17">
        <f t="shared" ref="B643:S643" si="51">AVERAGE(B505:B516)</f>
        <v>26.381775000000005</v>
      </c>
      <c r="C643" s="17">
        <f t="shared" si="51"/>
        <v>26.38804166666667</v>
      </c>
      <c r="D643" s="17">
        <f t="shared" si="51"/>
        <v>26.569066666666668</v>
      </c>
      <c r="E643" s="17">
        <f t="shared" si="51"/>
        <v>26.601183333333328</v>
      </c>
      <c r="F643" s="17">
        <f t="shared" si="51"/>
        <v>26.395241666666667</v>
      </c>
      <c r="G643" s="17">
        <f t="shared" si="51"/>
        <v>26.411691666666666</v>
      </c>
      <c r="H643" s="17">
        <f t="shared" si="51"/>
        <v>26.589974999999999</v>
      </c>
      <c r="I643" s="17">
        <f t="shared" si="51"/>
        <v>26.486691666666669</v>
      </c>
      <c r="J643" s="17">
        <f t="shared" si="51"/>
        <v>26.387841666666663</v>
      </c>
      <c r="K643" s="52">
        <f t="shared" si="51"/>
        <v>26.480641666666667</v>
      </c>
      <c r="L643" s="17">
        <f t="shared" si="51"/>
        <v>27.176974999999999</v>
      </c>
      <c r="M643" s="17">
        <f t="shared" si="51"/>
        <v>26.157558333333331</v>
      </c>
      <c r="N643" s="17">
        <f t="shared" si="51"/>
        <v>26.173841666666664</v>
      </c>
      <c r="O643" s="17">
        <f t="shared" si="51"/>
        <v>26.357858333333336</v>
      </c>
      <c r="P643" s="17">
        <f t="shared" si="51"/>
        <v>26.254824999999997</v>
      </c>
      <c r="Q643" s="17">
        <f t="shared" si="51"/>
        <v>26.952558333333329</v>
      </c>
      <c r="R643" s="17">
        <f t="shared" si="51"/>
        <v>27.60693333333333</v>
      </c>
      <c r="S643" s="17">
        <f t="shared" si="51"/>
        <v>25.571933333333334</v>
      </c>
      <c r="T643" s="51">
        <f>SUM(T505:T516)</f>
        <v>357.33618100000001</v>
      </c>
      <c r="U643" s="51">
        <f>SUM(U505:U516)</f>
        <v>142.03263249999998</v>
      </c>
      <c r="V643" s="51">
        <f>SUM(V505:V516)</f>
        <v>50.187500000000007</v>
      </c>
      <c r="W643" s="51">
        <f>SUM(W505:W516)</f>
        <v>4.0622309999999988</v>
      </c>
      <c r="X643" s="51">
        <f>SUM(X505:X516)</f>
        <v>14.222225463999999</v>
      </c>
      <c r="Y643" s="51"/>
      <c r="Z643" s="50"/>
      <c r="AA643" s="49"/>
      <c r="AB643" s="48">
        <f>AVERAGE(AB505:AB516)</f>
        <v>26.441831118186954</v>
      </c>
      <c r="AC643" s="45">
        <f>AVERAGE(AC505:AC516)</f>
        <v>26.238137470023982</v>
      </c>
    </row>
    <row r="644" spans="1:29" ht="15.75" x14ac:dyDescent="0.25">
      <c r="A644" s="11">
        <f t="shared" si="34"/>
        <v>2055</v>
      </c>
      <c r="B644" s="17">
        <f t="shared" ref="B644:S644" si="52">AVERAGE(B517:B528)</f>
        <v>27.405100000000001</v>
      </c>
      <c r="C644" s="17">
        <f t="shared" si="52"/>
        <v>27.411375000000003</v>
      </c>
      <c r="D644" s="17">
        <f t="shared" si="52"/>
        <v>27.592408333333339</v>
      </c>
      <c r="E644" s="17">
        <f t="shared" si="52"/>
        <v>27.624508333333335</v>
      </c>
      <c r="F644" s="17">
        <f t="shared" si="52"/>
        <v>27.418575000000001</v>
      </c>
      <c r="G644" s="17">
        <f t="shared" si="52"/>
        <v>27.435033333333337</v>
      </c>
      <c r="H644" s="17">
        <f t="shared" si="52"/>
        <v>27.613325000000003</v>
      </c>
      <c r="I644" s="17">
        <f t="shared" si="52"/>
        <v>27.513208333333335</v>
      </c>
      <c r="J644" s="17">
        <f t="shared" si="52"/>
        <v>27.411175</v>
      </c>
      <c r="K644" s="52">
        <f t="shared" si="52"/>
        <v>27.507166666666674</v>
      </c>
      <c r="L644" s="17">
        <f t="shared" si="52"/>
        <v>28.200325000000003</v>
      </c>
      <c r="M644" s="17">
        <f t="shared" si="52"/>
        <v>27.17165</v>
      </c>
      <c r="N644" s="17">
        <f t="shared" si="52"/>
        <v>27.187966666666664</v>
      </c>
      <c r="O644" s="17">
        <f t="shared" si="52"/>
        <v>27.37199166666667</v>
      </c>
      <c r="P644" s="17">
        <f t="shared" si="52"/>
        <v>27.272066666666664</v>
      </c>
      <c r="Q644" s="17">
        <f t="shared" si="52"/>
        <v>27.966691666666673</v>
      </c>
      <c r="R644" s="17">
        <f t="shared" si="52"/>
        <v>28.623616666666674</v>
      </c>
      <c r="S644" s="17">
        <f t="shared" si="52"/>
        <v>26.564249999999998</v>
      </c>
      <c r="T644" s="51">
        <f>SUM(T517:T528)</f>
        <v>357.33618100000001</v>
      </c>
      <c r="U644" s="51">
        <f>SUM(U517:U528)</f>
        <v>142.03263249999998</v>
      </c>
      <c r="V644" s="51">
        <f>SUM(V517:V528)</f>
        <v>50.187500000000007</v>
      </c>
      <c r="W644" s="51">
        <f>SUM(W517:W528)</f>
        <v>4.0622309999999988</v>
      </c>
      <c r="X644" s="51">
        <f>SUM(X517:X528)</f>
        <v>14.222225463999999</v>
      </c>
      <c r="Y644" s="51"/>
      <c r="Z644" s="50"/>
      <c r="AA644" s="49"/>
      <c r="AB644" s="48">
        <f>AVERAGE(AB517:AB528)</f>
        <v>27.465425865180482</v>
      </c>
      <c r="AC644" s="45">
        <f>AVERAGE(AC517:AC528)</f>
        <v>27.252701738609115</v>
      </c>
    </row>
    <row r="645" spans="1:29" ht="15.75" x14ac:dyDescent="0.25">
      <c r="A645" s="11">
        <f t="shared" si="34"/>
        <v>2056</v>
      </c>
      <c r="B645" s="17">
        <f t="shared" ref="B645:S645" si="53">AVERAGE(B529:B540)</f>
        <v>28.468141666666668</v>
      </c>
      <c r="C645" s="17">
        <f t="shared" si="53"/>
        <v>28.474408333333333</v>
      </c>
      <c r="D645" s="17">
        <f t="shared" si="53"/>
        <v>28.655466666666669</v>
      </c>
      <c r="E645" s="17">
        <f t="shared" si="53"/>
        <v>28.687550000000002</v>
      </c>
      <c r="F645" s="17">
        <f t="shared" si="53"/>
        <v>28.481633333333331</v>
      </c>
      <c r="G645" s="17">
        <f t="shared" si="53"/>
        <v>28.49808333333333</v>
      </c>
      <c r="H645" s="17">
        <f t="shared" si="53"/>
        <v>28.676366666666667</v>
      </c>
      <c r="I645" s="17">
        <f t="shared" si="53"/>
        <v>28.579533333333334</v>
      </c>
      <c r="J645" s="17">
        <f t="shared" si="53"/>
        <v>28.474233333333334</v>
      </c>
      <c r="K645" s="52">
        <f t="shared" si="53"/>
        <v>28.573508333333336</v>
      </c>
      <c r="L645" s="17">
        <f t="shared" si="53"/>
        <v>29.26336666666667</v>
      </c>
      <c r="M645" s="17">
        <f t="shared" si="53"/>
        <v>28.225141666666662</v>
      </c>
      <c r="N645" s="17">
        <f t="shared" si="53"/>
        <v>28.24145833333333</v>
      </c>
      <c r="O645" s="17">
        <f t="shared" si="53"/>
        <v>28.425466666666669</v>
      </c>
      <c r="P645" s="17">
        <f t="shared" si="53"/>
        <v>28.328783333333334</v>
      </c>
      <c r="Q645" s="17">
        <f t="shared" si="53"/>
        <v>29.020166666666668</v>
      </c>
      <c r="R645" s="17">
        <f t="shared" si="53"/>
        <v>29.679725000000001</v>
      </c>
      <c r="S645" s="17">
        <f t="shared" si="53"/>
        <v>27.595108333333332</v>
      </c>
      <c r="T645" s="51">
        <f>SUM(T529:T540)</f>
        <v>358.26753550000001</v>
      </c>
      <c r="U645" s="51">
        <f>SUM(U529:U540)</f>
        <v>142.42176299999997</v>
      </c>
      <c r="V645" s="51">
        <f>SUM(V529:V540)</f>
        <v>50.325000000000003</v>
      </c>
      <c r="W645" s="51">
        <f>SUM(W529:W540)</f>
        <v>4.0733603999999994</v>
      </c>
      <c r="X645" s="51">
        <f>SUM(X529:X540)</f>
        <v>14.245965463999999</v>
      </c>
      <c r="Y645" s="51"/>
      <c r="Z645" s="50"/>
      <c r="AA645" s="49"/>
      <c r="AB645" s="48">
        <f>AVERAGE(AB529:AB540)</f>
        <v>28.528742190849229</v>
      </c>
      <c r="AC645" s="45">
        <f>AVERAGE(AC529:AC540)</f>
        <v>28.306651318944844</v>
      </c>
    </row>
    <row r="646" spans="1:29" ht="15.75" x14ac:dyDescent="0.25">
      <c r="A646" s="11">
        <f t="shared" si="34"/>
        <v>2057</v>
      </c>
      <c r="B646" s="17">
        <f t="shared" ref="B646:S646" si="54">AVERAGE(B541:B552)</f>
        <v>29.572458333333334</v>
      </c>
      <c r="C646" s="17">
        <f t="shared" si="54"/>
        <v>29.578716666666669</v>
      </c>
      <c r="D646" s="17">
        <f t="shared" si="54"/>
        <v>29.75975</v>
      </c>
      <c r="E646" s="17">
        <f t="shared" si="54"/>
        <v>29.791858333333334</v>
      </c>
      <c r="F646" s="17">
        <f t="shared" si="54"/>
        <v>29.585916666666662</v>
      </c>
      <c r="G646" s="17">
        <f t="shared" si="54"/>
        <v>29.602383333333332</v>
      </c>
      <c r="H646" s="17">
        <f t="shared" si="54"/>
        <v>29.780666666666665</v>
      </c>
      <c r="I646" s="17">
        <f t="shared" si="54"/>
        <v>29.687283333333337</v>
      </c>
      <c r="J646" s="17">
        <f t="shared" si="54"/>
        <v>29.578516666666662</v>
      </c>
      <c r="K646" s="52">
        <f t="shared" si="54"/>
        <v>29.681233333333328</v>
      </c>
      <c r="L646" s="17">
        <f t="shared" si="54"/>
        <v>30.367666666666661</v>
      </c>
      <c r="M646" s="17">
        <f t="shared" si="54"/>
        <v>29.319524999999999</v>
      </c>
      <c r="N646" s="17">
        <f t="shared" si="54"/>
        <v>29.335841666666667</v>
      </c>
      <c r="O646" s="17">
        <f t="shared" si="54"/>
        <v>29.519849999999995</v>
      </c>
      <c r="P646" s="17">
        <f t="shared" si="54"/>
        <v>29.426516666666672</v>
      </c>
      <c r="Q646" s="17">
        <f t="shared" si="54"/>
        <v>30.114549999999998</v>
      </c>
      <c r="R646" s="17">
        <f t="shared" si="54"/>
        <v>30.776825000000006</v>
      </c>
      <c r="S646" s="17">
        <f t="shared" si="54"/>
        <v>28.665925000000001</v>
      </c>
      <c r="T646" s="51">
        <f>SUM(T541:T552)</f>
        <v>357.33618100000001</v>
      </c>
      <c r="U646" s="51">
        <f>SUM(U541:U552)</f>
        <v>142.03263249999998</v>
      </c>
      <c r="V646" s="51">
        <f>SUM(V541:V552)</f>
        <v>50.187500000000007</v>
      </c>
      <c r="W646" s="51">
        <f>SUM(W541:W552)</f>
        <v>4.0622309999999988</v>
      </c>
      <c r="X646" s="51">
        <f>SUM(X541:X552)</f>
        <v>14.222225463999999</v>
      </c>
      <c r="Y646" s="51"/>
      <c r="Z646" s="50"/>
      <c r="AA646" s="49"/>
      <c r="AB646" s="48">
        <f>AVERAGE(AB541:AB552)</f>
        <v>29.633326067673327</v>
      </c>
      <c r="AC646" s="45">
        <f>AVERAGE(AC541:AC552)</f>
        <v>29.401515227817743</v>
      </c>
    </row>
    <row r="647" spans="1:29" ht="15.75" x14ac:dyDescent="0.25">
      <c r="A647" s="11">
        <f t="shared" si="34"/>
        <v>2058</v>
      </c>
      <c r="B647" s="17">
        <f t="shared" ref="B647:S647" si="55">AVERAGE(B553:B564)</f>
        <v>30.719600000000003</v>
      </c>
      <c r="C647" s="17">
        <f t="shared" si="55"/>
        <v>30.725883333333332</v>
      </c>
      <c r="D647" s="17">
        <f t="shared" si="55"/>
        <v>30.906891666666667</v>
      </c>
      <c r="E647" s="17">
        <f t="shared" si="55"/>
        <v>30.938999999999997</v>
      </c>
      <c r="F647" s="17">
        <f t="shared" si="55"/>
        <v>30.733075000000003</v>
      </c>
      <c r="G647" s="17">
        <f t="shared" si="55"/>
        <v>30.749541666666669</v>
      </c>
      <c r="H647" s="17">
        <f t="shared" si="55"/>
        <v>30.927816666666661</v>
      </c>
      <c r="I647" s="17">
        <f t="shared" si="55"/>
        <v>30.837999999999997</v>
      </c>
      <c r="J647" s="17">
        <f t="shared" si="55"/>
        <v>30.725674999999999</v>
      </c>
      <c r="K647" s="52">
        <f t="shared" si="55"/>
        <v>30.831933333333335</v>
      </c>
      <c r="L647" s="17">
        <f t="shared" si="55"/>
        <v>31.514816666666665</v>
      </c>
      <c r="M647" s="17">
        <f t="shared" si="55"/>
        <v>30.456366666666668</v>
      </c>
      <c r="N647" s="17">
        <f t="shared" si="55"/>
        <v>30.472666666666669</v>
      </c>
      <c r="O647" s="17">
        <f t="shared" si="55"/>
        <v>30.656674999999996</v>
      </c>
      <c r="P647" s="17">
        <f t="shared" si="55"/>
        <v>30.56686666666667</v>
      </c>
      <c r="Q647" s="17">
        <f t="shared" si="55"/>
        <v>31.251375000000007</v>
      </c>
      <c r="R647" s="17">
        <f t="shared" si="55"/>
        <v>31.916491666666662</v>
      </c>
      <c r="S647" s="17">
        <f t="shared" si="55"/>
        <v>29.778325000000006</v>
      </c>
      <c r="T647" s="51">
        <f>SUM(T553:T564)</f>
        <v>357.33618100000001</v>
      </c>
      <c r="U647" s="51">
        <f>SUM(U553:U564)</f>
        <v>142.03263249999998</v>
      </c>
      <c r="V647" s="51">
        <f>SUM(V553:V564)</f>
        <v>50.187500000000007</v>
      </c>
      <c r="W647" s="51">
        <f>SUM(W553:W564)</f>
        <v>4.0622309999999988</v>
      </c>
      <c r="X647" s="51">
        <f>SUM(X553:X564)</f>
        <v>14.222225463999999</v>
      </c>
      <c r="Y647" s="51"/>
      <c r="Z647" s="50"/>
      <c r="AA647" s="49"/>
      <c r="AB647" s="48">
        <f>AVERAGE(AB553:AB564)</f>
        <v>30.78077364266829</v>
      </c>
      <c r="AC647" s="45">
        <f>AVERAGE(AC553:AC564)</f>
        <v>30.538856055155875</v>
      </c>
    </row>
    <row r="648" spans="1:29" ht="15.75" x14ac:dyDescent="0.25">
      <c r="A648" s="11">
        <f t="shared" si="34"/>
        <v>2059</v>
      </c>
      <c r="B648" s="17">
        <f t="shared" ref="B648:S648" si="56">AVERAGE(B565:B576)</f>
        <v>31.911266666666666</v>
      </c>
      <c r="C648" s="17">
        <f t="shared" si="56"/>
        <v>31.917533333333324</v>
      </c>
      <c r="D648" s="17">
        <f t="shared" si="56"/>
        <v>32.098558333333337</v>
      </c>
      <c r="E648" s="17">
        <f t="shared" si="56"/>
        <v>32.130691666666671</v>
      </c>
      <c r="F648" s="17">
        <f t="shared" si="56"/>
        <v>31.924741666666666</v>
      </c>
      <c r="G648" s="17">
        <f t="shared" si="56"/>
        <v>31.941208333333332</v>
      </c>
      <c r="H648" s="17">
        <f t="shared" si="56"/>
        <v>32.119483333333335</v>
      </c>
      <c r="I648" s="17">
        <f t="shared" si="56"/>
        <v>32.033358333333332</v>
      </c>
      <c r="J648" s="17">
        <f t="shared" si="56"/>
        <v>31.917341666666669</v>
      </c>
      <c r="K648" s="52">
        <f t="shared" si="56"/>
        <v>32.027316666666671</v>
      </c>
      <c r="L648" s="17">
        <f t="shared" si="56"/>
        <v>32.706483333333331</v>
      </c>
      <c r="M648" s="17">
        <f t="shared" si="56"/>
        <v>31.637308333333333</v>
      </c>
      <c r="N648" s="17">
        <f t="shared" si="56"/>
        <v>31.653600000000001</v>
      </c>
      <c r="O648" s="17">
        <f t="shared" si="56"/>
        <v>31.837633333333333</v>
      </c>
      <c r="P648" s="17">
        <f t="shared" si="56"/>
        <v>31.751433333333335</v>
      </c>
      <c r="Q648" s="17">
        <f t="shared" si="56"/>
        <v>32.432333333333325</v>
      </c>
      <c r="R648" s="17">
        <f t="shared" si="56"/>
        <v>33.100408333333334</v>
      </c>
      <c r="S648" s="17">
        <f t="shared" si="56"/>
        <v>30.933883333333331</v>
      </c>
      <c r="T648" s="51">
        <f>SUM(T565:T576)</f>
        <v>357.33618100000001</v>
      </c>
      <c r="U648" s="51">
        <f>SUM(U565:U576)</f>
        <v>142.03263249999998</v>
      </c>
      <c r="V648" s="51">
        <f>SUM(V565:V576)</f>
        <v>50.187500000000007</v>
      </c>
      <c r="W648" s="51">
        <f>SUM(W565:W576)</f>
        <v>4.0622309999999988</v>
      </c>
      <c r="X648" s="51">
        <f>SUM(X565:X576)</f>
        <v>14.222225463999999</v>
      </c>
      <c r="Y648" s="51"/>
      <c r="Z648" s="17"/>
      <c r="AA648" s="17"/>
      <c r="AB648" s="48">
        <f>AVERAGE(AB565:AB576)</f>
        <v>31.972743536247361</v>
      </c>
      <c r="AC648" s="45">
        <f>AVERAGE(AC565:AC576)</f>
        <v>31.720323501199037</v>
      </c>
    </row>
    <row r="649" spans="1:29" ht="15.75" x14ac:dyDescent="0.25">
      <c r="A649" s="11">
        <f t="shared" si="34"/>
        <v>2060</v>
      </c>
      <c r="B649" s="17">
        <f t="shared" ref="B649:S649" si="57">AVERAGE(B577:B588)</f>
        <v>33.149183333333333</v>
      </c>
      <c r="C649" s="17">
        <f t="shared" si="57"/>
        <v>33.155449999999995</v>
      </c>
      <c r="D649" s="17">
        <f t="shared" si="57"/>
        <v>33.336483333333334</v>
      </c>
      <c r="E649" s="17">
        <f t="shared" si="57"/>
        <v>33.368608333333334</v>
      </c>
      <c r="F649" s="17">
        <f t="shared" si="57"/>
        <v>33.162666666666674</v>
      </c>
      <c r="G649" s="17">
        <f t="shared" si="57"/>
        <v>33.179108333333325</v>
      </c>
      <c r="H649" s="17">
        <f t="shared" si="57"/>
        <v>33.357408333333332</v>
      </c>
      <c r="I649" s="17">
        <f t="shared" si="57"/>
        <v>33.275108333333336</v>
      </c>
      <c r="J649" s="17">
        <f t="shared" si="57"/>
        <v>33.15526666666667</v>
      </c>
      <c r="K649" s="52">
        <f t="shared" si="57"/>
        <v>33.269066666666667</v>
      </c>
      <c r="L649" s="17">
        <f t="shared" si="57"/>
        <v>33.944408333333335</v>
      </c>
      <c r="M649" s="17">
        <f t="shared" si="57"/>
        <v>32.864083333333333</v>
      </c>
      <c r="N649" s="17">
        <f t="shared" si="57"/>
        <v>32.880383333333334</v>
      </c>
      <c r="O649" s="17">
        <f t="shared" si="57"/>
        <v>33.064399999999999</v>
      </c>
      <c r="P649" s="17">
        <f t="shared" si="57"/>
        <v>32.981991666666666</v>
      </c>
      <c r="Q649" s="17">
        <f t="shared" si="57"/>
        <v>33.659100000000002</v>
      </c>
      <c r="R649" s="17">
        <f t="shared" si="57"/>
        <v>34.330249999999999</v>
      </c>
      <c r="S649" s="17">
        <f t="shared" si="57"/>
        <v>32.134291666666662</v>
      </c>
      <c r="T649" s="51">
        <f>SUM(T577:T588)</f>
        <v>358.26753550000001</v>
      </c>
      <c r="U649" s="51">
        <f>SUM(U577:U588)</f>
        <v>142.42176299999997</v>
      </c>
      <c r="V649" s="51">
        <f>SUM(V577:V588)</f>
        <v>50.325000000000003</v>
      </c>
      <c r="W649" s="51">
        <f>SUM(W577:W588)</f>
        <v>4.0733603999999994</v>
      </c>
      <c r="X649" s="51">
        <f>SUM(X577:X588)</f>
        <v>14.245965463999999</v>
      </c>
      <c r="Y649" s="51"/>
      <c r="Z649" s="50"/>
      <c r="AA649" s="49"/>
      <c r="AB649" s="48">
        <f>AVERAGE(AB577:AB588)</f>
        <v>33.210978451235498</v>
      </c>
      <c r="AC649" s="45">
        <f>AVERAGE(AC577:AC588)</f>
        <v>32.947639568345323</v>
      </c>
    </row>
    <row r="650" spans="1:29" ht="15.75" x14ac:dyDescent="0.25">
      <c r="A650" s="11">
        <f t="shared" si="34"/>
        <v>2061</v>
      </c>
      <c r="B650" s="17">
        <f t="shared" ref="B650:S650" si="58">AVERAGE(B589:B600)</f>
        <v>34.435074999999998</v>
      </c>
      <c r="C650" s="17">
        <f t="shared" si="58"/>
        <v>34.441333333333333</v>
      </c>
      <c r="D650" s="17">
        <f t="shared" si="58"/>
        <v>34.622374999999998</v>
      </c>
      <c r="E650" s="17">
        <f t="shared" si="58"/>
        <v>34.654499999999992</v>
      </c>
      <c r="F650" s="17">
        <f t="shared" si="58"/>
        <v>34.448533333333337</v>
      </c>
      <c r="G650" s="17">
        <f t="shared" si="58"/>
        <v>34.465008333333337</v>
      </c>
      <c r="H650" s="17">
        <f t="shared" si="58"/>
        <v>34.643283333333336</v>
      </c>
      <c r="I650" s="17">
        <f t="shared" si="58"/>
        <v>34.564974999999997</v>
      </c>
      <c r="J650" s="17">
        <f t="shared" si="58"/>
        <v>34.441133333333333</v>
      </c>
      <c r="K650" s="52">
        <f t="shared" si="58"/>
        <v>34.558958333333337</v>
      </c>
      <c r="L650" s="17">
        <f t="shared" si="58"/>
        <v>35.230283333333325</v>
      </c>
      <c r="M650" s="17">
        <f t="shared" si="58"/>
        <v>34.138424999999991</v>
      </c>
      <c r="N650" s="17">
        <f t="shared" si="58"/>
        <v>34.154724999999999</v>
      </c>
      <c r="O650" s="17">
        <f t="shared" si="58"/>
        <v>34.338725000000004</v>
      </c>
      <c r="P650" s="17">
        <f t="shared" si="58"/>
        <v>34.260250000000006</v>
      </c>
      <c r="Q650" s="17">
        <f t="shared" si="58"/>
        <v>34.933425000000007</v>
      </c>
      <c r="R650" s="17">
        <f t="shared" si="58"/>
        <v>35.60778333333333</v>
      </c>
      <c r="S650" s="17">
        <f t="shared" si="58"/>
        <v>33.381216666666667</v>
      </c>
      <c r="T650" s="51">
        <f>SUM(T589:T600)</f>
        <v>357.33618100000001</v>
      </c>
      <c r="U650" s="51">
        <f>SUM(U589:U600)</f>
        <v>142.03263249999998</v>
      </c>
      <c r="V650" s="51">
        <f>SUM(V589:V600)</f>
        <v>50.187500000000007</v>
      </c>
      <c r="W650" s="51">
        <f>SUM(W589:W600)</f>
        <v>4.0622309999999988</v>
      </c>
      <c r="X650" s="51">
        <f>SUM(X589:X600)</f>
        <v>14.222225463999999</v>
      </c>
      <c r="Y650" s="51"/>
      <c r="Z650" s="50"/>
      <c r="AA650" s="49"/>
      <c r="AB650" s="48">
        <f>AVERAGE(AB589:AB600)</f>
        <v>34.49718941687663</v>
      </c>
      <c r="AC650" s="45">
        <f>AVERAGE(AC589:AC600)</f>
        <v>34.222538669064754</v>
      </c>
    </row>
    <row r="652" spans="1:29" ht="15" x14ac:dyDescent="0.2">
      <c r="S652" s="17"/>
    </row>
    <row r="653" spans="1:29" ht="15" x14ac:dyDescent="0.2">
      <c r="S653" s="17"/>
    </row>
    <row r="654" spans="1:29" ht="15" x14ac:dyDescent="0.2">
      <c r="S654" s="17"/>
    </row>
    <row r="655" spans="1:29" ht="15" x14ac:dyDescent="0.2">
      <c r="S655" s="17"/>
    </row>
    <row r="656" spans="1:29" ht="15" x14ac:dyDescent="0.2">
      <c r="S656" s="17"/>
    </row>
  </sheetData>
  <mergeCells count="4">
    <mergeCell ref="Z9:AA9"/>
    <mergeCell ref="T9:Y9"/>
    <mergeCell ref="T10:Y10"/>
    <mergeCell ref="T8:Y8"/>
  </mergeCells>
  <pageMargins left="0.25" right="0.25" top="0.5" bottom="0.5" header="0.25" footer="0.25"/>
  <pageSetup paperSize="17" scale="3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7</xdr:col>
                    <xdr:colOff>333375</xdr:colOff>
                    <xdr:row>7</xdr:row>
                    <xdr:rowOff>85725</xdr:rowOff>
                  </from>
                  <to>
                    <xdr:col>8</xdr:col>
                    <xdr:colOff>600075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locked="0" defaultSize="0" autoLine="0" autoPict="0">
                <anchor moveWithCells="1">
                  <from>
                    <xdr:col>11</xdr:col>
                    <xdr:colOff>47625</xdr:colOff>
                    <xdr:row>7</xdr:row>
                    <xdr:rowOff>180975</xdr:rowOff>
                  </from>
                  <to>
                    <xdr:col>12</xdr:col>
                    <xdr:colOff>323850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D708"/>
  <sheetViews>
    <sheetView zoomScale="75" zoomScaleNormal="75" workbookViewId="0">
      <pane xSplit="1" ySplit="11" topLeftCell="B12" activePane="bottomRight" state="frozen"/>
      <selection activeCell="B7" sqref="B7"/>
      <selection pane="topRight" activeCell="B7" sqref="B7"/>
      <selection pane="bottomLeft" activeCell="B7" sqref="B7"/>
      <selection pane="bottomRight" activeCell="B12" sqref="B12"/>
    </sheetView>
  </sheetViews>
  <sheetFormatPr defaultColWidth="7.109375" defaultRowHeight="12.75" x14ac:dyDescent="0.2"/>
  <cols>
    <col min="1" max="1" width="19.21875" style="33" customWidth="1"/>
    <col min="2" max="2" width="7.88671875" style="33" customWidth="1"/>
    <col min="3" max="14" width="13" style="8" customWidth="1"/>
    <col min="15" max="19" width="20.6640625" style="8" customWidth="1"/>
    <col min="20" max="20" width="15.44140625" style="8" customWidth="1"/>
    <col min="21" max="21" width="7.77734375" style="8" customWidth="1"/>
    <col min="22" max="16384" width="7.109375" style="8"/>
  </cols>
  <sheetData>
    <row r="1" spans="1:30" ht="15.75" x14ac:dyDescent="0.25">
      <c r="A1" s="102" t="s">
        <v>91</v>
      </c>
    </row>
    <row r="2" spans="1:30" ht="15.75" x14ac:dyDescent="0.25">
      <c r="A2" s="102" t="s">
        <v>92</v>
      </c>
    </row>
    <row r="3" spans="1:30" ht="15.75" x14ac:dyDescent="0.25">
      <c r="A3" s="102" t="s">
        <v>93</v>
      </c>
    </row>
    <row r="4" spans="1:30" ht="15.75" x14ac:dyDescent="0.25">
      <c r="A4" s="102" t="s">
        <v>94</v>
      </c>
    </row>
    <row r="5" spans="1:30" ht="15.75" x14ac:dyDescent="0.25">
      <c r="A5" s="102" t="s">
        <v>96</v>
      </c>
    </row>
    <row r="6" spans="1:30" ht="15.75" x14ac:dyDescent="0.25">
      <c r="A6" s="102" t="s">
        <v>101</v>
      </c>
    </row>
    <row r="7" spans="1:30" ht="15.75" x14ac:dyDescent="0.25">
      <c r="A7" s="102"/>
    </row>
    <row r="8" spans="1:30" ht="15.75" x14ac:dyDescent="0.25">
      <c r="A8" s="42" t="s">
        <v>27</v>
      </c>
      <c r="B8" s="42"/>
      <c r="C8" s="100"/>
      <c r="O8" s="71"/>
      <c r="P8" s="71"/>
      <c r="Q8" s="71"/>
      <c r="R8" s="71"/>
      <c r="S8" s="71"/>
    </row>
    <row r="9" spans="1:30" ht="15.75" x14ac:dyDescent="0.25">
      <c r="A9" s="42"/>
      <c r="C9" s="111" t="s">
        <v>90</v>
      </c>
      <c r="D9" s="111"/>
      <c r="E9" s="111"/>
      <c r="F9" s="111"/>
      <c r="G9" s="99"/>
      <c r="H9" s="99"/>
      <c r="I9" s="116" t="s">
        <v>89</v>
      </c>
      <c r="J9" s="117"/>
      <c r="K9" s="117"/>
      <c r="L9" s="98"/>
      <c r="M9" s="73"/>
      <c r="N9" s="97"/>
      <c r="O9" s="115"/>
      <c r="P9" s="115"/>
      <c r="Q9" s="115"/>
      <c r="R9" s="96"/>
      <c r="S9" s="96"/>
    </row>
    <row r="10" spans="1:30" ht="97.9" customHeight="1" x14ac:dyDescent="0.25">
      <c r="A10" s="95"/>
      <c r="B10" s="95"/>
      <c r="C10" s="66" t="s">
        <v>77</v>
      </c>
      <c r="D10" s="70" t="s">
        <v>76</v>
      </c>
      <c r="E10" s="66" t="s">
        <v>75</v>
      </c>
      <c r="F10" s="66" t="s">
        <v>74</v>
      </c>
      <c r="G10" s="70" t="s">
        <v>73</v>
      </c>
      <c r="H10" s="70" t="s">
        <v>72</v>
      </c>
      <c r="I10" s="70" t="s">
        <v>71</v>
      </c>
      <c r="J10" s="70" t="s">
        <v>70</v>
      </c>
      <c r="K10" s="70" t="s">
        <v>69</v>
      </c>
      <c r="L10" s="66" t="s">
        <v>88</v>
      </c>
      <c r="M10" s="67" t="s">
        <v>68</v>
      </c>
      <c r="N10" s="36" t="s">
        <v>67</v>
      </c>
      <c r="O10" s="69" t="s">
        <v>87</v>
      </c>
      <c r="P10" s="69" t="s">
        <v>86</v>
      </c>
      <c r="Q10" s="69" t="s">
        <v>85</v>
      </c>
      <c r="R10" s="69" t="s">
        <v>63</v>
      </c>
      <c r="S10" s="94" t="s">
        <v>84</v>
      </c>
      <c r="T10" s="38" t="s">
        <v>83</v>
      </c>
    </row>
    <row r="11" spans="1:30" ht="15.75" x14ac:dyDescent="0.25">
      <c r="A11" s="37" t="s">
        <v>15</v>
      </c>
      <c r="B11" s="37" t="s">
        <v>82</v>
      </c>
      <c r="C11" s="37" t="s">
        <v>81</v>
      </c>
      <c r="D11" s="37" t="s">
        <v>81</v>
      </c>
      <c r="E11" s="37" t="s">
        <v>81</v>
      </c>
      <c r="F11" s="37" t="s">
        <v>81</v>
      </c>
      <c r="G11" s="37" t="s">
        <v>81</v>
      </c>
      <c r="H11" s="37" t="s">
        <v>81</v>
      </c>
      <c r="I11" s="37" t="s">
        <v>81</v>
      </c>
      <c r="J11" s="37" t="s">
        <v>81</v>
      </c>
      <c r="K11" s="37" t="s">
        <v>81</v>
      </c>
      <c r="L11" s="37" t="s">
        <v>81</v>
      </c>
      <c r="M11" s="93" t="s">
        <v>81</v>
      </c>
      <c r="N11" s="37" t="s">
        <v>81</v>
      </c>
      <c r="O11" s="37" t="s">
        <v>81</v>
      </c>
      <c r="P11" s="37" t="s">
        <v>81</v>
      </c>
      <c r="Q11" s="37" t="s">
        <v>81</v>
      </c>
      <c r="R11" s="37" t="s">
        <v>81</v>
      </c>
      <c r="S11" s="37" t="s">
        <v>81</v>
      </c>
      <c r="T11" s="37" t="s">
        <v>81</v>
      </c>
    </row>
    <row r="12" spans="1:30" ht="15" x14ac:dyDescent="0.2">
      <c r="A12" s="16">
        <v>41275</v>
      </c>
      <c r="B12" s="91">
        <v>31</v>
      </c>
      <c r="C12" s="78">
        <v>122.58</v>
      </c>
      <c r="D12" s="78">
        <v>297.94099999999997</v>
      </c>
      <c r="E12" s="86">
        <v>89.177000000000007</v>
      </c>
      <c r="F12" s="78">
        <v>200.30199999999999</v>
      </c>
      <c r="G12" s="80">
        <v>40</v>
      </c>
      <c r="H12" s="78">
        <v>0</v>
      </c>
      <c r="I12" s="78">
        <v>0</v>
      </c>
      <c r="J12" s="80">
        <v>100</v>
      </c>
      <c r="K12" s="80">
        <v>300</v>
      </c>
      <c r="L12" s="78">
        <v>1150</v>
      </c>
      <c r="M12" s="92"/>
      <c r="N12" s="78">
        <v>125</v>
      </c>
      <c r="O12" s="80">
        <v>240</v>
      </c>
      <c r="P12" s="80">
        <v>0</v>
      </c>
      <c r="Q12" s="80">
        <v>355</v>
      </c>
      <c r="R12" s="80">
        <v>100</v>
      </c>
      <c r="S12" s="78">
        <v>695</v>
      </c>
      <c r="T12" s="78">
        <v>50</v>
      </c>
      <c r="U12" s="76"/>
      <c r="V12" s="76"/>
      <c r="W12" s="76"/>
      <c r="X12" s="76"/>
      <c r="Y12" s="76"/>
      <c r="Z12" s="76"/>
      <c r="AA12" s="76"/>
      <c r="AB12" s="76"/>
      <c r="AC12" s="76"/>
      <c r="AD12" s="76"/>
    </row>
    <row r="13" spans="1:30" ht="15" x14ac:dyDescent="0.2">
      <c r="A13" s="16">
        <v>41306</v>
      </c>
      <c r="B13" s="91">
        <v>28</v>
      </c>
      <c r="C13" s="78">
        <v>122.58</v>
      </c>
      <c r="D13" s="78">
        <v>297.94099999999997</v>
      </c>
      <c r="E13" s="86">
        <v>89.177000000000007</v>
      </c>
      <c r="F13" s="78">
        <v>200.30199999999999</v>
      </c>
      <c r="G13" s="80">
        <v>40</v>
      </c>
      <c r="H13" s="78">
        <v>0</v>
      </c>
      <c r="I13" s="78">
        <v>0</v>
      </c>
      <c r="J13" s="80">
        <v>100</v>
      </c>
      <c r="K13" s="80">
        <v>300</v>
      </c>
      <c r="L13" s="78">
        <v>1150</v>
      </c>
      <c r="M13" s="92"/>
      <c r="N13" s="78">
        <v>125</v>
      </c>
      <c r="O13" s="80">
        <v>240</v>
      </c>
      <c r="P13" s="80">
        <v>0</v>
      </c>
      <c r="Q13" s="80">
        <v>355</v>
      </c>
      <c r="R13" s="80">
        <v>100</v>
      </c>
      <c r="S13" s="78">
        <v>695</v>
      </c>
      <c r="T13" s="78">
        <v>50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15" x14ac:dyDescent="0.2">
      <c r="A14" s="16">
        <v>41334</v>
      </c>
      <c r="B14" s="91">
        <v>31</v>
      </c>
      <c r="C14" s="78">
        <f>122.58</f>
        <v>122.58</v>
      </c>
      <c r="D14" s="78">
        <f>297.941</f>
        <v>297.94099999999997</v>
      </c>
      <c r="E14" s="86">
        <f>89.177</f>
        <v>89.177000000000007</v>
      </c>
      <c r="F14" s="78">
        <f>240.302-40</f>
        <v>200.30199999999999</v>
      </c>
      <c r="G14" s="80">
        <v>40</v>
      </c>
      <c r="H14" s="78">
        <v>0</v>
      </c>
      <c r="I14" s="78">
        <v>0</v>
      </c>
      <c r="J14" s="80">
        <v>100</v>
      </c>
      <c r="K14" s="80">
        <v>300</v>
      </c>
      <c r="L14" s="78">
        <f t="shared" ref="L14:L77" si="0">SUM(C14:K14)</f>
        <v>1150</v>
      </c>
      <c r="M14" s="92"/>
      <c r="N14" s="78">
        <f>125</f>
        <v>125</v>
      </c>
      <c r="O14" s="80">
        <v>240</v>
      </c>
      <c r="P14" s="80">
        <v>0</v>
      </c>
      <c r="Q14" s="80">
        <f t="shared" ref="Q14:Q77" si="1">695-R14-O14-P14</f>
        <v>355</v>
      </c>
      <c r="R14" s="80">
        <f t="shared" ref="R14:R77" si="2">200-J14</f>
        <v>100</v>
      </c>
      <c r="S14" s="78">
        <f t="shared" ref="S14:S77" si="3">SUM(O14:R14)</f>
        <v>695</v>
      </c>
      <c r="T14" s="78">
        <f>50</f>
        <v>50</v>
      </c>
      <c r="U14" s="76"/>
      <c r="V14" s="76"/>
      <c r="W14" s="76"/>
      <c r="X14" s="76"/>
      <c r="Y14" s="76"/>
      <c r="Z14" s="76"/>
      <c r="AA14" s="76"/>
      <c r="AB14" s="76"/>
      <c r="AC14" s="76"/>
      <c r="AD14" s="76"/>
    </row>
    <row r="15" spans="1:30" ht="15" x14ac:dyDescent="0.2">
      <c r="A15" s="16">
        <v>41365</v>
      </c>
      <c r="B15" s="91">
        <v>30</v>
      </c>
      <c r="C15" s="78">
        <f>141.293</f>
        <v>141.29300000000001</v>
      </c>
      <c r="D15" s="78">
        <f>267.993</f>
        <v>267.99299999999999</v>
      </c>
      <c r="E15" s="86">
        <f>115.016</f>
        <v>115.01600000000001</v>
      </c>
      <c r="F15" s="78">
        <f>314.698-40-25</f>
        <v>249.69799999999998</v>
      </c>
      <c r="G15" s="80">
        <v>40</v>
      </c>
      <c r="H15" s="78">
        <v>25</v>
      </c>
      <c r="I15" s="78">
        <v>0</v>
      </c>
      <c r="J15" s="80">
        <v>100</v>
      </c>
      <c r="K15" s="80">
        <v>300</v>
      </c>
      <c r="L15" s="78">
        <f t="shared" si="0"/>
        <v>1239</v>
      </c>
      <c r="M15" s="92"/>
      <c r="N15" s="78">
        <f>125</f>
        <v>125</v>
      </c>
      <c r="O15" s="80">
        <v>240</v>
      </c>
      <c r="P15" s="80">
        <f t="shared" ref="P15:P21" si="4">145-H15</f>
        <v>120</v>
      </c>
      <c r="Q15" s="80">
        <f t="shared" si="1"/>
        <v>235</v>
      </c>
      <c r="R15" s="80">
        <f t="shared" si="2"/>
        <v>100</v>
      </c>
      <c r="S15" s="78">
        <f t="shared" si="3"/>
        <v>695</v>
      </c>
      <c r="T15" s="78">
        <f>50</f>
        <v>50</v>
      </c>
      <c r="U15" s="76"/>
      <c r="V15" s="76"/>
      <c r="W15" s="76"/>
      <c r="X15" s="76"/>
      <c r="Y15" s="76"/>
      <c r="Z15" s="76"/>
      <c r="AA15" s="76"/>
      <c r="AB15" s="76"/>
      <c r="AC15" s="76"/>
      <c r="AD15" s="76"/>
    </row>
    <row r="16" spans="1:30" ht="15" x14ac:dyDescent="0.2">
      <c r="A16" s="16">
        <v>41395</v>
      </c>
      <c r="B16" s="91">
        <v>31</v>
      </c>
      <c r="C16" s="78">
        <f>194.205</f>
        <v>194.20500000000001</v>
      </c>
      <c r="D16" s="78">
        <f>267.466</f>
        <v>267.46600000000001</v>
      </c>
      <c r="E16" s="86">
        <f>133.845</f>
        <v>133.845</v>
      </c>
      <c r="F16" s="78">
        <f>278.484-40-25</f>
        <v>213.48399999999998</v>
      </c>
      <c r="G16" s="80">
        <v>40</v>
      </c>
      <c r="H16" s="78">
        <v>25</v>
      </c>
      <c r="I16" s="92">
        <v>30</v>
      </c>
      <c r="J16" s="80">
        <v>100</v>
      </c>
      <c r="K16" s="80">
        <v>300</v>
      </c>
      <c r="L16" s="78">
        <f t="shared" si="0"/>
        <v>1304</v>
      </c>
      <c r="M16" s="92"/>
      <c r="N16" s="78">
        <f>100</f>
        <v>100</v>
      </c>
      <c r="O16" s="80">
        <v>240</v>
      </c>
      <c r="P16" s="80">
        <f t="shared" si="4"/>
        <v>120</v>
      </c>
      <c r="Q16" s="80">
        <f t="shared" si="1"/>
        <v>235</v>
      </c>
      <c r="R16" s="80">
        <f t="shared" si="2"/>
        <v>100</v>
      </c>
      <c r="S16" s="78">
        <f t="shared" si="3"/>
        <v>695</v>
      </c>
      <c r="T16" s="78">
        <f>50</f>
        <v>50</v>
      </c>
      <c r="U16" s="76"/>
      <c r="V16" s="76"/>
      <c r="W16" s="76"/>
      <c r="X16" s="76"/>
      <c r="Y16" s="76"/>
      <c r="Z16" s="76"/>
      <c r="AA16" s="76"/>
      <c r="AB16" s="76"/>
      <c r="AC16" s="76"/>
      <c r="AD16" s="76"/>
    </row>
    <row r="17" spans="1:30" ht="15" x14ac:dyDescent="0.2">
      <c r="A17" s="16">
        <v>41426</v>
      </c>
      <c r="B17" s="91">
        <v>30</v>
      </c>
      <c r="C17" s="78">
        <f>194.205</f>
        <v>194.20500000000001</v>
      </c>
      <c r="D17" s="78">
        <f>267.466</f>
        <v>267.46600000000001</v>
      </c>
      <c r="E17" s="86">
        <f>133.845</f>
        <v>133.845</v>
      </c>
      <c r="F17" s="78">
        <f>278.484-40-25</f>
        <v>213.48399999999998</v>
      </c>
      <c r="G17" s="80">
        <v>40</v>
      </c>
      <c r="H17" s="78">
        <v>25</v>
      </c>
      <c r="I17" s="92">
        <v>30</v>
      </c>
      <c r="J17" s="80">
        <v>100</v>
      </c>
      <c r="K17" s="80">
        <v>300</v>
      </c>
      <c r="L17" s="78">
        <f t="shared" si="0"/>
        <v>1304</v>
      </c>
      <c r="M17" s="92"/>
      <c r="N17" s="78">
        <f>55</f>
        <v>55</v>
      </c>
      <c r="O17" s="80">
        <v>240</v>
      </c>
      <c r="P17" s="80">
        <f t="shared" si="4"/>
        <v>120</v>
      </c>
      <c r="Q17" s="80">
        <f t="shared" si="1"/>
        <v>235</v>
      </c>
      <c r="R17" s="80">
        <f t="shared" si="2"/>
        <v>100</v>
      </c>
      <c r="S17" s="78">
        <f t="shared" si="3"/>
        <v>695</v>
      </c>
      <c r="T17" s="78">
        <f>50</f>
        <v>50</v>
      </c>
      <c r="U17" s="76"/>
      <c r="V17" s="76"/>
      <c r="W17" s="76"/>
      <c r="X17" s="76"/>
      <c r="Y17" s="76"/>
      <c r="Z17" s="76"/>
      <c r="AA17" s="76"/>
      <c r="AB17" s="76"/>
      <c r="AC17" s="76"/>
      <c r="AD17" s="76"/>
    </row>
    <row r="18" spans="1:30" ht="15" x14ac:dyDescent="0.2">
      <c r="A18" s="16">
        <v>41456</v>
      </c>
      <c r="B18" s="91">
        <v>31</v>
      </c>
      <c r="C18" s="78">
        <f>194.205</f>
        <v>194.20500000000001</v>
      </c>
      <c r="D18" s="78">
        <f>267.466</f>
        <v>267.46600000000001</v>
      </c>
      <c r="E18" s="86">
        <f>133.845</f>
        <v>133.845</v>
      </c>
      <c r="F18" s="78">
        <f>278.484-40-25</f>
        <v>213.48399999999998</v>
      </c>
      <c r="G18" s="80">
        <v>40</v>
      </c>
      <c r="H18" s="78">
        <v>25</v>
      </c>
      <c r="I18" s="92">
        <v>30</v>
      </c>
      <c r="J18" s="80">
        <v>100</v>
      </c>
      <c r="K18" s="80">
        <v>300</v>
      </c>
      <c r="L18" s="78">
        <f t="shared" si="0"/>
        <v>1304</v>
      </c>
      <c r="M18" s="92"/>
      <c r="N18" s="78">
        <f>55</f>
        <v>55</v>
      </c>
      <c r="O18" s="80">
        <v>240</v>
      </c>
      <c r="P18" s="80">
        <f t="shared" si="4"/>
        <v>120</v>
      </c>
      <c r="Q18" s="80">
        <f t="shared" si="1"/>
        <v>235</v>
      </c>
      <c r="R18" s="80">
        <f t="shared" si="2"/>
        <v>100</v>
      </c>
      <c r="S18" s="78">
        <f t="shared" si="3"/>
        <v>695</v>
      </c>
      <c r="T18" s="78">
        <f>0</f>
        <v>0</v>
      </c>
      <c r="U18" s="76"/>
      <c r="V18" s="76"/>
      <c r="W18" s="76"/>
      <c r="X18" s="76"/>
      <c r="Y18" s="76"/>
      <c r="Z18" s="76"/>
      <c r="AA18" s="76"/>
      <c r="AB18" s="76"/>
      <c r="AC18" s="76"/>
      <c r="AD18" s="76"/>
    </row>
    <row r="19" spans="1:30" ht="15" x14ac:dyDescent="0.2">
      <c r="A19" s="16">
        <v>41487</v>
      </c>
      <c r="B19" s="91">
        <v>31</v>
      </c>
      <c r="C19" s="78">
        <f>194.205</f>
        <v>194.20500000000001</v>
      </c>
      <c r="D19" s="78">
        <f>267.466</f>
        <v>267.46600000000001</v>
      </c>
      <c r="E19" s="86">
        <f>133.845</f>
        <v>133.845</v>
      </c>
      <c r="F19" s="78">
        <f>278.484-40-25</f>
        <v>213.48399999999998</v>
      </c>
      <c r="G19" s="80">
        <v>40</v>
      </c>
      <c r="H19" s="78">
        <v>25</v>
      </c>
      <c r="I19" s="92">
        <v>30</v>
      </c>
      <c r="J19" s="80">
        <v>100</v>
      </c>
      <c r="K19" s="80">
        <v>300</v>
      </c>
      <c r="L19" s="78">
        <f t="shared" si="0"/>
        <v>1304</v>
      </c>
      <c r="M19" s="92"/>
      <c r="N19" s="78">
        <f>55</f>
        <v>55</v>
      </c>
      <c r="O19" s="80">
        <v>240</v>
      </c>
      <c r="P19" s="80">
        <f t="shared" si="4"/>
        <v>120</v>
      </c>
      <c r="Q19" s="80">
        <f t="shared" si="1"/>
        <v>235</v>
      </c>
      <c r="R19" s="80">
        <f t="shared" si="2"/>
        <v>100</v>
      </c>
      <c r="S19" s="78">
        <f t="shared" si="3"/>
        <v>695</v>
      </c>
      <c r="T19" s="78">
        <f>0</f>
        <v>0</v>
      </c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ht="15" x14ac:dyDescent="0.2">
      <c r="A20" s="16">
        <v>41518</v>
      </c>
      <c r="B20" s="91">
        <v>30</v>
      </c>
      <c r="C20" s="78">
        <f>194.205</f>
        <v>194.20500000000001</v>
      </c>
      <c r="D20" s="78">
        <f>267.466</f>
        <v>267.46600000000001</v>
      </c>
      <c r="E20" s="86">
        <f>133.845</f>
        <v>133.845</v>
      </c>
      <c r="F20" s="78">
        <f>278.484-40-25</f>
        <v>213.48399999999998</v>
      </c>
      <c r="G20" s="80">
        <v>40</v>
      </c>
      <c r="H20" s="78">
        <v>25</v>
      </c>
      <c r="I20" s="92">
        <v>30</v>
      </c>
      <c r="J20" s="80">
        <v>100</v>
      </c>
      <c r="K20" s="80">
        <v>300</v>
      </c>
      <c r="L20" s="78">
        <f t="shared" si="0"/>
        <v>1304</v>
      </c>
      <c r="M20" s="92"/>
      <c r="N20" s="78">
        <f>55</f>
        <v>55</v>
      </c>
      <c r="O20" s="80">
        <v>240</v>
      </c>
      <c r="P20" s="80">
        <f t="shared" si="4"/>
        <v>120</v>
      </c>
      <c r="Q20" s="80">
        <f t="shared" si="1"/>
        <v>235</v>
      </c>
      <c r="R20" s="80">
        <f t="shared" si="2"/>
        <v>100</v>
      </c>
      <c r="S20" s="78">
        <f t="shared" si="3"/>
        <v>695</v>
      </c>
      <c r="T20" s="78">
        <f>0</f>
        <v>0</v>
      </c>
      <c r="U20" s="76"/>
      <c r="V20" s="76"/>
      <c r="W20" s="76"/>
      <c r="X20" s="76"/>
      <c r="Y20" s="76"/>
      <c r="Z20" s="76"/>
      <c r="AA20" s="76"/>
      <c r="AB20" s="76"/>
      <c r="AC20" s="76"/>
      <c r="AD20" s="76"/>
    </row>
    <row r="21" spans="1:30" ht="15" x14ac:dyDescent="0.2">
      <c r="A21" s="16">
        <v>41548</v>
      </c>
      <c r="B21" s="91">
        <v>31</v>
      </c>
      <c r="C21" s="78">
        <f>131.881</f>
        <v>131.881</v>
      </c>
      <c r="D21" s="78">
        <f>277.167</f>
        <v>277.16699999999997</v>
      </c>
      <c r="E21" s="86">
        <f>79.08</f>
        <v>79.08</v>
      </c>
      <c r="F21" s="78">
        <f>350.872-40-25</f>
        <v>285.87200000000001</v>
      </c>
      <c r="G21" s="80">
        <v>40</v>
      </c>
      <c r="H21" s="78">
        <v>25</v>
      </c>
      <c r="I21" s="78">
        <v>0</v>
      </c>
      <c r="J21" s="80">
        <v>100</v>
      </c>
      <c r="K21" s="80">
        <v>300</v>
      </c>
      <c r="L21" s="78">
        <f t="shared" si="0"/>
        <v>1239</v>
      </c>
      <c r="M21" s="92"/>
      <c r="N21" s="78">
        <f>100</f>
        <v>100</v>
      </c>
      <c r="O21" s="80">
        <v>240</v>
      </c>
      <c r="P21" s="80">
        <f t="shared" si="4"/>
        <v>120</v>
      </c>
      <c r="Q21" s="80">
        <f t="shared" si="1"/>
        <v>235</v>
      </c>
      <c r="R21" s="80">
        <f t="shared" si="2"/>
        <v>100</v>
      </c>
      <c r="S21" s="78">
        <f t="shared" si="3"/>
        <v>695</v>
      </c>
      <c r="T21" s="78">
        <f>0</f>
        <v>0</v>
      </c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ht="15" x14ac:dyDescent="0.2">
      <c r="A22" s="16">
        <v>41579</v>
      </c>
      <c r="B22" s="91">
        <v>30</v>
      </c>
      <c r="C22" s="78">
        <f>122.58</f>
        <v>122.58</v>
      </c>
      <c r="D22" s="78">
        <f>297.941</f>
        <v>297.94099999999997</v>
      </c>
      <c r="E22" s="86">
        <f>89.177</f>
        <v>89.177000000000007</v>
      </c>
      <c r="F22" s="78">
        <f>240.302-40</f>
        <v>200.30199999999999</v>
      </c>
      <c r="G22" s="80">
        <v>40</v>
      </c>
      <c r="H22" s="78">
        <v>0</v>
      </c>
      <c r="I22" s="78">
        <v>0</v>
      </c>
      <c r="J22" s="80">
        <v>100</v>
      </c>
      <c r="K22" s="80">
        <v>300</v>
      </c>
      <c r="L22" s="78">
        <f t="shared" si="0"/>
        <v>1150</v>
      </c>
      <c r="M22" s="92"/>
      <c r="N22" s="78">
        <f>125</f>
        <v>125</v>
      </c>
      <c r="O22" s="80">
        <v>240</v>
      </c>
      <c r="P22" s="80">
        <v>0</v>
      </c>
      <c r="Q22" s="80">
        <f t="shared" si="1"/>
        <v>355</v>
      </c>
      <c r="R22" s="80">
        <f t="shared" si="2"/>
        <v>100</v>
      </c>
      <c r="S22" s="78">
        <f t="shared" si="3"/>
        <v>695</v>
      </c>
      <c r="T22" s="78">
        <f>50</f>
        <v>50</v>
      </c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ht="15" x14ac:dyDescent="0.2">
      <c r="A23" s="16">
        <v>41609</v>
      </c>
      <c r="B23" s="91">
        <v>31</v>
      </c>
      <c r="C23" s="78">
        <f>122.58</f>
        <v>122.58</v>
      </c>
      <c r="D23" s="78">
        <f>297.941</f>
        <v>297.94099999999997</v>
      </c>
      <c r="E23" s="86">
        <f>89.177</f>
        <v>89.177000000000007</v>
      </c>
      <c r="F23" s="78">
        <f>240.302-40</f>
        <v>200.30199999999999</v>
      </c>
      <c r="G23" s="80">
        <v>40</v>
      </c>
      <c r="H23" s="78">
        <v>0</v>
      </c>
      <c r="I23" s="78">
        <v>0</v>
      </c>
      <c r="J23" s="80">
        <v>100</v>
      </c>
      <c r="K23" s="80">
        <v>300</v>
      </c>
      <c r="L23" s="78">
        <f t="shared" si="0"/>
        <v>1150</v>
      </c>
      <c r="M23" s="92"/>
      <c r="N23" s="78">
        <f>125</f>
        <v>125</v>
      </c>
      <c r="O23" s="80">
        <v>240</v>
      </c>
      <c r="P23" s="80">
        <v>0</v>
      </c>
      <c r="Q23" s="80">
        <f t="shared" si="1"/>
        <v>355</v>
      </c>
      <c r="R23" s="80">
        <f t="shared" si="2"/>
        <v>100</v>
      </c>
      <c r="S23" s="78">
        <f t="shared" si="3"/>
        <v>695</v>
      </c>
      <c r="T23" s="78">
        <f>50</f>
        <v>50</v>
      </c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ht="15.75" x14ac:dyDescent="0.25">
      <c r="A24" s="16">
        <v>41640</v>
      </c>
      <c r="B24" s="91">
        <v>31</v>
      </c>
      <c r="C24" s="78">
        <f>122.58</f>
        <v>122.58</v>
      </c>
      <c r="D24" s="78">
        <f>297.941</f>
        <v>297.94099999999997</v>
      </c>
      <c r="E24" s="86">
        <f>89.177</f>
        <v>89.177000000000007</v>
      </c>
      <c r="F24" s="78">
        <f>240.302-40</f>
        <v>200.30199999999999</v>
      </c>
      <c r="G24" s="80">
        <v>40</v>
      </c>
      <c r="H24" s="78">
        <v>0</v>
      </c>
      <c r="I24" s="78">
        <v>0</v>
      </c>
      <c r="J24" s="80">
        <v>100</v>
      </c>
      <c r="K24" s="80">
        <v>300</v>
      </c>
      <c r="L24" s="78">
        <f t="shared" si="0"/>
        <v>1150</v>
      </c>
      <c r="M24" s="88"/>
      <c r="N24" s="78">
        <f>100</f>
        <v>100</v>
      </c>
      <c r="O24" s="80">
        <v>240</v>
      </c>
      <c r="P24" s="80">
        <v>0</v>
      </c>
      <c r="Q24" s="80">
        <f t="shared" si="1"/>
        <v>355</v>
      </c>
      <c r="R24" s="80">
        <f t="shared" si="2"/>
        <v>100</v>
      </c>
      <c r="S24" s="78">
        <f t="shared" si="3"/>
        <v>695</v>
      </c>
      <c r="T24" s="78">
        <f>50</f>
        <v>50</v>
      </c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ht="15.75" x14ac:dyDescent="0.25">
      <c r="A25" s="16">
        <v>41671</v>
      </c>
      <c r="B25" s="91">
        <v>28</v>
      </c>
      <c r="C25" s="78">
        <f>122.58</f>
        <v>122.58</v>
      </c>
      <c r="D25" s="78">
        <f>297.941</f>
        <v>297.94099999999997</v>
      </c>
      <c r="E25" s="86">
        <f>89.177</f>
        <v>89.177000000000007</v>
      </c>
      <c r="F25" s="78">
        <f>240.302-40</f>
        <v>200.30199999999999</v>
      </c>
      <c r="G25" s="80">
        <v>40</v>
      </c>
      <c r="H25" s="78">
        <v>0</v>
      </c>
      <c r="I25" s="78">
        <v>0</v>
      </c>
      <c r="J25" s="80">
        <v>100</v>
      </c>
      <c r="K25" s="80">
        <v>300</v>
      </c>
      <c r="L25" s="78">
        <f t="shared" si="0"/>
        <v>1150</v>
      </c>
      <c r="M25" s="88"/>
      <c r="N25" s="78">
        <f>100</f>
        <v>100</v>
      </c>
      <c r="O25" s="80">
        <v>240</v>
      </c>
      <c r="P25" s="80">
        <v>0</v>
      </c>
      <c r="Q25" s="80">
        <f t="shared" si="1"/>
        <v>355</v>
      </c>
      <c r="R25" s="80">
        <f t="shared" si="2"/>
        <v>100</v>
      </c>
      <c r="S25" s="78">
        <f t="shared" si="3"/>
        <v>695</v>
      </c>
      <c r="T25" s="78">
        <f>50</f>
        <v>50</v>
      </c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ht="15.75" x14ac:dyDescent="0.25">
      <c r="A26" s="16">
        <v>41699</v>
      </c>
      <c r="B26" s="91">
        <v>31</v>
      </c>
      <c r="C26" s="78">
        <f>122.58</f>
        <v>122.58</v>
      </c>
      <c r="D26" s="78">
        <f>297.941</f>
        <v>297.94099999999997</v>
      </c>
      <c r="E26" s="86">
        <f>89.177</f>
        <v>89.177000000000007</v>
      </c>
      <c r="F26" s="78">
        <f>240.302-40</f>
        <v>200.30199999999999</v>
      </c>
      <c r="G26" s="80">
        <v>40</v>
      </c>
      <c r="H26" s="78">
        <v>0</v>
      </c>
      <c r="I26" s="78">
        <v>0</v>
      </c>
      <c r="J26" s="80">
        <v>100</v>
      </c>
      <c r="K26" s="80">
        <v>300</v>
      </c>
      <c r="L26" s="78">
        <f t="shared" si="0"/>
        <v>1150</v>
      </c>
      <c r="M26" s="88"/>
      <c r="N26" s="78">
        <f>100</f>
        <v>100</v>
      </c>
      <c r="O26" s="80">
        <v>240</v>
      </c>
      <c r="P26" s="80">
        <v>0</v>
      </c>
      <c r="Q26" s="80">
        <f t="shared" si="1"/>
        <v>355</v>
      </c>
      <c r="R26" s="80">
        <f t="shared" si="2"/>
        <v>100</v>
      </c>
      <c r="S26" s="78">
        <f t="shared" si="3"/>
        <v>695</v>
      </c>
      <c r="T26" s="78">
        <f>50</f>
        <v>50</v>
      </c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ht="15.75" x14ac:dyDescent="0.25">
      <c r="A27" s="16">
        <v>41730</v>
      </c>
      <c r="B27" s="91">
        <v>30</v>
      </c>
      <c r="C27" s="78">
        <f>141.293</f>
        <v>141.29300000000001</v>
      </c>
      <c r="D27" s="78">
        <f>267.993</f>
        <v>267.99299999999999</v>
      </c>
      <c r="E27" s="86">
        <f>115.016</f>
        <v>115.01600000000001</v>
      </c>
      <c r="F27" s="78">
        <f>314.698-40-25</f>
        <v>249.69799999999998</v>
      </c>
      <c r="G27" s="80">
        <v>40</v>
      </c>
      <c r="H27" s="78">
        <v>25</v>
      </c>
      <c r="I27" s="78">
        <v>0</v>
      </c>
      <c r="J27" s="80">
        <v>100</v>
      </c>
      <c r="K27" s="80">
        <v>300</v>
      </c>
      <c r="L27" s="78">
        <f t="shared" si="0"/>
        <v>1239</v>
      </c>
      <c r="M27" s="88"/>
      <c r="N27" s="78">
        <f>100</f>
        <v>100</v>
      </c>
      <c r="O27" s="80">
        <v>240</v>
      </c>
      <c r="P27" s="80">
        <f t="shared" ref="P27:P33" si="5">145-H27</f>
        <v>120</v>
      </c>
      <c r="Q27" s="80">
        <f t="shared" si="1"/>
        <v>235</v>
      </c>
      <c r="R27" s="80">
        <f t="shared" si="2"/>
        <v>100</v>
      </c>
      <c r="S27" s="78">
        <f t="shared" si="3"/>
        <v>695</v>
      </c>
      <c r="T27" s="78">
        <f>50</f>
        <v>50</v>
      </c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ht="15.75" x14ac:dyDescent="0.25">
      <c r="A28" s="16">
        <v>41760</v>
      </c>
      <c r="B28" s="91">
        <v>31</v>
      </c>
      <c r="C28" s="78">
        <f>194.205</f>
        <v>194.20500000000001</v>
      </c>
      <c r="D28" s="78">
        <f>267.466</f>
        <v>267.46600000000001</v>
      </c>
      <c r="E28" s="86">
        <f>133.845</f>
        <v>133.845</v>
      </c>
      <c r="F28" s="78">
        <f>278.484-40-25</f>
        <v>213.48399999999998</v>
      </c>
      <c r="G28" s="80">
        <v>40</v>
      </c>
      <c r="H28" s="78">
        <v>25</v>
      </c>
      <c r="I28" s="92">
        <v>50</v>
      </c>
      <c r="J28" s="80">
        <v>100</v>
      </c>
      <c r="K28" s="80">
        <v>300</v>
      </c>
      <c r="L28" s="78">
        <f t="shared" si="0"/>
        <v>1324</v>
      </c>
      <c r="M28" s="88"/>
      <c r="N28" s="78">
        <f>75</f>
        <v>75</v>
      </c>
      <c r="O28" s="80">
        <v>240</v>
      </c>
      <c r="P28" s="80">
        <f t="shared" si="5"/>
        <v>120</v>
      </c>
      <c r="Q28" s="80">
        <f t="shared" si="1"/>
        <v>235</v>
      </c>
      <c r="R28" s="80">
        <f t="shared" si="2"/>
        <v>100</v>
      </c>
      <c r="S28" s="78">
        <f t="shared" si="3"/>
        <v>695</v>
      </c>
      <c r="T28" s="78">
        <f>50</f>
        <v>50</v>
      </c>
      <c r="U28" s="76"/>
      <c r="V28" s="76"/>
      <c r="W28" s="76"/>
      <c r="X28" s="76"/>
      <c r="Y28" s="76"/>
      <c r="Z28" s="76"/>
      <c r="AA28" s="76"/>
      <c r="AB28" s="76"/>
      <c r="AC28" s="76"/>
      <c r="AD28" s="76"/>
    </row>
    <row r="29" spans="1:30" ht="15.75" x14ac:dyDescent="0.25">
      <c r="A29" s="16">
        <v>41791</v>
      </c>
      <c r="B29" s="91">
        <v>30</v>
      </c>
      <c r="C29" s="78">
        <f>194.205</f>
        <v>194.20500000000001</v>
      </c>
      <c r="D29" s="78">
        <f>267.466</f>
        <v>267.46600000000001</v>
      </c>
      <c r="E29" s="86">
        <f>133.845</f>
        <v>133.845</v>
      </c>
      <c r="F29" s="78">
        <f>278.484-40-25</f>
        <v>213.48399999999998</v>
      </c>
      <c r="G29" s="80">
        <v>40</v>
      </c>
      <c r="H29" s="78">
        <v>25</v>
      </c>
      <c r="I29" s="92">
        <v>50</v>
      </c>
      <c r="J29" s="80">
        <v>100</v>
      </c>
      <c r="K29" s="80">
        <v>300</v>
      </c>
      <c r="L29" s="78">
        <f t="shared" si="0"/>
        <v>1324</v>
      </c>
      <c r="M29" s="88"/>
      <c r="N29" s="78">
        <f>30</f>
        <v>30</v>
      </c>
      <c r="O29" s="80">
        <v>240</v>
      </c>
      <c r="P29" s="80">
        <f t="shared" si="5"/>
        <v>120</v>
      </c>
      <c r="Q29" s="80">
        <f t="shared" si="1"/>
        <v>235</v>
      </c>
      <c r="R29" s="80">
        <f t="shared" si="2"/>
        <v>100</v>
      </c>
      <c r="S29" s="78">
        <f t="shared" si="3"/>
        <v>695</v>
      </c>
      <c r="T29" s="78">
        <f>50</f>
        <v>50</v>
      </c>
      <c r="U29" s="76"/>
      <c r="V29" s="76"/>
      <c r="W29" s="76"/>
      <c r="X29" s="76"/>
      <c r="Y29" s="76"/>
      <c r="Z29" s="76"/>
      <c r="AA29" s="76"/>
      <c r="AB29" s="76"/>
      <c r="AC29" s="76"/>
      <c r="AD29" s="76"/>
    </row>
    <row r="30" spans="1:30" ht="15.75" x14ac:dyDescent="0.25">
      <c r="A30" s="16">
        <v>41821</v>
      </c>
      <c r="B30" s="91">
        <v>31</v>
      </c>
      <c r="C30" s="78">
        <f>194.205</f>
        <v>194.20500000000001</v>
      </c>
      <c r="D30" s="78">
        <f>267.466</f>
        <v>267.46600000000001</v>
      </c>
      <c r="E30" s="86">
        <f>133.845</f>
        <v>133.845</v>
      </c>
      <c r="F30" s="78">
        <f>278.484-40-25</f>
        <v>213.48399999999998</v>
      </c>
      <c r="G30" s="80">
        <v>40</v>
      </c>
      <c r="H30" s="78">
        <v>25</v>
      </c>
      <c r="I30" s="92">
        <v>50</v>
      </c>
      <c r="J30" s="80">
        <v>100</v>
      </c>
      <c r="K30" s="80">
        <v>300</v>
      </c>
      <c r="L30" s="78">
        <f t="shared" si="0"/>
        <v>1324</v>
      </c>
      <c r="M30" s="88"/>
      <c r="N30" s="78">
        <f>30</f>
        <v>30</v>
      </c>
      <c r="O30" s="80">
        <v>240</v>
      </c>
      <c r="P30" s="80">
        <f t="shared" si="5"/>
        <v>120</v>
      </c>
      <c r="Q30" s="80">
        <f t="shared" si="1"/>
        <v>235</v>
      </c>
      <c r="R30" s="80">
        <f t="shared" si="2"/>
        <v>100</v>
      </c>
      <c r="S30" s="78">
        <f t="shared" si="3"/>
        <v>695</v>
      </c>
      <c r="T30" s="78">
        <f>0</f>
        <v>0</v>
      </c>
      <c r="U30" s="76"/>
      <c r="V30" s="76"/>
      <c r="W30" s="76"/>
      <c r="X30" s="76"/>
      <c r="Y30" s="76"/>
      <c r="Z30" s="76"/>
      <c r="AA30" s="76"/>
      <c r="AB30" s="76"/>
      <c r="AC30" s="76"/>
      <c r="AD30" s="76"/>
    </row>
    <row r="31" spans="1:30" ht="15.75" x14ac:dyDescent="0.25">
      <c r="A31" s="16">
        <v>41852</v>
      </c>
      <c r="B31" s="91">
        <v>31</v>
      </c>
      <c r="C31" s="78">
        <f>194.205</f>
        <v>194.20500000000001</v>
      </c>
      <c r="D31" s="78">
        <f>267.466</f>
        <v>267.46600000000001</v>
      </c>
      <c r="E31" s="86">
        <f>133.845</f>
        <v>133.845</v>
      </c>
      <c r="F31" s="78">
        <f>278.484-40-25</f>
        <v>213.48399999999998</v>
      </c>
      <c r="G31" s="80">
        <v>40</v>
      </c>
      <c r="H31" s="78">
        <v>25</v>
      </c>
      <c r="I31" s="92">
        <v>50</v>
      </c>
      <c r="J31" s="80">
        <v>100</v>
      </c>
      <c r="K31" s="80">
        <v>300</v>
      </c>
      <c r="L31" s="78">
        <f t="shared" si="0"/>
        <v>1324</v>
      </c>
      <c r="M31" s="88"/>
      <c r="N31" s="78">
        <f>30</f>
        <v>30</v>
      </c>
      <c r="O31" s="80">
        <v>240</v>
      </c>
      <c r="P31" s="80">
        <f t="shared" si="5"/>
        <v>120</v>
      </c>
      <c r="Q31" s="80">
        <f t="shared" si="1"/>
        <v>235</v>
      </c>
      <c r="R31" s="80">
        <f t="shared" si="2"/>
        <v>100</v>
      </c>
      <c r="S31" s="78">
        <f t="shared" si="3"/>
        <v>695</v>
      </c>
      <c r="T31" s="78">
        <f>0</f>
        <v>0</v>
      </c>
      <c r="U31" s="76"/>
      <c r="V31" s="76"/>
      <c r="W31" s="76"/>
      <c r="X31" s="76"/>
      <c r="Y31" s="76"/>
      <c r="Z31" s="76"/>
      <c r="AA31" s="76"/>
      <c r="AB31" s="76"/>
      <c r="AC31" s="76"/>
      <c r="AD31" s="76"/>
    </row>
    <row r="32" spans="1:30" ht="15.75" x14ac:dyDescent="0.25">
      <c r="A32" s="16">
        <v>41883</v>
      </c>
      <c r="B32" s="91">
        <v>30</v>
      </c>
      <c r="C32" s="78">
        <f>194.205</f>
        <v>194.20500000000001</v>
      </c>
      <c r="D32" s="78">
        <f>267.466</f>
        <v>267.46600000000001</v>
      </c>
      <c r="E32" s="86">
        <f>133.845</f>
        <v>133.845</v>
      </c>
      <c r="F32" s="78">
        <f>278.484-40-25</f>
        <v>213.48399999999998</v>
      </c>
      <c r="G32" s="80">
        <v>40</v>
      </c>
      <c r="H32" s="78">
        <v>25</v>
      </c>
      <c r="I32" s="92">
        <v>50</v>
      </c>
      <c r="J32" s="80">
        <v>100</v>
      </c>
      <c r="K32" s="80">
        <v>300</v>
      </c>
      <c r="L32" s="78">
        <f t="shared" si="0"/>
        <v>1324</v>
      </c>
      <c r="M32" s="88"/>
      <c r="N32" s="78">
        <f>30</f>
        <v>30</v>
      </c>
      <c r="O32" s="80">
        <v>240</v>
      </c>
      <c r="P32" s="80">
        <f t="shared" si="5"/>
        <v>120</v>
      </c>
      <c r="Q32" s="80">
        <f t="shared" si="1"/>
        <v>235</v>
      </c>
      <c r="R32" s="80">
        <f t="shared" si="2"/>
        <v>100</v>
      </c>
      <c r="S32" s="78">
        <f t="shared" si="3"/>
        <v>695</v>
      </c>
      <c r="T32" s="78">
        <f>0</f>
        <v>0</v>
      </c>
      <c r="U32" s="76"/>
      <c r="V32" s="76"/>
      <c r="W32" s="76"/>
      <c r="X32" s="76"/>
      <c r="Y32" s="76"/>
      <c r="Z32" s="76"/>
      <c r="AA32" s="76"/>
      <c r="AB32" s="76"/>
      <c r="AC32" s="76"/>
      <c r="AD32" s="76"/>
    </row>
    <row r="33" spans="1:30" ht="15.75" x14ac:dyDescent="0.25">
      <c r="A33" s="16">
        <v>41913</v>
      </c>
      <c r="B33" s="91">
        <v>31</v>
      </c>
      <c r="C33" s="78">
        <f>131.881</f>
        <v>131.881</v>
      </c>
      <c r="D33" s="78">
        <f>277.167</f>
        <v>277.16699999999997</v>
      </c>
      <c r="E33" s="86">
        <f>79.08</f>
        <v>79.08</v>
      </c>
      <c r="F33" s="78">
        <f>350.872-40-25</f>
        <v>285.87200000000001</v>
      </c>
      <c r="G33" s="80">
        <v>40</v>
      </c>
      <c r="H33" s="78">
        <v>25</v>
      </c>
      <c r="I33" s="78">
        <v>0</v>
      </c>
      <c r="J33" s="80">
        <v>100</v>
      </c>
      <c r="K33" s="80">
        <v>300</v>
      </c>
      <c r="L33" s="78">
        <f t="shared" si="0"/>
        <v>1239</v>
      </c>
      <c r="M33" s="88"/>
      <c r="N33" s="78">
        <f>75</f>
        <v>75</v>
      </c>
      <c r="O33" s="80">
        <v>240</v>
      </c>
      <c r="P33" s="80">
        <f t="shared" si="5"/>
        <v>120</v>
      </c>
      <c r="Q33" s="80">
        <f t="shared" si="1"/>
        <v>235</v>
      </c>
      <c r="R33" s="80">
        <f t="shared" si="2"/>
        <v>100</v>
      </c>
      <c r="S33" s="78">
        <f t="shared" si="3"/>
        <v>695</v>
      </c>
      <c r="T33" s="78">
        <f>0</f>
        <v>0</v>
      </c>
      <c r="U33" s="76"/>
      <c r="V33" s="76"/>
      <c r="W33" s="76"/>
      <c r="X33" s="76"/>
      <c r="Y33" s="76"/>
      <c r="Z33" s="76"/>
      <c r="AA33" s="76"/>
      <c r="AB33" s="76"/>
      <c r="AC33" s="76"/>
      <c r="AD33" s="76"/>
    </row>
    <row r="34" spans="1:30" ht="15.75" x14ac:dyDescent="0.25">
      <c r="A34" s="16">
        <v>41944</v>
      </c>
      <c r="B34" s="91">
        <v>30</v>
      </c>
      <c r="C34" s="78">
        <f>122.58</f>
        <v>122.58</v>
      </c>
      <c r="D34" s="78">
        <f>297.941</f>
        <v>297.94099999999997</v>
      </c>
      <c r="E34" s="86">
        <f>89.177</f>
        <v>89.177000000000007</v>
      </c>
      <c r="F34" s="78">
        <f>240.302-40</f>
        <v>200.30199999999999</v>
      </c>
      <c r="G34" s="80">
        <v>40</v>
      </c>
      <c r="H34" s="78">
        <v>0</v>
      </c>
      <c r="I34" s="78">
        <v>0</v>
      </c>
      <c r="J34" s="80">
        <v>100</v>
      </c>
      <c r="K34" s="80">
        <v>300</v>
      </c>
      <c r="L34" s="78">
        <f t="shared" si="0"/>
        <v>1150</v>
      </c>
      <c r="M34" s="88"/>
      <c r="N34" s="78">
        <f>100</f>
        <v>100</v>
      </c>
      <c r="O34" s="80">
        <v>240</v>
      </c>
      <c r="P34" s="80">
        <v>0</v>
      </c>
      <c r="Q34" s="80">
        <f t="shared" si="1"/>
        <v>355</v>
      </c>
      <c r="R34" s="80">
        <f t="shared" si="2"/>
        <v>100</v>
      </c>
      <c r="S34" s="78">
        <f t="shared" si="3"/>
        <v>695</v>
      </c>
      <c r="T34" s="78">
        <f>50</f>
        <v>50</v>
      </c>
      <c r="U34" s="76"/>
      <c r="V34" s="76"/>
      <c r="W34" s="76"/>
      <c r="X34" s="76"/>
      <c r="Y34" s="76"/>
      <c r="Z34" s="76"/>
      <c r="AA34" s="76"/>
      <c r="AB34" s="76"/>
      <c r="AC34" s="76"/>
      <c r="AD34" s="76"/>
    </row>
    <row r="35" spans="1:30" ht="15.75" x14ac:dyDescent="0.25">
      <c r="A35" s="16">
        <v>41974</v>
      </c>
      <c r="B35" s="91">
        <v>31</v>
      </c>
      <c r="C35" s="78">
        <f>122.58</f>
        <v>122.58</v>
      </c>
      <c r="D35" s="78">
        <f>297.941</f>
        <v>297.94099999999997</v>
      </c>
      <c r="E35" s="86">
        <f>89.177</f>
        <v>89.177000000000007</v>
      </c>
      <c r="F35" s="78">
        <f>240.302-40</f>
        <v>200.30199999999999</v>
      </c>
      <c r="G35" s="80">
        <v>40</v>
      </c>
      <c r="H35" s="78">
        <v>0</v>
      </c>
      <c r="I35" s="78">
        <v>0</v>
      </c>
      <c r="J35" s="80">
        <v>100</v>
      </c>
      <c r="K35" s="80">
        <v>300</v>
      </c>
      <c r="L35" s="78">
        <f t="shared" si="0"/>
        <v>1150</v>
      </c>
      <c r="M35" s="88"/>
      <c r="N35" s="78">
        <f>100</f>
        <v>100</v>
      </c>
      <c r="O35" s="80">
        <v>240</v>
      </c>
      <c r="P35" s="80">
        <v>0</v>
      </c>
      <c r="Q35" s="80">
        <f t="shared" si="1"/>
        <v>355</v>
      </c>
      <c r="R35" s="80">
        <f t="shared" si="2"/>
        <v>100</v>
      </c>
      <c r="S35" s="78">
        <f t="shared" si="3"/>
        <v>695</v>
      </c>
      <c r="T35" s="78">
        <f>50</f>
        <v>50</v>
      </c>
      <c r="U35" s="76"/>
      <c r="V35" s="76"/>
      <c r="W35" s="76"/>
      <c r="X35" s="76"/>
      <c r="Y35" s="76"/>
      <c r="Z35" s="76"/>
      <c r="AA35" s="76"/>
      <c r="AB35" s="76"/>
      <c r="AC35" s="76"/>
      <c r="AD35" s="76"/>
    </row>
    <row r="36" spans="1:30" ht="15.75" x14ac:dyDescent="0.25">
      <c r="A36" s="16">
        <v>42005</v>
      </c>
      <c r="B36" s="91">
        <v>31</v>
      </c>
      <c r="C36" s="78">
        <f>122.58</f>
        <v>122.58</v>
      </c>
      <c r="D36" s="78">
        <f>297.941</f>
        <v>297.94099999999997</v>
      </c>
      <c r="E36" s="86">
        <f>89.177</f>
        <v>89.177000000000007</v>
      </c>
      <c r="F36" s="78">
        <f>240.302-40</f>
        <v>200.30199999999999</v>
      </c>
      <c r="G36" s="80">
        <v>40</v>
      </c>
      <c r="H36" s="78">
        <v>0</v>
      </c>
      <c r="I36" s="78">
        <v>0</v>
      </c>
      <c r="J36" s="80">
        <v>100</v>
      </c>
      <c r="K36" s="80">
        <v>300</v>
      </c>
      <c r="L36" s="78">
        <f t="shared" si="0"/>
        <v>1150</v>
      </c>
      <c r="M36" s="88"/>
      <c r="N36" s="78">
        <f>100</f>
        <v>100</v>
      </c>
      <c r="O36" s="80">
        <v>240</v>
      </c>
      <c r="P36" s="80">
        <v>0</v>
      </c>
      <c r="Q36" s="80">
        <f t="shared" si="1"/>
        <v>355</v>
      </c>
      <c r="R36" s="80">
        <f t="shared" si="2"/>
        <v>100</v>
      </c>
      <c r="S36" s="78">
        <f t="shared" si="3"/>
        <v>695</v>
      </c>
      <c r="T36" s="78">
        <f>50</f>
        <v>50</v>
      </c>
      <c r="U36" s="76"/>
      <c r="V36" s="76"/>
      <c r="W36" s="76"/>
      <c r="X36" s="76"/>
      <c r="Y36" s="76"/>
      <c r="Z36" s="76"/>
      <c r="AA36" s="76"/>
      <c r="AB36" s="76"/>
      <c r="AC36" s="76"/>
      <c r="AD36" s="76"/>
    </row>
    <row r="37" spans="1:30" ht="15.75" x14ac:dyDescent="0.25">
      <c r="A37" s="16">
        <v>42036</v>
      </c>
      <c r="B37" s="91">
        <v>28</v>
      </c>
      <c r="C37" s="78">
        <f>122.58</f>
        <v>122.58</v>
      </c>
      <c r="D37" s="78">
        <f>297.941</f>
        <v>297.94099999999997</v>
      </c>
      <c r="E37" s="86">
        <f>89.177</f>
        <v>89.177000000000007</v>
      </c>
      <c r="F37" s="78">
        <f>240.302-40</f>
        <v>200.30199999999999</v>
      </c>
      <c r="G37" s="80">
        <v>40</v>
      </c>
      <c r="H37" s="78">
        <v>0</v>
      </c>
      <c r="I37" s="78">
        <v>0</v>
      </c>
      <c r="J37" s="80">
        <v>100</v>
      </c>
      <c r="K37" s="80">
        <v>300</v>
      </c>
      <c r="L37" s="78">
        <f t="shared" si="0"/>
        <v>1150</v>
      </c>
      <c r="M37" s="88"/>
      <c r="N37" s="78">
        <f>100</f>
        <v>100</v>
      </c>
      <c r="O37" s="80">
        <v>240</v>
      </c>
      <c r="P37" s="80">
        <v>0</v>
      </c>
      <c r="Q37" s="80">
        <f t="shared" si="1"/>
        <v>355</v>
      </c>
      <c r="R37" s="80">
        <f t="shared" si="2"/>
        <v>100</v>
      </c>
      <c r="S37" s="78">
        <f t="shared" si="3"/>
        <v>695</v>
      </c>
      <c r="T37" s="78">
        <f>50</f>
        <v>50</v>
      </c>
      <c r="U37" s="76"/>
      <c r="V37" s="76"/>
      <c r="W37" s="76"/>
      <c r="X37" s="76"/>
      <c r="Y37" s="76"/>
      <c r="Z37" s="76"/>
      <c r="AA37" s="76"/>
      <c r="AB37" s="76"/>
      <c r="AC37" s="76"/>
      <c r="AD37" s="76"/>
    </row>
    <row r="38" spans="1:30" ht="15.75" x14ac:dyDescent="0.25">
      <c r="A38" s="16">
        <v>42064</v>
      </c>
      <c r="B38" s="91">
        <v>31</v>
      </c>
      <c r="C38" s="78">
        <f>122.58</f>
        <v>122.58</v>
      </c>
      <c r="D38" s="78">
        <f>297.941</f>
        <v>297.94099999999997</v>
      </c>
      <c r="E38" s="86">
        <f>89.177</f>
        <v>89.177000000000007</v>
      </c>
      <c r="F38" s="78">
        <f>240.302-40</f>
        <v>200.30199999999999</v>
      </c>
      <c r="G38" s="80">
        <v>40</v>
      </c>
      <c r="H38" s="78">
        <v>0</v>
      </c>
      <c r="I38" s="78">
        <v>0</v>
      </c>
      <c r="J38" s="80">
        <v>100</v>
      </c>
      <c r="K38" s="80">
        <v>300</v>
      </c>
      <c r="L38" s="78">
        <f t="shared" si="0"/>
        <v>1150</v>
      </c>
      <c r="M38" s="88"/>
      <c r="N38" s="78">
        <f>100</f>
        <v>100</v>
      </c>
      <c r="O38" s="80">
        <v>240</v>
      </c>
      <c r="P38" s="80">
        <v>0</v>
      </c>
      <c r="Q38" s="80">
        <f t="shared" si="1"/>
        <v>355</v>
      </c>
      <c r="R38" s="80">
        <f t="shared" si="2"/>
        <v>100</v>
      </c>
      <c r="S38" s="78">
        <f t="shared" si="3"/>
        <v>695</v>
      </c>
      <c r="T38" s="78">
        <f>50</f>
        <v>50</v>
      </c>
      <c r="U38" s="76"/>
      <c r="V38" s="76"/>
      <c r="W38" s="76"/>
      <c r="X38" s="76"/>
      <c r="Y38" s="76"/>
      <c r="Z38" s="76"/>
      <c r="AA38" s="76"/>
      <c r="AB38" s="76"/>
      <c r="AC38" s="76"/>
      <c r="AD38" s="76"/>
    </row>
    <row r="39" spans="1:30" ht="15.75" x14ac:dyDescent="0.25">
      <c r="A39" s="16">
        <v>42095</v>
      </c>
      <c r="B39" s="91">
        <v>30</v>
      </c>
      <c r="C39" s="78">
        <f>141.293</f>
        <v>141.29300000000001</v>
      </c>
      <c r="D39" s="78">
        <f>267.993</f>
        <v>267.99299999999999</v>
      </c>
      <c r="E39" s="86">
        <f>115.016</f>
        <v>115.01600000000001</v>
      </c>
      <c r="F39" s="78">
        <f>314.698-40-25-60</f>
        <v>189.69799999999998</v>
      </c>
      <c r="G39" s="80">
        <v>40</v>
      </c>
      <c r="H39" s="78">
        <f t="shared" ref="H39:H45" si="6">25+60</f>
        <v>85</v>
      </c>
      <c r="I39" s="78">
        <v>0</v>
      </c>
      <c r="J39" s="80">
        <v>100</v>
      </c>
      <c r="K39" s="80">
        <v>300</v>
      </c>
      <c r="L39" s="78">
        <f t="shared" si="0"/>
        <v>1239</v>
      </c>
      <c r="M39" s="88"/>
      <c r="N39" s="78">
        <f>100</f>
        <v>100</v>
      </c>
      <c r="O39" s="80">
        <v>240</v>
      </c>
      <c r="P39" s="80">
        <f t="shared" ref="P39:P45" si="7">120+40</f>
        <v>160</v>
      </c>
      <c r="Q39" s="80">
        <f t="shared" si="1"/>
        <v>195</v>
      </c>
      <c r="R39" s="80">
        <f t="shared" si="2"/>
        <v>100</v>
      </c>
      <c r="S39" s="78">
        <f t="shared" si="3"/>
        <v>695</v>
      </c>
      <c r="T39" s="78">
        <f>50</f>
        <v>50</v>
      </c>
      <c r="U39" s="76"/>
      <c r="V39" s="76"/>
      <c r="W39" s="76"/>
      <c r="X39" s="76"/>
      <c r="Y39" s="76"/>
      <c r="Z39" s="76"/>
      <c r="AA39" s="76"/>
      <c r="AB39" s="76"/>
      <c r="AC39" s="76"/>
      <c r="AD39" s="76"/>
    </row>
    <row r="40" spans="1:30" ht="15.75" x14ac:dyDescent="0.25">
      <c r="A40" s="16">
        <v>42125</v>
      </c>
      <c r="B40" s="91">
        <v>31</v>
      </c>
      <c r="C40" s="78">
        <f>194.205</f>
        <v>194.20500000000001</v>
      </c>
      <c r="D40" s="78">
        <f>267.466</f>
        <v>267.46600000000001</v>
      </c>
      <c r="E40" s="86">
        <f>133.845</f>
        <v>133.845</v>
      </c>
      <c r="F40" s="78">
        <f>278.484-40-25-60</f>
        <v>153.48399999999998</v>
      </c>
      <c r="G40" s="80">
        <v>40</v>
      </c>
      <c r="H40" s="78">
        <f t="shared" si="6"/>
        <v>85</v>
      </c>
      <c r="I40" s="92">
        <v>50</v>
      </c>
      <c r="J40" s="80">
        <v>100</v>
      </c>
      <c r="K40" s="80">
        <v>300</v>
      </c>
      <c r="L40" s="78">
        <f t="shared" si="0"/>
        <v>1324</v>
      </c>
      <c r="M40" s="88"/>
      <c r="N40" s="78">
        <f>75</f>
        <v>75</v>
      </c>
      <c r="O40" s="80">
        <v>240</v>
      </c>
      <c r="P40" s="80">
        <f t="shared" si="7"/>
        <v>160</v>
      </c>
      <c r="Q40" s="80">
        <f t="shared" si="1"/>
        <v>195</v>
      </c>
      <c r="R40" s="80">
        <f t="shared" si="2"/>
        <v>100</v>
      </c>
      <c r="S40" s="78">
        <f t="shared" si="3"/>
        <v>695</v>
      </c>
      <c r="T40" s="78">
        <f>50</f>
        <v>50</v>
      </c>
      <c r="U40" s="76"/>
      <c r="V40" s="76"/>
      <c r="W40" s="76"/>
      <c r="X40" s="76"/>
      <c r="Y40" s="76"/>
      <c r="Z40" s="76"/>
      <c r="AA40" s="76"/>
      <c r="AB40" s="76"/>
      <c r="AC40" s="76"/>
      <c r="AD40" s="76"/>
    </row>
    <row r="41" spans="1:30" ht="15.75" x14ac:dyDescent="0.25">
      <c r="A41" s="16">
        <v>42156</v>
      </c>
      <c r="B41" s="91">
        <v>30</v>
      </c>
      <c r="C41" s="78">
        <f>194.205</f>
        <v>194.20500000000001</v>
      </c>
      <c r="D41" s="78">
        <f>267.466</f>
        <v>267.46600000000001</v>
      </c>
      <c r="E41" s="86">
        <f>133.845</f>
        <v>133.845</v>
      </c>
      <c r="F41" s="78">
        <f>278.484-40-25-60</f>
        <v>153.48399999999998</v>
      </c>
      <c r="G41" s="80">
        <v>40</v>
      </c>
      <c r="H41" s="78">
        <f t="shared" si="6"/>
        <v>85</v>
      </c>
      <c r="I41" s="92">
        <v>50</v>
      </c>
      <c r="J41" s="80">
        <v>100</v>
      </c>
      <c r="K41" s="80">
        <v>300</v>
      </c>
      <c r="L41" s="78">
        <f t="shared" si="0"/>
        <v>1324</v>
      </c>
      <c r="M41" s="88"/>
      <c r="N41" s="78">
        <f>30</f>
        <v>30</v>
      </c>
      <c r="O41" s="80">
        <v>240</v>
      </c>
      <c r="P41" s="80">
        <f t="shared" si="7"/>
        <v>160</v>
      </c>
      <c r="Q41" s="80">
        <f t="shared" si="1"/>
        <v>195</v>
      </c>
      <c r="R41" s="80">
        <f t="shared" si="2"/>
        <v>100</v>
      </c>
      <c r="S41" s="78">
        <f t="shared" si="3"/>
        <v>695</v>
      </c>
      <c r="T41" s="78">
        <f>50</f>
        <v>50</v>
      </c>
      <c r="U41" s="76"/>
      <c r="V41" s="76"/>
      <c r="W41" s="76"/>
      <c r="X41" s="76"/>
      <c r="Y41" s="76"/>
      <c r="Z41" s="76"/>
      <c r="AA41" s="76"/>
      <c r="AB41" s="76"/>
      <c r="AC41" s="76"/>
      <c r="AD41" s="76"/>
    </row>
    <row r="42" spans="1:30" ht="15.75" x14ac:dyDescent="0.25">
      <c r="A42" s="16">
        <v>42186</v>
      </c>
      <c r="B42" s="91">
        <v>31</v>
      </c>
      <c r="C42" s="78">
        <f>194.205</f>
        <v>194.20500000000001</v>
      </c>
      <c r="D42" s="78">
        <f>267.466</f>
        <v>267.46600000000001</v>
      </c>
      <c r="E42" s="86">
        <f>133.845</f>
        <v>133.845</v>
      </c>
      <c r="F42" s="78">
        <f>278.484-40-25-60</f>
        <v>153.48399999999998</v>
      </c>
      <c r="G42" s="80">
        <v>40</v>
      </c>
      <c r="H42" s="78">
        <f t="shared" si="6"/>
        <v>85</v>
      </c>
      <c r="I42" s="92">
        <v>50</v>
      </c>
      <c r="J42" s="80">
        <v>100</v>
      </c>
      <c r="K42" s="80">
        <v>300</v>
      </c>
      <c r="L42" s="78">
        <f t="shared" si="0"/>
        <v>1324</v>
      </c>
      <c r="M42" s="88"/>
      <c r="N42" s="78">
        <f>30</f>
        <v>30</v>
      </c>
      <c r="O42" s="80">
        <v>240</v>
      </c>
      <c r="P42" s="80">
        <f t="shared" si="7"/>
        <v>160</v>
      </c>
      <c r="Q42" s="80">
        <f t="shared" si="1"/>
        <v>195</v>
      </c>
      <c r="R42" s="80">
        <f t="shared" si="2"/>
        <v>100</v>
      </c>
      <c r="S42" s="78">
        <f t="shared" si="3"/>
        <v>695</v>
      </c>
      <c r="T42" s="78">
        <f>0</f>
        <v>0</v>
      </c>
      <c r="U42" s="76"/>
      <c r="V42" s="76"/>
      <c r="W42" s="76"/>
      <c r="X42" s="76"/>
      <c r="Y42" s="76"/>
      <c r="Z42" s="76"/>
      <c r="AA42" s="76"/>
      <c r="AB42" s="76"/>
      <c r="AC42" s="76"/>
      <c r="AD42" s="76"/>
    </row>
    <row r="43" spans="1:30" ht="15.75" x14ac:dyDescent="0.25">
      <c r="A43" s="16">
        <v>42217</v>
      </c>
      <c r="B43" s="91">
        <v>31</v>
      </c>
      <c r="C43" s="78">
        <f>194.205</f>
        <v>194.20500000000001</v>
      </c>
      <c r="D43" s="78">
        <f>267.466</f>
        <v>267.46600000000001</v>
      </c>
      <c r="E43" s="86">
        <f>133.845</f>
        <v>133.845</v>
      </c>
      <c r="F43" s="78">
        <f>278.484-40-25-60</f>
        <v>153.48399999999998</v>
      </c>
      <c r="G43" s="80">
        <v>40</v>
      </c>
      <c r="H43" s="78">
        <f t="shared" si="6"/>
        <v>85</v>
      </c>
      <c r="I43" s="92">
        <v>50</v>
      </c>
      <c r="J43" s="80">
        <v>100</v>
      </c>
      <c r="K43" s="80">
        <v>300</v>
      </c>
      <c r="L43" s="78">
        <f t="shared" si="0"/>
        <v>1324</v>
      </c>
      <c r="M43" s="88"/>
      <c r="N43" s="78">
        <f>30</f>
        <v>30</v>
      </c>
      <c r="O43" s="80">
        <v>240</v>
      </c>
      <c r="P43" s="80">
        <f t="shared" si="7"/>
        <v>160</v>
      </c>
      <c r="Q43" s="80">
        <f t="shared" si="1"/>
        <v>195</v>
      </c>
      <c r="R43" s="80">
        <f t="shared" si="2"/>
        <v>100</v>
      </c>
      <c r="S43" s="78">
        <f t="shared" si="3"/>
        <v>695</v>
      </c>
      <c r="T43" s="78">
        <f>0</f>
        <v>0</v>
      </c>
      <c r="U43" s="76"/>
      <c r="V43" s="76"/>
      <c r="W43" s="76"/>
      <c r="X43" s="76"/>
      <c r="Y43" s="76"/>
      <c r="Z43" s="76"/>
      <c r="AA43" s="76"/>
      <c r="AB43" s="76"/>
      <c r="AC43" s="76"/>
      <c r="AD43" s="76"/>
    </row>
    <row r="44" spans="1:30" ht="15.75" x14ac:dyDescent="0.25">
      <c r="A44" s="16">
        <v>42248</v>
      </c>
      <c r="B44" s="91">
        <v>30</v>
      </c>
      <c r="C44" s="78">
        <f>194.205</f>
        <v>194.20500000000001</v>
      </c>
      <c r="D44" s="78">
        <f>267.466</f>
        <v>267.46600000000001</v>
      </c>
      <c r="E44" s="86">
        <f>133.845</f>
        <v>133.845</v>
      </c>
      <c r="F44" s="78">
        <f>278.484-40-25-60</f>
        <v>153.48399999999998</v>
      </c>
      <c r="G44" s="80">
        <v>40</v>
      </c>
      <c r="H44" s="78">
        <f t="shared" si="6"/>
        <v>85</v>
      </c>
      <c r="I44" s="92">
        <v>50</v>
      </c>
      <c r="J44" s="80">
        <v>100</v>
      </c>
      <c r="K44" s="80">
        <v>300</v>
      </c>
      <c r="L44" s="78">
        <f t="shared" si="0"/>
        <v>1324</v>
      </c>
      <c r="M44" s="88"/>
      <c r="N44" s="78">
        <f>30</f>
        <v>30</v>
      </c>
      <c r="O44" s="80">
        <v>240</v>
      </c>
      <c r="P44" s="80">
        <f t="shared" si="7"/>
        <v>160</v>
      </c>
      <c r="Q44" s="80">
        <f t="shared" si="1"/>
        <v>195</v>
      </c>
      <c r="R44" s="80">
        <f t="shared" si="2"/>
        <v>100</v>
      </c>
      <c r="S44" s="78">
        <f t="shared" si="3"/>
        <v>695</v>
      </c>
      <c r="T44" s="78">
        <f>0</f>
        <v>0</v>
      </c>
      <c r="U44" s="76"/>
      <c r="V44" s="76"/>
      <c r="W44" s="76"/>
      <c r="X44" s="76"/>
      <c r="Y44" s="76"/>
      <c r="Z44" s="76"/>
      <c r="AA44" s="76"/>
      <c r="AB44" s="76"/>
      <c r="AC44" s="76"/>
      <c r="AD44" s="76"/>
    </row>
    <row r="45" spans="1:30" ht="15.75" x14ac:dyDescent="0.25">
      <c r="A45" s="16">
        <v>42278</v>
      </c>
      <c r="B45" s="91">
        <v>31</v>
      </c>
      <c r="C45" s="78">
        <f>131.881</f>
        <v>131.881</v>
      </c>
      <c r="D45" s="78">
        <f>277.167</f>
        <v>277.16699999999997</v>
      </c>
      <c r="E45" s="86">
        <f>79.08</f>
        <v>79.08</v>
      </c>
      <c r="F45" s="78">
        <f>350.872-40-25-60</f>
        <v>225.87200000000001</v>
      </c>
      <c r="G45" s="80">
        <v>40</v>
      </c>
      <c r="H45" s="78">
        <f t="shared" si="6"/>
        <v>85</v>
      </c>
      <c r="I45" s="78">
        <v>0</v>
      </c>
      <c r="J45" s="80">
        <v>100</v>
      </c>
      <c r="K45" s="80">
        <v>300</v>
      </c>
      <c r="L45" s="78">
        <f t="shared" si="0"/>
        <v>1239</v>
      </c>
      <c r="M45" s="88"/>
      <c r="N45" s="78">
        <f>75</f>
        <v>75</v>
      </c>
      <c r="O45" s="80">
        <v>240</v>
      </c>
      <c r="P45" s="80">
        <f t="shared" si="7"/>
        <v>160</v>
      </c>
      <c r="Q45" s="80">
        <f t="shared" si="1"/>
        <v>195</v>
      </c>
      <c r="R45" s="80">
        <f t="shared" si="2"/>
        <v>100</v>
      </c>
      <c r="S45" s="78">
        <f t="shared" si="3"/>
        <v>695</v>
      </c>
      <c r="T45" s="78">
        <f>0</f>
        <v>0</v>
      </c>
      <c r="U45" s="76"/>
      <c r="V45" s="76"/>
      <c r="W45" s="76"/>
      <c r="X45" s="76"/>
      <c r="Y45" s="76"/>
      <c r="Z45" s="76"/>
      <c r="AA45" s="76"/>
      <c r="AB45" s="76"/>
      <c r="AC45" s="76"/>
      <c r="AD45" s="76"/>
    </row>
    <row r="46" spans="1:30" ht="15.75" x14ac:dyDescent="0.25">
      <c r="A46" s="16">
        <v>42309</v>
      </c>
      <c r="B46" s="91">
        <v>30</v>
      </c>
      <c r="C46" s="78">
        <f>122.58</f>
        <v>122.58</v>
      </c>
      <c r="D46" s="78">
        <f>297.941</f>
        <v>297.94099999999997</v>
      </c>
      <c r="E46" s="86">
        <f>89.177</f>
        <v>89.177000000000007</v>
      </c>
      <c r="F46" s="78">
        <f>240.302-40-60</f>
        <v>140.30199999999999</v>
      </c>
      <c r="G46" s="80">
        <v>40</v>
      </c>
      <c r="H46" s="78">
        <v>60</v>
      </c>
      <c r="I46" s="78">
        <v>0</v>
      </c>
      <c r="J46" s="80">
        <v>100</v>
      </c>
      <c r="K46" s="80">
        <v>300</v>
      </c>
      <c r="L46" s="78">
        <f t="shared" si="0"/>
        <v>1150</v>
      </c>
      <c r="M46" s="88"/>
      <c r="N46" s="78">
        <f>100</f>
        <v>100</v>
      </c>
      <c r="O46" s="80">
        <v>240</v>
      </c>
      <c r="P46" s="80">
        <v>40</v>
      </c>
      <c r="Q46" s="80">
        <f t="shared" si="1"/>
        <v>315</v>
      </c>
      <c r="R46" s="80">
        <f t="shared" si="2"/>
        <v>100</v>
      </c>
      <c r="S46" s="78">
        <f t="shared" si="3"/>
        <v>695</v>
      </c>
      <c r="T46" s="78">
        <f>50</f>
        <v>50</v>
      </c>
      <c r="U46" s="76"/>
      <c r="V46" s="76"/>
      <c r="W46" s="76"/>
      <c r="X46" s="76"/>
      <c r="Y46" s="76"/>
      <c r="Z46" s="76"/>
      <c r="AA46" s="76"/>
      <c r="AB46" s="76"/>
      <c r="AC46" s="76"/>
      <c r="AD46" s="76"/>
    </row>
    <row r="47" spans="1:30" ht="15.75" x14ac:dyDescent="0.25">
      <c r="A47" s="16">
        <v>42339</v>
      </c>
      <c r="B47" s="91">
        <v>31</v>
      </c>
      <c r="C47" s="78">
        <f>122.58</f>
        <v>122.58</v>
      </c>
      <c r="D47" s="78">
        <f>297.941</f>
        <v>297.94099999999997</v>
      </c>
      <c r="E47" s="86">
        <f>89.177</f>
        <v>89.177000000000007</v>
      </c>
      <c r="F47" s="78">
        <f>240.302-40-60</f>
        <v>140.30199999999999</v>
      </c>
      <c r="G47" s="80">
        <v>40</v>
      </c>
      <c r="H47" s="78">
        <v>60</v>
      </c>
      <c r="I47" s="78">
        <v>0</v>
      </c>
      <c r="J47" s="80">
        <v>100</v>
      </c>
      <c r="K47" s="80">
        <v>300</v>
      </c>
      <c r="L47" s="78">
        <f t="shared" si="0"/>
        <v>1150</v>
      </c>
      <c r="M47" s="88"/>
      <c r="N47" s="78">
        <f>100</f>
        <v>100</v>
      </c>
      <c r="O47" s="80">
        <v>240</v>
      </c>
      <c r="P47" s="80">
        <v>40</v>
      </c>
      <c r="Q47" s="80">
        <f t="shared" si="1"/>
        <v>315</v>
      </c>
      <c r="R47" s="80">
        <f t="shared" si="2"/>
        <v>100</v>
      </c>
      <c r="S47" s="78">
        <f t="shared" si="3"/>
        <v>695</v>
      </c>
      <c r="T47" s="78">
        <f>50</f>
        <v>50</v>
      </c>
      <c r="U47" s="76"/>
      <c r="V47" s="76"/>
      <c r="W47" s="76"/>
      <c r="X47" s="76"/>
      <c r="Y47" s="76"/>
      <c r="Z47" s="76"/>
      <c r="AA47" s="76"/>
      <c r="AB47" s="76"/>
      <c r="AC47" s="76"/>
      <c r="AD47" s="76"/>
    </row>
    <row r="48" spans="1:30" ht="15.75" x14ac:dyDescent="0.25">
      <c r="A48" s="16">
        <v>42370</v>
      </c>
      <c r="B48" s="91">
        <v>31</v>
      </c>
      <c r="C48" s="78">
        <f>122.58</f>
        <v>122.58</v>
      </c>
      <c r="D48" s="78">
        <f>297.941</f>
        <v>297.94099999999997</v>
      </c>
      <c r="E48" s="86">
        <f>89.177</f>
        <v>89.177000000000007</v>
      </c>
      <c r="F48" s="78">
        <f>240.302-40-60</f>
        <v>140.30199999999999</v>
      </c>
      <c r="G48" s="80">
        <v>40</v>
      </c>
      <c r="H48" s="78">
        <v>60</v>
      </c>
      <c r="I48" s="78">
        <v>0</v>
      </c>
      <c r="J48" s="80">
        <v>100</v>
      </c>
      <c r="K48" s="80">
        <v>300</v>
      </c>
      <c r="L48" s="78">
        <f t="shared" si="0"/>
        <v>1150</v>
      </c>
      <c r="M48" s="88"/>
      <c r="N48" s="78">
        <f>100</f>
        <v>100</v>
      </c>
      <c r="O48" s="80">
        <v>240</v>
      </c>
      <c r="P48" s="80">
        <v>40</v>
      </c>
      <c r="Q48" s="80">
        <f t="shared" si="1"/>
        <v>315</v>
      </c>
      <c r="R48" s="80">
        <f t="shared" si="2"/>
        <v>100</v>
      </c>
      <c r="S48" s="78">
        <f t="shared" si="3"/>
        <v>695</v>
      </c>
      <c r="T48" s="78">
        <f>50</f>
        <v>50</v>
      </c>
      <c r="U48" s="76"/>
      <c r="V48" s="76"/>
      <c r="W48" s="76"/>
      <c r="X48" s="76"/>
      <c r="Y48" s="76"/>
      <c r="Z48" s="76"/>
      <c r="AA48" s="76"/>
      <c r="AB48" s="76"/>
      <c r="AC48" s="76"/>
      <c r="AD48" s="76"/>
    </row>
    <row r="49" spans="1:30" ht="15.75" x14ac:dyDescent="0.25">
      <c r="A49" s="16">
        <v>42401</v>
      </c>
      <c r="B49" s="91">
        <v>29</v>
      </c>
      <c r="C49" s="78">
        <f>122.58</f>
        <v>122.58</v>
      </c>
      <c r="D49" s="78">
        <f>297.941</f>
        <v>297.94099999999997</v>
      </c>
      <c r="E49" s="86">
        <f>89.177</f>
        <v>89.177000000000007</v>
      </c>
      <c r="F49" s="78">
        <f>240.302-40-60</f>
        <v>140.30199999999999</v>
      </c>
      <c r="G49" s="80">
        <v>40</v>
      </c>
      <c r="H49" s="78">
        <v>60</v>
      </c>
      <c r="I49" s="78">
        <v>0</v>
      </c>
      <c r="J49" s="80">
        <v>100</v>
      </c>
      <c r="K49" s="80">
        <v>300</v>
      </c>
      <c r="L49" s="78">
        <f t="shared" si="0"/>
        <v>1150</v>
      </c>
      <c r="M49" s="88"/>
      <c r="N49" s="78">
        <f>100</f>
        <v>100</v>
      </c>
      <c r="O49" s="80">
        <v>240</v>
      </c>
      <c r="P49" s="80">
        <v>40</v>
      </c>
      <c r="Q49" s="80">
        <f t="shared" si="1"/>
        <v>315</v>
      </c>
      <c r="R49" s="80">
        <f t="shared" si="2"/>
        <v>100</v>
      </c>
      <c r="S49" s="78">
        <f t="shared" si="3"/>
        <v>695</v>
      </c>
      <c r="T49" s="78">
        <f>50</f>
        <v>50</v>
      </c>
      <c r="U49" s="76"/>
      <c r="V49" s="76"/>
      <c r="W49" s="76"/>
      <c r="X49" s="76"/>
      <c r="Y49" s="76"/>
      <c r="Z49" s="76"/>
      <c r="AA49" s="76"/>
      <c r="AB49" s="76"/>
      <c r="AC49" s="76"/>
      <c r="AD49" s="76"/>
    </row>
    <row r="50" spans="1:30" ht="15.75" x14ac:dyDescent="0.25">
      <c r="A50" s="16">
        <v>42430</v>
      </c>
      <c r="B50" s="91">
        <v>31</v>
      </c>
      <c r="C50" s="78">
        <f>122.58</f>
        <v>122.58</v>
      </c>
      <c r="D50" s="78">
        <f>297.941</f>
        <v>297.94099999999997</v>
      </c>
      <c r="E50" s="86">
        <f>89.177</f>
        <v>89.177000000000007</v>
      </c>
      <c r="F50" s="78">
        <f>240.302-40-60</f>
        <v>140.30199999999999</v>
      </c>
      <c r="G50" s="80">
        <v>40</v>
      </c>
      <c r="H50" s="78">
        <v>60</v>
      </c>
      <c r="I50" s="78">
        <v>0</v>
      </c>
      <c r="J50" s="80">
        <v>100</v>
      </c>
      <c r="K50" s="80">
        <v>300</v>
      </c>
      <c r="L50" s="78">
        <f t="shared" si="0"/>
        <v>1150</v>
      </c>
      <c r="M50" s="88"/>
      <c r="N50" s="78">
        <f>100</f>
        <v>100</v>
      </c>
      <c r="O50" s="80">
        <v>240</v>
      </c>
      <c r="P50" s="80">
        <v>40</v>
      </c>
      <c r="Q50" s="80">
        <f t="shared" si="1"/>
        <v>315</v>
      </c>
      <c r="R50" s="80">
        <f t="shared" si="2"/>
        <v>100</v>
      </c>
      <c r="S50" s="78">
        <f t="shared" si="3"/>
        <v>695</v>
      </c>
      <c r="T50" s="78">
        <f>50</f>
        <v>50</v>
      </c>
      <c r="U50" s="76"/>
      <c r="V50" s="76"/>
      <c r="W50" s="76"/>
      <c r="X50" s="76"/>
      <c r="Y50" s="76"/>
      <c r="Z50" s="76"/>
      <c r="AA50" s="76"/>
      <c r="AB50" s="76"/>
      <c r="AC50" s="76"/>
      <c r="AD50" s="76"/>
    </row>
    <row r="51" spans="1:30" ht="15.75" x14ac:dyDescent="0.25">
      <c r="A51" s="16">
        <v>42461</v>
      </c>
      <c r="B51" s="91">
        <v>30</v>
      </c>
      <c r="C51" s="78">
        <f>141.293</f>
        <v>141.29300000000001</v>
      </c>
      <c r="D51" s="78">
        <f>267.993</f>
        <v>267.99299999999999</v>
      </c>
      <c r="E51" s="86">
        <f>115.016</f>
        <v>115.01600000000001</v>
      </c>
      <c r="F51" s="78">
        <f>314.698-40-25-60</f>
        <v>189.69799999999998</v>
      </c>
      <c r="G51" s="80">
        <v>40</v>
      </c>
      <c r="H51" s="78">
        <f t="shared" ref="H51:H57" si="8">25+60</f>
        <v>85</v>
      </c>
      <c r="I51" s="78">
        <v>0</v>
      </c>
      <c r="J51" s="80">
        <v>100</v>
      </c>
      <c r="K51" s="80">
        <v>300</v>
      </c>
      <c r="L51" s="78">
        <f t="shared" si="0"/>
        <v>1239</v>
      </c>
      <c r="M51" s="88"/>
      <c r="N51" s="78">
        <f>100</f>
        <v>100</v>
      </c>
      <c r="O51" s="80">
        <v>240</v>
      </c>
      <c r="P51" s="80">
        <v>160</v>
      </c>
      <c r="Q51" s="80">
        <f t="shared" si="1"/>
        <v>195</v>
      </c>
      <c r="R51" s="80">
        <f t="shared" si="2"/>
        <v>100</v>
      </c>
      <c r="S51" s="78">
        <f t="shared" si="3"/>
        <v>695</v>
      </c>
      <c r="T51" s="78">
        <f>50</f>
        <v>50</v>
      </c>
      <c r="U51" s="76"/>
      <c r="V51" s="76"/>
      <c r="W51" s="76"/>
      <c r="X51" s="76"/>
      <c r="Y51" s="76"/>
      <c r="Z51" s="76"/>
      <c r="AA51" s="76"/>
      <c r="AB51" s="76"/>
      <c r="AC51" s="76"/>
      <c r="AD51" s="76"/>
    </row>
    <row r="52" spans="1:30" ht="15.75" x14ac:dyDescent="0.25">
      <c r="A52" s="16">
        <v>42491</v>
      </c>
      <c r="B52" s="91">
        <v>31</v>
      </c>
      <c r="C52" s="78">
        <f>194.205</f>
        <v>194.20500000000001</v>
      </c>
      <c r="D52" s="78">
        <f>267.466</f>
        <v>267.46600000000001</v>
      </c>
      <c r="E52" s="86">
        <f>133.845</f>
        <v>133.845</v>
      </c>
      <c r="F52" s="78">
        <f>278.484-40-25-60</f>
        <v>153.48399999999998</v>
      </c>
      <c r="G52" s="80">
        <v>40</v>
      </c>
      <c r="H52" s="78">
        <f t="shared" si="8"/>
        <v>85</v>
      </c>
      <c r="I52" s="78">
        <f t="shared" ref="I52:I115" si="9">400-J52-K52</f>
        <v>0</v>
      </c>
      <c r="J52" s="80">
        <v>100</v>
      </c>
      <c r="K52" s="80">
        <v>300</v>
      </c>
      <c r="L52" s="78">
        <f t="shared" si="0"/>
        <v>1274</v>
      </c>
      <c r="M52" s="88"/>
      <c r="N52" s="78">
        <f>75</f>
        <v>75</v>
      </c>
      <c r="O52" s="80">
        <v>240</v>
      </c>
      <c r="P52" s="80">
        <v>160</v>
      </c>
      <c r="Q52" s="80">
        <f t="shared" si="1"/>
        <v>195</v>
      </c>
      <c r="R52" s="80">
        <f t="shared" si="2"/>
        <v>100</v>
      </c>
      <c r="S52" s="78">
        <f t="shared" si="3"/>
        <v>695</v>
      </c>
      <c r="T52" s="78">
        <f>50</f>
        <v>50</v>
      </c>
      <c r="U52" s="76"/>
      <c r="V52" s="76"/>
      <c r="W52" s="76"/>
      <c r="X52" s="76"/>
      <c r="Y52" s="76"/>
      <c r="Z52" s="76"/>
      <c r="AA52" s="76"/>
      <c r="AB52" s="76"/>
      <c r="AC52" s="76"/>
      <c r="AD52" s="76"/>
    </row>
    <row r="53" spans="1:30" ht="15.75" x14ac:dyDescent="0.25">
      <c r="A53" s="16">
        <v>42522</v>
      </c>
      <c r="B53" s="91">
        <v>30</v>
      </c>
      <c r="C53" s="78">
        <f>194.205</f>
        <v>194.20500000000001</v>
      </c>
      <c r="D53" s="78">
        <f>267.466</f>
        <v>267.46600000000001</v>
      </c>
      <c r="E53" s="86">
        <f>133.845</f>
        <v>133.845</v>
      </c>
      <c r="F53" s="78">
        <f>278.484-40-25-60</f>
        <v>153.48399999999998</v>
      </c>
      <c r="G53" s="80">
        <v>40</v>
      </c>
      <c r="H53" s="78">
        <f t="shared" si="8"/>
        <v>85</v>
      </c>
      <c r="I53" s="78">
        <f t="shared" si="9"/>
        <v>0</v>
      </c>
      <c r="J53" s="80">
        <v>100</v>
      </c>
      <c r="K53" s="80">
        <v>300</v>
      </c>
      <c r="L53" s="78">
        <f t="shared" si="0"/>
        <v>1274</v>
      </c>
      <c r="M53" s="88"/>
      <c r="N53" s="78">
        <f>30</f>
        <v>30</v>
      </c>
      <c r="O53" s="80">
        <v>240</v>
      </c>
      <c r="P53" s="80">
        <v>160</v>
      </c>
      <c r="Q53" s="80">
        <f t="shared" si="1"/>
        <v>195</v>
      </c>
      <c r="R53" s="80">
        <f t="shared" si="2"/>
        <v>100</v>
      </c>
      <c r="S53" s="78">
        <f t="shared" si="3"/>
        <v>695</v>
      </c>
      <c r="T53" s="78">
        <f>50</f>
        <v>50</v>
      </c>
      <c r="U53" s="76"/>
      <c r="V53" s="76"/>
      <c r="W53" s="76"/>
      <c r="X53" s="76"/>
      <c r="Y53" s="76"/>
      <c r="Z53" s="76"/>
      <c r="AA53" s="76"/>
      <c r="AB53" s="76"/>
      <c r="AC53" s="76"/>
      <c r="AD53" s="76"/>
    </row>
    <row r="54" spans="1:30" ht="15.75" x14ac:dyDescent="0.25">
      <c r="A54" s="16">
        <v>42552</v>
      </c>
      <c r="B54" s="91">
        <v>31</v>
      </c>
      <c r="C54" s="78">
        <f>194.205</f>
        <v>194.20500000000001</v>
      </c>
      <c r="D54" s="78">
        <f>267.466</f>
        <v>267.46600000000001</v>
      </c>
      <c r="E54" s="86">
        <f>133.845</f>
        <v>133.845</v>
      </c>
      <c r="F54" s="78">
        <f>278.484-40-25-60</f>
        <v>153.48399999999998</v>
      </c>
      <c r="G54" s="80">
        <v>40</v>
      </c>
      <c r="H54" s="78">
        <f t="shared" si="8"/>
        <v>85</v>
      </c>
      <c r="I54" s="78">
        <f t="shared" si="9"/>
        <v>0</v>
      </c>
      <c r="J54" s="80">
        <v>100</v>
      </c>
      <c r="K54" s="80">
        <v>300</v>
      </c>
      <c r="L54" s="78">
        <f t="shared" si="0"/>
        <v>1274</v>
      </c>
      <c r="M54" s="88"/>
      <c r="N54" s="78">
        <f>30</f>
        <v>30</v>
      </c>
      <c r="O54" s="80">
        <v>240</v>
      </c>
      <c r="P54" s="80">
        <v>160</v>
      </c>
      <c r="Q54" s="80">
        <f t="shared" si="1"/>
        <v>195</v>
      </c>
      <c r="R54" s="80">
        <f t="shared" si="2"/>
        <v>100</v>
      </c>
      <c r="S54" s="78">
        <f t="shared" si="3"/>
        <v>695</v>
      </c>
      <c r="T54" s="78">
        <f>0</f>
        <v>0</v>
      </c>
      <c r="U54" s="76"/>
      <c r="V54" s="76"/>
      <c r="W54" s="76"/>
      <c r="X54" s="76"/>
      <c r="Y54" s="76"/>
      <c r="Z54" s="76"/>
      <c r="AA54" s="76"/>
      <c r="AB54" s="76"/>
      <c r="AC54" s="76"/>
      <c r="AD54" s="76"/>
    </row>
    <row r="55" spans="1:30" ht="15.75" x14ac:dyDescent="0.25">
      <c r="A55" s="16">
        <v>42583</v>
      </c>
      <c r="B55" s="91">
        <v>31</v>
      </c>
      <c r="C55" s="78">
        <f>194.205</f>
        <v>194.20500000000001</v>
      </c>
      <c r="D55" s="78">
        <f>267.466</f>
        <v>267.46600000000001</v>
      </c>
      <c r="E55" s="86">
        <f>133.845</f>
        <v>133.845</v>
      </c>
      <c r="F55" s="78">
        <f>278.484-40-25-60</f>
        <v>153.48399999999998</v>
      </c>
      <c r="G55" s="80">
        <v>40</v>
      </c>
      <c r="H55" s="78">
        <f t="shared" si="8"/>
        <v>85</v>
      </c>
      <c r="I55" s="78">
        <f t="shared" si="9"/>
        <v>0</v>
      </c>
      <c r="J55" s="80">
        <v>100</v>
      </c>
      <c r="K55" s="80">
        <v>300</v>
      </c>
      <c r="L55" s="78">
        <f t="shared" si="0"/>
        <v>1274</v>
      </c>
      <c r="M55" s="88"/>
      <c r="N55" s="78">
        <f>30</f>
        <v>30</v>
      </c>
      <c r="O55" s="80">
        <v>240</v>
      </c>
      <c r="P55" s="80">
        <v>160</v>
      </c>
      <c r="Q55" s="80">
        <f t="shared" si="1"/>
        <v>195</v>
      </c>
      <c r="R55" s="80">
        <f t="shared" si="2"/>
        <v>100</v>
      </c>
      <c r="S55" s="78">
        <f t="shared" si="3"/>
        <v>695</v>
      </c>
      <c r="T55" s="78">
        <f>0</f>
        <v>0</v>
      </c>
      <c r="U55" s="76"/>
      <c r="V55" s="76"/>
      <c r="W55" s="76"/>
      <c r="X55" s="76"/>
      <c r="Y55" s="76"/>
      <c r="Z55" s="76"/>
      <c r="AA55" s="76"/>
      <c r="AB55" s="76"/>
      <c r="AC55" s="76"/>
      <c r="AD55" s="76"/>
    </row>
    <row r="56" spans="1:30" ht="15.75" x14ac:dyDescent="0.25">
      <c r="A56" s="16">
        <v>42614</v>
      </c>
      <c r="B56" s="91">
        <v>30</v>
      </c>
      <c r="C56" s="78">
        <f>194.205</f>
        <v>194.20500000000001</v>
      </c>
      <c r="D56" s="78">
        <f>267.466</f>
        <v>267.46600000000001</v>
      </c>
      <c r="E56" s="86">
        <f>133.845</f>
        <v>133.845</v>
      </c>
      <c r="F56" s="78">
        <f>278.484-40-25-60</f>
        <v>153.48399999999998</v>
      </c>
      <c r="G56" s="80">
        <v>40</v>
      </c>
      <c r="H56" s="78">
        <f t="shared" si="8"/>
        <v>85</v>
      </c>
      <c r="I56" s="78">
        <f t="shared" si="9"/>
        <v>0</v>
      </c>
      <c r="J56" s="80">
        <v>100</v>
      </c>
      <c r="K56" s="80">
        <v>300</v>
      </c>
      <c r="L56" s="78">
        <f t="shared" si="0"/>
        <v>1274</v>
      </c>
      <c r="M56" s="88"/>
      <c r="N56" s="78">
        <f>30</f>
        <v>30</v>
      </c>
      <c r="O56" s="80">
        <v>240</v>
      </c>
      <c r="P56" s="80">
        <v>160</v>
      </c>
      <c r="Q56" s="80">
        <f t="shared" si="1"/>
        <v>195</v>
      </c>
      <c r="R56" s="80">
        <f t="shared" si="2"/>
        <v>100</v>
      </c>
      <c r="S56" s="78">
        <f t="shared" si="3"/>
        <v>695</v>
      </c>
      <c r="T56" s="78">
        <f>0</f>
        <v>0</v>
      </c>
      <c r="U56" s="76"/>
      <c r="V56" s="76"/>
      <c r="W56" s="76"/>
      <c r="X56" s="76"/>
      <c r="Y56" s="76"/>
      <c r="Z56" s="76"/>
      <c r="AA56" s="76"/>
      <c r="AB56" s="76"/>
      <c r="AC56" s="76"/>
      <c r="AD56" s="76"/>
    </row>
    <row r="57" spans="1:30" ht="15.75" x14ac:dyDescent="0.25">
      <c r="A57" s="16">
        <v>42644</v>
      </c>
      <c r="B57" s="91">
        <v>31</v>
      </c>
      <c r="C57" s="78">
        <f>131.881</f>
        <v>131.881</v>
      </c>
      <c r="D57" s="78">
        <f>277.167</f>
        <v>277.16699999999997</v>
      </c>
      <c r="E57" s="86">
        <f>79.08</f>
        <v>79.08</v>
      </c>
      <c r="F57" s="78">
        <f>350.872-40-25-60</f>
        <v>225.87200000000001</v>
      </c>
      <c r="G57" s="80">
        <v>40</v>
      </c>
      <c r="H57" s="78">
        <f t="shared" si="8"/>
        <v>85</v>
      </c>
      <c r="I57" s="78">
        <f t="shared" si="9"/>
        <v>0</v>
      </c>
      <c r="J57" s="80">
        <v>100</v>
      </c>
      <c r="K57" s="80">
        <v>300</v>
      </c>
      <c r="L57" s="78">
        <f t="shared" si="0"/>
        <v>1239</v>
      </c>
      <c r="M57" s="88"/>
      <c r="N57" s="78">
        <f>75</f>
        <v>75</v>
      </c>
      <c r="O57" s="80">
        <v>240</v>
      </c>
      <c r="P57" s="80">
        <v>160</v>
      </c>
      <c r="Q57" s="80">
        <f t="shared" si="1"/>
        <v>195</v>
      </c>
      <c r="R57" s="80">
        <f t="shared" si="2"/>
        <v>100</v>
      </c>
      <c r="S57" s="78">
        <f t="shared" si="3"/>
        <v>695</v>
      </c>
      <c r="T57" s="78">
        <f>0</f>
        <v>0</v>
      </c>
      <c r="U57" s="76"/>
      <c r="V57" s="76"/>
      <c r="W57" s="76"/>
      <c r="X57" s="76"/>
      <c r="Y57" s="76"/>
      <c r="Z57" s="76"/>
      <c r="AA57" s="76"/>
      <c r="AB57" s="76"/>
      <c r="AC57" s="76"/>
      <c r="AD57" s="76"/>
    </row>
    <row r="58" spans="1:30" ht="15.75" x14ac:dyDescent="0.25">
      <c r="A58" s="16">
        <v>42675</v>
      </c>
      <c r="B58" s="91">
        <v>30</v>
      </c>
      <c r="C58" s="78">
        <f>122.58</f>
        <v>122.58</v>
      </c>
      <c r="D58" s="78">
        <f>297.941</f>
        <v>297.94099999999997</v>
      </c>
      <c r="E58" s="86">
        <f>89.177</f>
        <v>89.177000000000007</v>
      </c>
      <c r="F58" s="78">
        <f>240.302-40-60</f>
        <v>140.30199999999999</v>
      </c>
      <c r="G58" s="80">
        <v>40</v>
      </c>
      <c r="H58" s="78">
        <v>60</v>
      </c>
      <c r="I58" s="78">
        <f t="shared" si="9"/>
        <v>0</v>
      </c>
      <c r="J58" s="80">
        <v>100</v>
      </c>
      <c r="K58" s="80">
        <v>300</v>
      </c>
      <c r="L58" s="78">
        <f t="shared" si="0"/>
        <v>1150</v>
      </c>
      <c r="M58" s="88"/>
      <c r="N58" s="78">
        <f>100</f>
        <v>100</v>
      </c>
      <c r="O58" s="80">
        <v>240</v>
      </c>
      <c r="P58" s="80">
        <v>40</v>
      </c>
      <c r="Q58" s="80">
        <f t="shared" si="1"/>
        <v>315</v>
      </c>
      <c r="R58" s="80">
        <f t="shared" si="2"/>
        <v>100</v>
      </c>
      <c r="S58" s="78">
        <f t="shared" si="3"/>
        <v>695</v>
      </c>
      <c r="T58" s="78">
        <f>50</f>
        <v>50</v>
      </c>
      <c r="U58" s="76"/>
      <c r="V58" s="76"/>
      <c r="W58" s="76"/>
      <c r="X58" s="76"/>
      <c r="Y58" s="76"/>
      <c r="Z58" s="76"/>
      <c r="AA58" s="76"/>
      <c r="AB58" s="76"/>
      <c r="AC58" s="76"/>
      <c r="AD58" s="76"/>
    </row>
    <row r="59" spans="1:30" ht="15.75" x14ac:dyDescent="0.25">
      <c r="A59" s="16">
        <v>42705</v>
      </c>
      <c r="B59" s="91">
        <v>31</v>
      </c>
      <c r="C59" s="78">
        <f>122.58</f>
        <v>122.58</v>
      </c>
      <c r="D59" s="78">
        <f>297.941</f>
        <v>297.94099999999997</v>
      </c>
      <c r="E59" s="86">
        <f>89.177</f>
        <v>89.177000000000007</v>
      </c>
      <c r="F59" s="78">
        <f>240.302-40-60</f>
        <v>140.30199999999999</v>
      </c>
      <c r="G59" s="80">
        <v>40</v>
      </c>
      <c r="H59" s="78">
        <v>60</v>
      </c>
      <c r="I59" s="78">
        <f t="shared" si="9"/>
        <v>0</v>
      </c>
      <c r="J59" s="80">
        <v>100</v>
      </c>
      <c r="K59" s="80">
        <v>300</v>
      </c>
      <c r="L59" s="78">
        <f t="shared" si="0"/>
        <v>1150</v>
      </c>
      <c r="M59" s="88"/>
      <c r="N59" s="78">
        <f>100</f>
        <v>100</v>
      </c>
      <c r="O59" s="80">
        <v>240</v>
      </c>
      <c r="P59" s="80">
        <v>40</v>
      </c>
      <c r="Q59" s="80">
        <f t="shared" si="1"/>
        <v>315</v>
      </c>
      <c r="R59" s="80">
        <f t="shared" si="2"/>
        <v>100</v>
      </c>
      <c r="S59" s="78">
        <f t="shared" si="3"/>
        <v>695</v>
      </c>
      <c r="T59" s="78">
        <f>50</f>
        <v>50</v>
      </c>
      <c r="U59" s="76"/>
      <c r="V59" s="76"/>
      <c r="W59" s="76"/>
      <c r="X59" s="76"/>
      <c r="Y59" s="76"/>
      <c r="Z59" s="76"/>
      <c r="AA59" s="76"/>
      <c r="AB59" s="76"/>
      <c r="AC59" s="76"/>
      <c r="AD59" s="76"/>
    </row>
    <row r="60" spans="1:30" ht="15.75" x14ac:dyDescent="0.25">
      <c r="A60" s="16">
        <v>42736</v>
      </c>
      <c r="B60" s="91">
        <v>31</v>
      </c>
      <c r="C60" s="78">
        <f>122.58</f>
        <v>122.58</v>
      </c>
      <c r="D60" s="78">
        <f>297.941</f>
        <v>297.94099999999997</v>
      </c>
      <c r="E60" s="86">
        <f>89.177</f>
        <v>89.177000000000007</v>
      </c>
      <c r="F60" s="78">
        <f>240.302-40-60</f>
        <v>140.30199999999999</v>
      </c>
      <c r="G60" s="80">
        <v>40</v>
      </c>
      <c r="H60" s="78">
        <v>60</v>
      </c>
      <c r="I60" s="78">
        <f t="shared" si="9"/>
        <v>0</v>
      </c>
      <c r="J60" s="80">
        <v>100</v>
      </c>
      <c r="K60" s="80">
        <v>300</v>
      </c>
      <c r="L60" s="78">
        <f t="shared" si="0"/>
        <v>1150</v>
      </c>
      <c r="M60" s="88"/>
      <c r="N60" s="78">
        <f>100</f>
        <v>100</v>
      </c>
      <c r="O60" s="80">
        <v>240</v>
      </c>
      <c r="P60" s="80">
        <v>40</v>
      </c>
      <c r="Q60" s="80">
        <f t="shared" si="1"/>
        <v>315</v>
      </c>
      <c r="R60" s="80">
        <f t="shared" si="2"/>
        <v>100</v>
      </c>
      <c r="S60" s="78">
        <f t="shared" si="3"/>
        <v>695</v>
      </c>
      <c r="T60" s="78">
        <f>50</f>
        <v>50</v>
      </c>
      <c r="U60" s="76"/>
      <c r="V60" s="76"/>
      <c r="W60" s="76"/>
      <c r="X60" s="76"/>
      <c r="Y60" s="76"/>
      <c r="Z60" s="76"/>
      <c r="AA60" s="76"/>
      <c r="AB60" s="76"/>
      <c r="AC60" s="76"/>
      <c r="AD60" s="76"/>
    </row>
    <row r="61" spans="1:30" ht="15.75" x14ac:dyDescent="0.25">
      <c r="A61" s="16">
        <v>42767</v>
      </c>
      <c r="B61" s="91">
        <v>28</v>
      </c>
      <c r="C61" s="78">
        <f>122.58</f>
        <v>122.58</v>
      </c>
      <c r="D61" s="78">
        <f>297.941</f>
        <v>297.94099999999997</v>
      </c>
      <c r="E61" s="86">
        <f>89.177</f>
        <v>89.177000000000007</v>
      </c>
      <c r="F61" s="78">
        <f>240.302-40-60</f>
        <v>140.30199999999999</v>
      </c>
      <c r="G61" s="80">
        <v>40</v>
      </c>
      <c r="H61" s="78">
        <v>60</v>
      </c>
      <c r="I61" s="78">
        <f t="shared" si="9"/>
        <v>0</v>
      </c>
      <c r="J61" s="80">
        <v>100</v>
      </c>
      <c r="K61" s="80">
        <v>300</v>
      </c>
      <c r="L61" s="78">
        <f t="shared" si="0"/>
        <v>1150</v>
      </c>
      <c r="M61" s="88"/>
      <c r="N61" s="78">
        <f>100</f>
        <v>100</v>
      </c>
      <c r="O61" s="80">
        <v>240</v>
      </c>
      <c r="P61" s="80">
        <v>40</v>
      </c>
      <c r="Q61" s="80">
        <f t="shared" si="1"/>
        <v>315</v>
      </c>
      <c r="R61" s="80">
        <f t="shared" si="2"/>
        <v>100</v>
      </c>
      <c r="S61" s="78">
        <f t="shared" si="3"/>
        <v>695</v>
      </c>
      <c r="T61" s="78">
        <f>50</f>
        <v>50</v>
      </c>
      <c r="U61" s="76"/>
      <c r="V61" s="76"/>
      <c r="W61" s="76"/>
      <c r="X61" s="76"/>
      <c r="Y61" s="76"/>
      <c r="Z61" s="76"/>
      <c r="AA61" s="76"/>
      <c r="AB61" s="76"/>
      <c r="AC61" s="76"/>
      <c r="AD61" s="76"/>
    </row>
    <row r="62" spans="1:30" ht="15.75" x14ac:dyDescent="0.25">
      <c r="A62" s="16">
        <v>42795</v>
      </c>
      <c r="B62" s="91">
        <v>31</v>
      </c>
      <c r="C62" s="78">
        <f>122.58</f>
        <v>122.58</v>
      </c>
      <c r="D62" s="78">
        <f>297.941</f>
        <v>297.94099999999997</v>
      </c>
      <c r="E62" s="86">
        <f>89.177</f>
        <v>89.177000000000007</v>
      </c>
      <c r="F62" s="78">
        <f>240.302-40-60</f>
        <v>140.30199999999999</v>
      </c>
      <c r="G62" s="80">
        <v>40</v>
      </c>
      <c r="H62" s="78">
        <v>60</v>
      </c>
      <c r="I62" s="78">
        <f t="shared" si="9"/>
        <v>0</v>
      </c>
      <c r="J62" s="80">
        <v>100</v>
      </c>
      <c r="K62" s="80">
        <v>300</v>
      </c>
      <c r="L62" s="78">
        <f t="shared" si="0"/>
        <v>1150</v>
      </c>
      <c r="M62" s="88"/>
      <c r="N62" s="78">
        <f>100</f>
        <v>100</v>
      </c>
      <c r="O62" s="80">
        <v>240</v>
      </c>
      <c r="P62" s="80">
        <v>40</v>
      </c>
      <c r="Q62" s="80">
        <f t="shared" si="1"/>
        <v>315</v>
      </c>
      <c r="R62" s="80">
        <f t="shared" si="2"/>
        <v>100</v>
      </c>
      <c r="S62" s="78">
        <f t="shared" si="3"/>
        <v>695</v>
      </c>
      <c r="T62" s="78">
        <f>50</f>
        <v>50</v>
      </c>
      <c r="U62" s="76"/>
      <c r="V62" s="76"/>
      <c r="W62" s="76"/>
      <c r="X62" s="76"/>
      <c r="Y62" s="76"/>
      <c r="Z62" s="76"/>
      <c r="AA62" s="76"/>
      <c r="AB62" s="76"/>
      <c r="AC62" s="76"/>
      <c r="AD62" s="76"/>
    </row>
    <row r="63" spans="1:30" ht="15.75" x14ac:dyDescent="0.25">
      <c r="A63" s="16">
        <v>42826</v>
      </c>
      <c r="B63" s="91">
        <v>30</v>
      </c>
      <c r="C63" s="78">
        <f>141.293</f>
        <v>141.29300000000001</v>
      </c>
      <c r="D63" s="78">
        <f>267.993</f>
        <v>267.99299999999999</v>
      </c>
      <c r="E63" s="86">
        <f>115.016</f>
        <v>115.01600000000001</v>
      </c>
      <c r="F63" s="78">
        <f>314.698-40-25-60</f>
        <v>189.69799999999998</v>
      </c>
      <c r="G63" s="80">
        <v>40</v>
      </c>
      <c r="H63" s="78">
        <f t="shared" ref="H63:H69" si="10">25+60</f>
        <v>85</v>
      </c>
      <c r="I63" s="78">
        <f t="shared" si="9"/>
        <v>0</v>
      </c>
      <c r="J63" s="80">
        <v>100</v>
      </c>
      <c r="K63" s="80">
        <v>300</v>
      </c>
      <c r="L63" s="78">
        <f t="shared" si="0"/>
        <v>1239</v>
      </c>
      <c r="M63" s="88"/>
      <c r="N63" s="78">
        <f>100</f>
        <v>100</v>
      </c>
      <c r="O63" s="80">
        <v>240</v>
      </c>
      <c r="P63" s="80">
        <v>160</v>
      </c>
      <c r="Q63" s="80">
        <f t="shared" si="1"/>
        <v>195</v>
      </c>
      <c r="R63" s="80">
        <f t="shared" si="2"/>
        <v>100</v>
      </c>
      <c r="S63" s="78">
        <f t="shared" si="3"/>
        <v>695</v>
      </c>
      <c r="T63" s="78">
        <f>50</f>
        <v>50</v>
      </c>
      <c r="U63" s="76"/>
      <c r="V63" s="76"/>
      <c r="W63" s="76"/>
      <c r="X63" s="76"/>
      <c r="Y63" s="76"/>
      <c r="Z63" s="76"/>
      <c r="AA63" s="76"/>
      <c r="AB63" s="76"/>
      <c r="AC63" s="76"/>
      <c r="AD63" s="76"/>
    </row>
    <row r="64" spans="1:30" ht="15.75" x14ac:dyDescent="0.25">
      <c r="A64" s="16">
        <v>42856</v>
      </c>
      <c r="B64" s="91">
        <v>31</v>
      </c>
      <c r="C64" s="78">
        <f>194.205</f>
        <v>194.20500000000001</v>
      </c>
      <c r="D64" s="78">
        <f>267.466</f>
        <v>267.46600000000001</v>
      </c>
      <c r="E64" s="86">
        <f>133.845</f>
        <v>133.845</v>
      </c>
      <c r="F64" s="78">
        <f>278.484-40-25-60</f>
        <v>153.48399999999998</v>
      </c>
      <c r="G64" s="80">
        <v>40</v>
      </c>
      <c r="H64" s="78">
        <f t="shared" si="10"/>
        <v>85</v>
      </c>
      <c r="I64" s="78">
        <f t="shared" si="9"/>
        <v>0</v>
      </c>
      <c r="J64" s="80">
        <v>100</v>
      </c>
      <c r="K64" s="80">
        <v>300</v>
      </c>
      <c r="L64" s="78">
        <f t="shared" si="0"/>
        <v>1274</v>
      </c>
      <c r="M64" s="88">
        <v>400</v>
      </c>
      <c r="N64" s="78">
        <f>75</f>
        <v>75</v>
      </c>
      <c r="O64" s="80">
        <v>240</v>
      </c>
      <c r="P64" s="80">
        <v>160</v>
      </c>
      <c r="Q64" s="80">
        <f t="shared" si="1"/>
        <v>195</v>
      </c>
      <c r="R64" s="80">
        <f t="shared" si="2"/>
        <v>100</v>
      </c>
      <c r="S64" s="78">
        <f t="shared" si="3"/>
        <v>695</v>
      </c>
      <c r="T64" s="78">
        <f>50</f>
        <v>50</v>
      </c>
      <c r="U64" s="76"/>
      <c r="V64" s="76"/>
      <c r="W64" s="76"/>
      <c r="X64" s="76"/>
      <c r="Y64" s="76"/>
      <c r="Z64" s="76"/>
      <c r="AA64" s="76"/>
      <c r="AB64" s="76"/>
      <c r="AC64" s="76"/>
      <c r="AD64" s="76"/>
    </row>
    <row r="65" spans="1:30" ht="15.75" x14ac:dyDescent="0.25">
      <c r="A65" s="16">
        <v>42887</v>
      </c>
      <c r="B65" s="91">
        <v>30</v>
      </c>
      <c r="C65" s="78">
        <f>194.205</f>
        <v>194.20500000000001</v>
      </c>
      <c r="D65" s="78">
        <f>267.466</f>
        <v>267.46600000000001</v>
      </c>
      <c r="E65" s="86">
        <f>133.845</f>
        <v>133.845</v>
      </c>
      <c r="F65" s="78">
        <f>278.484-40-25-60</f>
        <v>153.48399999999998</v>
      </c>
      <c r="G65" s="80">
        <v>40</v>
      </c>
      <c r="H65" s="78">
        <f t="shared" si="10"/>
        <v>85</v>
      </c>
      <c r="I65" s="78">
        <f t="shared" si="9"/>
        <v>0</v>
      </c>
      <c r="J65" s="80">
        <v>100</v>
      </c>
      <c r="K65" s="80">
        <v>300</v>
      </c>
      <c r="L65" s="78">
        <f t="shared" si="0"/>
        <v>1274</v>
      </c>
      <c r="M65" s="88">
        <v>400</v>
      </c>
      <c r="N65" s="78">
        <f>30</f>
        <v>30</v>
      </c>
      <c r="O65" s="80">
        <v>240</v>
      </c>
      <c r="P65" s="80">
        <v>160</v>
      </c>
      <c r="Q65" s="80">
        <f t="shared" si="1"/>
        <v>195</v>
      </c>
      <c r="R65" s="80">
        <f t="shared" si="2"/>
        <v>100</v>
      </c>
      <c r="S65" s="78">
        <f t="shared" si="3"/>
        <v>695</v>
      </c>
      <c r="T65" s="78">
        <f>50</f>
        <v>50</v>
      </c>
      <c r="U65" s="76"/>
      <c r="V65" s="76"/>
      <c r="W65" s="76"/>
      <c r="X65" s="76"/>
      <c r="Y65" s="76"/>
      <c r="Z65" s="76"/>
      <c r="AA65" s="76"/>
      <c r="AB65" s="76"/>
      <c r="AC65" s="76"/>
      <c r="AD65" s="76"/>
    </row>
    <row r="66" spans="1:30" ht="15.75" x14ac:dyDescent="0.25">
      <c r="A66" s="16">
        <v>42917</v>
      </c>
      <c r="B66" s="91">
        <v>31</v>
      </c>
      <c r="C66" s="78">
        <f>194.205</f>
        <v>194.20500000000001</v>
      </c>
      <c r="D66" s="78">
        <f>267.466</f>
        <v>267.46600000000001</v>
      </c>
      <c r="E66" s="86">
        <f>133.845</f>
        <v>133.845</v>
      </c>
      <c r="F66" s="78">
        <f>278.484-40-25-60</f>
        <v>153.48399999999998</v>
      </c>
      <c r="G66" s="80">
        <v>40</v>
      </c>
      <c r="H66" s="78">
        <f t="shared" si="10"/>
        <v>85</v>
      </c>
      <c r="I66" s="78">
        <f t="shared" si="9"/>
        <v>0</v>
      </c>
      <c r="J66" s="80">
        <v>100</v>
      </c>
      <c r="K66" s="80">
        <v>300</v>
      </c>
      <c r="L66" s="78">
        <f t="shared" si="0"/>
        <v>1274</v>
      </c>
      <c r="M66" s="88">
        <v>400</v>
      </c>
      <c r="N66" s="78">
        <f>30</f>
        <v>30</v>
      </c>
      <c r="O66" s="80">
        <v>240</v>
      </c>
      <c r="P66" s="80">
        <v>160</v>
      </c>
      <c r="Q66" s="80">
        <f t="shared" si="1"/>
        <v>195</v>
      </c>
      <c r="R66" s="80">
        <f t="shared" si="2"/>
        <v>100</v>
      </c>
      <c r="S66" s="78">
        <f t="shared" si="3"/>
        <v>695</v>
      </c>
      <c r="T66" s="78">
        <f>0</f>
        <v>0</v>
      </c>
      <c r="U66" s="76"/>
      <c r="V66" s="76"/>
      <c r="W66" s="76"/>
      <c r="X66" s="76"/>
      <c r="Y66" s="76"/>
      <c r="Z66" s="76"/>
      <c r="AA66" s="76"/>
      <c r="AB66" s="76"/>
      <c r="AC66" s="76"/>
      <c r="AD66" s="76"/>
    </row>
    <row r="67" spans="1:30" ht="15.75" x14ac:dyDescent="0.25">
      <c r="A67" s="16">
        <v>42948</v>
      </c>
      <c r="B67" s="91">
        <v>31</v>
      </c>
      <c r="C67" s="78">
        <f>194.205</f>
        <v>194.20500000000001</v>
      </c>
      <c r="D67" s="78">
        <f>267.466</f>
        <v>267.46600000000001</v>
      </c>
      <c r="E67" s="86">
        <f>133.845</f>
        <v>133.845</v>
      </c>
      <c r="F67" s="78">
        <f>278.484-40-25-60</f>
        <v>153.48399999999998</v>
      </c>
      <c r="G67" s="80">
        <v>40</v>
      </c>
      <c r="H67" s="78">
        <f t="shared" si="10"/>
        <v>85</v>
      </c>
      <c r="I67" s="78">
        <f t="shared" si="9"/>
        <v>0</v>
      </c>
      <c r="J67" s="80">
        <v>100</v>
      </c>
      <c r="K67" s="80">
        <v>300</v>
      </c>
      <c r="L67" s="78">
        <f t="shared" si="0"/>
        <v>1274</v>
      </c>
      <c r="M67" s="88">
        <v>400</v>
      </c>
      <c r="N67" s="78">
        <f>30</f>
        <v>30</v>
      </c>
      <c r="O67" s="80">
        <v>240</v>
      </c>
      <c r="P67" s="80">
        <v>160</v>
      </c>
      <c r="Q67" s="80">
        <f t="shared" si="1"/>
        <v>195</v>
      </c>
      <c r="R67" s="80">
        <f t="shared" si="2"/>
        <v>100</v>
      </c>
      <c r="S67" s="78">
        <f t="shared" si="3"/>
        <v>695</v>
      </c>
      <c r="T67" s="78">
        <f>0</f>
        <v>0</v>
      </c>
      <c r="U67" s="76"/>
      <c r="V67" s="76"/>
      <c r="W67" s="76"/>
      <c r="X67" s="76"/>
      <c r="Y67" s="76"/>
      <c r="Z67" s="76"/>
      <c r="AA67" s="76"/>
      <c r="AB67" s="76"/>
      <c r="AC67" s="76"/>
      <c r="AD67" s="76"/>
    </row>
    <row r="68" spans="1:30" ht="15.75" x14ac:dyDescent="0.25">
      <c r="A68" s="16">
        <v>42979</v>
      </c>
      <c r="B68" s="91">
        <v>30</v>
      </c>
      <c r="C68" s="78">
        <f>194.205</f>
        <v>194.20500000000001</v>
      </c>
      <c r="D68" s="78">
        <f>267.466</f>
        <v>267.46600000000001</v>
      </c>
      <c r="E68" s="86">
        <f>133.845</f>
        <v>133.845</v>
      </c>
      <c r="F68" s="78">
        <f>278.484-40-25-60</f>
        <v>153.48399999999998</v>
      </c>
      <c r="G68" s="80">
        <v>40</v>
      </c>
      <c r="H68" s="78">
        <f t="shared" si="10"/>
        <v>85</v>
      </c>
      <c r="I68" s="78">
        <f t="shared" si="9"/>
        <v>0</v>
      </c>
      <c r="J68" s="80">
        <v>100</v>
      </c>
      <c r="K68" s="80">
        <v>300</v>
      </c>
      <c r="L68" s="78">
        <f t="shared" si="0"/>
        <v>1274</v>
      </c>
      <c r="M68" s="88">
        <v>400</v>
      </c>
      <c r="N68" s="78">
        <f>30</f>
        <v>30</v>
      </c>
      <c r="O68" s="80">
        <v>240</v>
      </c>
      <c r="P68" s="80">
        <v>160</v>
      </c>
      <c r="Q68" s="80">
        <f t="shared" si="1"/>
        <v>195</v>
      </c>
      <c r="R68" s="80">
        <f t="shared" si="2"/>
        <v>100</v>
      </c>
      <c r="S68" s="78">
        <f t="shared" si="3"/>
        <v>695</v>
      </c>
      <c r="T68" s="78">
        <f>0</f>
        <v>0</v>
      </c>
      <c r="U68" s="76"/>
      <c r="V68" s="76"/>
      <c r="W68" s="76"/>
      <c r="X68" s="76"/>
      <c r="Y68" s="76"/>
      <c r="Z68" s="76"/>
      <c r="AA68" s="76"/>
      <c r="AB68" s="76"/>
      <c r="AC68" s="76"/>
      <c r="AD68" s="76"/>
    </row>
    <row r="69" spans="1:30" ht="15.75" x14ac:dyDescent="0.25">
      <c r="A69" s="16">
        <v>43009</v>
      </c>
      <c r="B69" s="91">
        <v>31</v>
      </c>
      <c r="C69" s="78">
        <f>131.881</f>
        <v>131.881</v>
      </c>
      <c r="D69" s="78">
        <f>277.167</f>
        <v>277.16699999999997</v>
      </c>
      <c r="E69" s="86">
        <f>79.08</f>
        <v>79.08</v>
      </c>
      <c r="F69" s="78">
        <f>350.872-40-25-60</f>
        <v>225.87200000000001</v>
      </c>
      <c r="G69" s="80">
        <v>40</v>
      </c>
      <c r="H69" s="78">
        <f t="shared" si="10"/>
        <v>85</v>
      </c>
      <c r="I69" s="78">
        <f t="shared" si="9"/>
        <v>0</v>
      </c>
      <c r="J69" s="80">
        <v>100</v>
      </c>
      <c r="K69" s="80">
        <v>300</v>
      </c>
      <c r="L69" s="78">
        <f t="shared" si="0"/>
        <v>1239</v>
      </c>
      <c r="M69" s="88">
        <v>400</v>
      </c>
      <c r="N69" s="78">
        <f>75</f>
        <v>75</v>
      </c>
      <c r="O69" s="80">
        <v>240</v>
      </c>
      <c r="P69" s="80">
        <v>160</v>
      </c>
      <c r="Q69" s="80">
        <f t="shared" si="1"/>
        <v>195</v>
      </c>
      <c r="R69" s="80">
        <f t="shared" si="2"/>
        <v>100</v>
      </c>
      <c r="S69" s="78">
        <f t="shared" si="3"/>
        <v>695</v>
      </c>
      <c r="T69" s="78">
        <f>0</f>
        <v>0</v>
      </c>
      <c r="U69" s="76"/>
      <c r="V69" s="76"/>
      <c r="W69" s="76"/>
      <c r="X69" s="76"/>
      <c r="Y69" s="76"/>
      <c r="Z69" s="76"/>
      <c r="AA69" s="76"/>
      <c r="AB69" s="76"/>
      <c r="AC69" s="76"/>
      <c r="AD69" s="76"/>
    </row>
    <row r="70" spans="1:30" ht="15.75" x14ac:dyDescent="0.25">
      <c r="A70" s="16">
        <v>43040</v>
      </c>
      <c r="B70" s="91">
        <v>30</v>
      </c>
      <c r="C70" s="78">
        <f>122.58</f>
        <v>122.58</v>
      </c>
      <c r="D70" s="78">
        <f>297.941</f>
        <v>297.94099999999997</v>
      </c>
      <c r="E70" s="86">
        <f>89.177</f>
        <v>89.177000000000007</v>
      </c>
      <c r="F70" s="78">
        <f>240.302-40-60</f>
        <v>140.30199999999999</v>
      </c>
      <c r="G70" s="80">
        <v>40</v>
      </c>
      <c r="H70" s="78">
        <v>60</v>
      </c>
      <c r="I70" s="78">
        <f t="shared" si="9"/>
        <v>0</v>
      </c>
      <c r="J70" s="80">
        <v>100</v>
      </c>
      <c r="K70" s="80">
        <v>300</v>
      </c>
      <c r="L70" s="78">
        <f t="shared" si="0"/>
        <v>1150</v>
      </c>
      <c r="M70" s="88">
        <v>400</v>
      </c>
      <c r="N70" s="78">
        <f>100</f>
        <v>100</v>
      </c>
      <c r="O70" s="80">
        <v>240</v>
      </c>
      <c r="P70" s="80">
        <v>40</v>
      </c>
      <c r="Q70" s="80">
        <f t="shared" si="1"/>
        <v>315</v>
      </c>
      <c r="R70" s="80">
        <f t="shared" si="2"/>
        <v>100</v>
      </c>
      <c r="S70" s="78">
        <f t="shared" si="3"/>
        <v>695</v>
      </c>
      <c r="T70" s="78">
        <f>50</f>
        <v>50</v>
      </c>
      <c r="U70" s="76"/>
      <c r="V70" s="76"/>
      <c r="W70" s="76"/>
      <c r="X70" s="76"/>
      <c r="Y70" s="76"/>
      <c r="Z70" s="76"/>
      <c r="AA70" s="76"/>
      <c r="AB70" s="76"/>
      <c r="AC70" s="76"/>
      <c r="AD70" s="76"/>
    </row>
    <row r="71" spans="1:30" ht="15.75" x14ac:dyDescent="0.25">
      <c r="A71" s="16">
        <v>43070</v>
      </c>
      <c r="B71" s="91">
        <v>31</v>
      </c>
      <c r="C71" s="78">
        <f>122.58</f>
        <v>122.58</v>
      </c>
      <c r="D71" s="78">
        <f>297.941</f>
        <v>297.94099999999997</v>
      </c>
      <c r="E71" s="86">
        <f>89.177</f>
        <v>89.177000000000007</v>
      </c>
      <c r="F71" s="78">
        <f>240.302-40-60</f>
        <v>140.30199999999999</v>
      </c>
      <c r="G71" s="80">
        <v>40</v>
      </c>
      <c r="H71" s="78">
        <v>60</v>
      </c>
      <c r="I71" s="78">
        <f t="shared" si="9"/>
        <v>0</v>
      </c>
      <c r="J71" s="80">
        <v>100</v>
      </c>
      <c r="K71" s="80">
        <v>300</v>
      </c>
      <c r="L71" s="78">
        <f t="shared" si="0"/>
        <v>1150</v>
      </c>
      <c r="M71" s="88">
        <v>400</v>
      </c>
      <c r="N71" s="78">
        <f>100</f>
        <v>100</v>
      </c>
      <c r="O71" s="80">
        <v>240</v>
      </c>
      <c r="P71" s="80">
        <v>40</v>
      </c>
      <c r="Q71" s="80">
        <f t="shared" si="1"/>
        <v>315</v>
      </c>
      <c r="R71" s="80">
        <f t="shared" si="2"/>
        <v>100</v>
      </c>
      <c r="S71" s="78">
        <f t="shared" si="3"/>
        <v>695</v>
      </c>
      <c r="T71" s="78">
        <f>50</f>
        <v>50</v>
      </c>
      <c r="U71" s="76"/>
      <c r="V71" s="76"/>
      <c r="W71" s="76"/>
      <c r="X71" s="76"/>
      <c r="Y71" s="76"/>
      <c r="Z71" s="76"/>
      <c r="AA71" s="76"/>
      <c r="AB71" s="76"/>
      <c r="AC71" s="76"/>
      <c r="AD71" s="76"/>
    </row>
    <row r="72" spans="1:30" ht="15.75" x14ac:dyDescent="0.25">
      <c r="A72" s="16">
        <v>43101</v>
      </c>
      <c r="B72" s="91">
        <v>31</v>
      </c>
      <c r="C72" s="78">
        <f>122.58</f>
        <v>122.58</v>
      </c>
      <c r="D72" s="78">
        <f>297.941</f>
        <v>297.94099999999997</v>
      </c>
      <c r="E72" s="86">
        <f>89.177</f>
        <v>89.177000000000007</v>
      </c>
      <c r="F72" s="78">
        <f>240.302-40-60</f>
        <v>140.30199999999999</v>
      </c>
      <c r="G72" s="80">
        <v>40</v>
      </c>
      <c r="H72" s="78">
        <v>60</v>
      </c>
      <c r="I72" s="78">
        <f t="shared" si="9"/>
        <v>0</v>
      </c>
      <c r="J72" s="80">
        <v>100</v>
      </c>
      <c r="K72" s="80">
        <v>300</v>
      </c>
      <c r="L72" s="78">
        <f t="shared" si="0"/>
        <v>1150</v>
      </c>
      <c r="M72" s="88">
        <v>400</v>
      </c>
      <c r="N72" s="78">
        <f>100</f>
        <v>100</v>
      </c>
      <c r="O72" s="80">
        <v>240</v>
      </c>
      <c r="P72" s="80">
        <v>40</v>
      </c>
      <c r="Q72" s="80">
        <f t="shared" si="1"/>
        <v>315</v>
      </c>
      <c r="R72" s="80">
        <f t="shared" si="2"/>
        <v>100</v>
      </c>
      <c r="S72" s="78">
        <f t="shared" si="3"/>
        <v>695</v>
      </c>
      <c r="T72" s="78">
        <f>50</f>
        <v>50</v>
      </c>
      <c r="U72" s="76"/>
      <c r="V72" s="76"/>
      <c r="W72" s="76"/>
      <c r="X72" s="76"/>
      <c r="Y72" s="76"/>
      <c r="Z72" s="76"/>
      <c r="AA72" s="76"/>
      <c r="AB72" s="76"/>
      <c r="AC72" s="76"/>
      <c r="AD72" s="76"/>
    </row>
    <row r="73" spans="1:30" ht="15.75" x14ac:dyDescent="0.25">
      <c r="A73" s="16">
        <v>43132</v>
      </c>
      <c r="B73" s="91">
        <v>28</v>
      </c>
      <c r="C73" s="78">
        <f>122.58</f>
        <v>122.58</v>
      </c>
      <c r="D73" s="78">
        <f>297.941</f>
        <v>297.94099999999997</v>
      </c>
      <c r="E73" s="86">
        <f>89.177</f>
        <v>89.177000000000007</v>
      </c>
      <c r="F73" s="78">
        <f>240.302-40-60</f>
        <v>140.30199999999999</v>
      </c>
      <c r="G73" s="80">
        <v>40</v>
      </c>
      <c r="H73" s="78">
        <v>60</v>
      </c>
      <c r="I73" s="78">
        <f t="shared" si="9"/>
        <v>0</v>
      </c>
      <c r="J73" s="80">
        <v>100</v>
      </c>
      <c r="K73" s="80">
        <v>300</v>
      </c>
      <c r="L73" s="78">
        <f t="shared" si="0"/>
        <v>1150</v>
      </c>
      <c r="M73" s="88">
        <v>400</v>
      </c>
      <c r="N73" s="78">
        <f>100</f>
        <v>100</v>
      </c>
      <c r="O73" s="80">
        <v>240</v>
      </c>
      <c r="P73" s="80">
        <v>40</v>
      </c>
      <c r="Q73" s="80">
        <f t="shared" si="1"/>
        <v>315</v>
      </c>
      <c r="R73" s="80">
        <f t="shared" si="2"/>
        <v>100</v>
      </c>
      <c r="S73" s="78">
        <f t="shared" si="3"/>
        <v>695</v>
      </c>
      <c r="T73" s="78">
        <f>50</f>
        <v>50</v>
      </c>
      <c r="U73" s="76"/>
      <c r="V73" s="76"/>
      <c r="W73" s="76"/>
      <c r="X73" s="76"/>
      <c r="Y73" s="76"/>
      <c r="Z73" s="76"/>
      <c r="AA73" s="76"/>
      <c r="AB73" s="76"/>
      <c r="AC73" s="76"/>
      <c r="AD73" s="76"/>
    </row>
    <row r="74" spans="1:30" ht="15.75" x14ac:dyDescent="0.25">
      <c r="A74" s="16">
        <v>43160</v>
      </c>
      <c r="B74" s="91">
        <v>31</v>
      </c>
      <c r="C74" s="78">
        <f>122.58</f>
        <v>122.58</v>
      </c>
      <c r="D74" s="78">
        <f>297.941</f>
        <v>297.94099999999997</v>
      </c>
      <c r="E74" s="86">
        <f>89.177</f>
        <v>89.177000000000007</v>
      </c>
      <c r="F74" s="78">
        <f>240.302-40-60</f>
        <v>140.30199999999999</v>
      </c>
      <c r="G74" s="80">
        <v>40</v>
      </c>
      <c r="H74" s="78">
        <v>60</v>
      </c>
      <c r="I74" s="78">
        <f t="shared" si="9"/>
        <v>0</v>
      </c>
      <c r="J74" s="80">
        <v>100</v>
      </c>
      <c r="K74" s="80">
        <v>300</v>
      </c>
      <c r="L74" s="78">
        <f t="shared" si="0"/>
        <v>1150</v>
      </c>
      <c r="M74" s="88">
        <v>400</v>
      </c>
      <c r="N74" s="78">
        <f>100</f>
        <v>100</v>
      </c>
      <c r="O74" s="80">
        <v>240</v>
      </c>
      <c r="P74" s="80">
        <v>40</v>
      </c>
      <c r="Q74" s="80">
        <f t="shared" si="1"/>
        <v>315</v>
      </c>
      <c r="R74" s="80">
        <f t="shared" si="2"/>
        <v>100</v>
      </c>
      <c r="S74" s="78">
        <f t="shared" si="3"/>
        <v>695</v>
      </c>
      <c r="T74" s="78">
        <f>50</f>
        <v>50</v>
      </c>
      <c r="U74" s="76"/>
      <c r="V74" s="76"/>
      <c r="W74" s="76"/>
      <c r="X74" s="76"/>
      <c r="Y74" s="76"/>
      <c r="Z74" s="76"/>
      <c r="AA74" s="76"/>
      <c r="AB74" s="76"/>
      <c r="AC74" s="76"/>
      <c r="AD74" s="76"/>
    </row>
    <row r="75" spans="1:30" ht="15.75" x14ac:dyDescent="0.25">
      <c r="A75" s="16">
        <v>43191</v>
      </c>
      <c r="B75" s="91">
        <v>30</v>
      </c>
      <c r="C75" s="78">
        <f>141.293</f>
        <v>141.29300000000001</v>
      </c>
      <c r="D75" s="78">
        <f>267.993</f>
        <v>267.99299999999999</v>
      </c>
      <c r="E75" s="86">
        <f>115.016</f>
        <v>115.01600000000001</v>
      </c>
      <c r="F75" s="78">
        <f>314.698-40-25-60</f>
        <v>189.69799999999998</v>
      </c>
      <c r="G75" s="80">
        <v>40</v>
      </c>
      <c r="H75" s="78">
        <f t="shared" ref="H75:H81" si="11">25+60</f>
        <v>85</v>
      </c>
      <c r="I75" s="78">
        <f t="shared" si="9"/>
        <v>0</v>
      </c>
      <c r="J75" s="80">
        <v>100</v>
      </c>
      <c r="K75" s="80">
        <v>300</v>
      </c>
      <c r="L75" s="78">
        <f t="shared" si="0"/>
        <v>1239</v>
      </c>
      <c r="M75" s="88">
        <v>400</v>
      </c>
      <c r="N75" s="78">
        <f>100</f>
        <v>100</v>
      </c>
      <c r="O75" s="80">
        <v>240</v>
      </c>
      <c r="P75" s="80">
        <v>160</v>
      </c>
      <c r="Q75" s="80">
        <f t="shared" si="1"/>
        <v>195</v>
      </c>
      <c r="R75" s="80">
        <f t="shared" si="2"/>
        <v>100</v>
      </c>
      <c r="S75" s="78">
        <f t="shared" si="3"/>
        <v>695</v>
      </c>
      <c r="T75" s="78">
        <f>50</f>
        <v>50</v>
      </c>
      <c r="U75" s="76"/>
      <c r="V75" s="76"/>
      <c r="W75" s="76"/>
      <c r="X75" s="76"/>
      <c r="Y75" s="76"/>
      <c r="Z75" s="76"/>
      <c r="AA75" s="76"/>
      <c r="AB75" s="76"/>
      <c r="AC75" s="76"/>
      <c r="AD75" s="76"/>
    </row>
    <row r="76" spans="1:30" ht="15.75" x14ac:dyDescent="0.25">
      <c r="A76" s="16">
        <v>43221</v>
      </c>
      <c r="B76" s="91">
        <v>31</v>
      </c>
      <c r="C76" s="78">
        <f>194.205</f>
        <v>194.20500000000001</v>
      </c>
      <c r="D76" s="78">
        <f>267.466</f>
        <v>267.46600000000001</v>
      </c>
      <c r="E76" s="86">
        <f>133.845</f>
        <v>133.845</v>
      </c>
      <c r="F76" s="78">
        <f>278.484-40-25-60</f>
        <v>153.48399999999998</v>
      </c>
      <c r="G76" s="80">
        <v>40</v>
      </c>
      <c r="H76" s="78">
        <f t="shared" si="11"/>
        <v>85</v>
      </c>
      <c r="I76" s="78">
        <f t="shared" si="9"/>
        <v>0</v>
      </c>
      <c r="J76" s="80">
        <v>100</v>
      </c>
      <c r="K76" s="80">
        <v>300</v>
      </c>
      <c r="L76" s="78">
        <f t="shared" si="0"/>
        <v>1274</v>
      </c>
      <c r="M76" s="88">
        <v>400</v>
      </c>
      <c r="N76" s="78">
        <f>75</f>
        <v>75</v>
      </c>
      <c r="O76" s="80">
        <v>240</v>
      </c>
      <c r="P76" s="80">
        <v>160</v>
      </c>
      <c r="Q76" s="80">
        <f t="shared" si="1"/>
        <v>195</v>
      </c>
      <c r="R76" s="80">
        <f t="shared" si="2"/>
        <v>100</v>
      </c>
      <c r="S76" s="78">
        <f t="shared" si="3"/>
        <v>695</v>
      </c>
      <c r="T76" s="78">
        <f>50</f>
        <v>50</v>
      </c>
      <c r="U76" s="76"/>
      <c r="V76" s="76"/>
      <c r="W76" s="76"/>
      <c r="X76" s="76"/>
      <c r="Y76" s="76"/>
      <c r="Z76" s="76"/>
      <c r="AA76" s="76"/>
      <c r="AB76" s="76"/>
      <c r="AC76" s="76"/>
      <c r="AD76" s="76"/>
    </row>
    <row r="77" spans="1:30" ht="15.75" x14ac:dyDescent="0.25">
      <c r="A77" s="16">
        <v>43252</v>
      </c>
      <c r="B77" s="91">
        <v>30</v>
      </c>
      <c r="C77" s="78">
        <f>194.205</f>
        <v>194.20500000000001</v>
      </c>
      <c r="D77" s="78">
        <f>267.466</f>
        <v>267.46600000000001</v>
      </c>
      <c r="E77" s="86">
        <f>133.845</f>
        <v>133.845</v>
      </c>
      <c r="F77" s="78">
        <f>278.484-40-25-60</f>
        <v>153.48399999999998</v>
      </c>
      <c r="G77" s="80">
        <v>40</v>
      </c>
      <c r="H77" s="78">
        <f t="shared" si="11"/>
        <v>85</v>
      </c>
      <c r="I77" s="78">
        <f t="shared" si="9"/>
        <v>0</v>
      </c>
      <c r="J77" s="80">
        <v>100</v>
      </c>
      <c r="K77" s="80">
        <v>300</v>
      </c>
      <c r="L77" s="78">
        <f t="shared" si="0"/>
        <v>1274</v>
      </c>
      <c r="M77" s="88">
        <v>400</v>
      </c>
      <c r="N77" s="78">
        <f>30</f>
        <v>30</v>
      </c>
      <c r="O77" s="80">
        <v>240</v>
      </c>
      <c r="P77" s="80">
        <v>160</v>
      </c>
      <c r="Q77" s="80">
        <f t="shared" si="1"/>
        <v>195</v>
      </c>
      <c r="R77" s="80">
        <f t="shared" si="2"/>
        <v>100</v>
      </c>
      <c r="S77" s="78">
        <f t="shared" si="3"/>
        <v>695</v>
      </c>
      <c r="T77" s="78">
        <f>50</f>
        <v>50</v>
      </c>
      <c r="U77" s="76"/>
      <c r="V77" s="76"/>
      <c r="W77" s="76"/>
      <c r="X77" s="76"/>
      <c r="Y77" s="76"/>
      <c r="Z77" s="76"/>
      <c r="AA77" s="76"/>
      <c r="AB77" s="76"/>
      <c r="AC77" s="76"/>
      <c r="AD77" s="76"/>
    </row>
    <row r="78" spans="1:30" ht="15.75" x14ac:dyDescent="0.25">
      <c r="A78" s="16">
        <v>43282</v>
      </c>
      <c r="B78" s="91">
        <v>31</v>
      </c>
      <c r="C78" s="78">
        <f>194.205</f>
        <v>194.20500000000001</v>
      </c>
      <c r="D78" s="78">
        <f>267.466</f>
        <v>267.46600000000001</v>
      </c>
      <c r="E78" s="86">
        <f>133.845</f>
        <v>133.845</v>
      </c>
      <c r="F78" s="78">
        <f>278.484-40-25-60</f>
        <v>153.48399999999998</v>
      </c>
      <c r="G78" s="80">
        <v>40</v>
      </c>
      <c r="H78" s="78">
        <f t="shared" si="11"/>
        <v>85</v>
      </c>
      <c r="I78" s="78">
        <f t="shared" si="9"/>
        <v>0</v>
      </c>
      <c r="J78" s="80">
        <v>100</v>
      </c>
      <c r="K78" s="80">
        <v>300</v>
      </c>
      <c r="L78" s="78">
        <f t="shared" ref="L78:L141" si="12">SUM(C78:K78)</f>
        <v>1274</v>
      </c>
      <c r="M78" s="88">
        <v>400</v>
      </c>
      <c r="N78" s="78">
        <f>30</f>
        <v>30</v>
      </c>
      <c r="O78" s="80">
        <v>240</v>
      </c>
      <c r="P78" s="80">
        <v>160</v>
      </c>
      <c r="Q78" s="80">
        <f t="shared" ref="Q78:Q141" si="13">695-R78-O78-P78</f>
        <v>195</v>
      </c>
      <c r="R78" s="80">
        <f t="shared" ref="R78:R141" si="14">200-J78</f>
        <v>100</v>
      </c>
      <c r="S78" s="78">
        <f t="shared" ref="S78:S141" si="15">SUM(O78:R78)</f>
        <v>695</v>
      </c>
      <c r="T78" s="78">
        <f>0</f>
        <v>0</v>
      </c>
      <c r="U78" s="76"/>
      <c r="V78" s="76"/>
      <c r="W78" s="76"/>
      <c r="X78" s="76"/>
      <c r="Y78" s="76"/>
      <c r="Z78" s="76"/>
      <c r="AA78" s="76"/>
      <c r="AB78" s="76"/>
      <c r="AC78" s="76"/>
      <c r="AD78" s="76"/>
    </row>
    <row r="79" spans="1:30" ht="15.75" x14ac:dyDescent="0.25">
      <c r="A79" s="16">
        <v>43313</v>
      </c>
      <c r="B79" s="91">
        <v>31</v>
      </c>
      <c r="C79" s="78">
        <f>194.205</f>
        <v>194.20500000000001</v>
      </c>
      <c r="D79" s="78">
        <f>267.466</f>
        <v>267.46600000000001</v>
      </c>
      <c r="E79" s="86">
        <f>133.845</f>
        <v>133.845</v>
      </c>
      <c r="F79" s="78">
        <f>278.484-40-25-60</f>
        <v>153.48399999999998</v>
      </c>
      <c r="G79" s="80">
        <v>40</v>
      </c>
      <c r="H79" s="78">
        <f t="shared" si="11"/>
        <v>85</v>
      </c>
      <c r="I79" s="78">
        <f t="shared" si="9"/>
        <v>0</v>
      </c>
      <c r="J79" s="80">
        <v>100</v>
      </c>
      <c r="K79" s="80">
        <v>300</v>
      </c>
      <c r="L79" s="78">
        <f t="shared" si="12"/>
        <v>1274</v>
      </c>
      <c r="M79" s="88">
        <v>400</v>
      </c>
      <c r="N79" s="78">
        <f>30</f>
        <v>30</v>
      </c>
      <c r="O79" s="80">
        <v>240</v>
      </c>
      <c r="P79" s="80">
        <v>160</v>
      </c>
      <c r="Q79" s="80">
        <f t="shared" si="13"/>
        <v>195</v>
      </c>
      <c r="R79" s="80">
        <f t="shared" si="14"/>
        <v>100</v>
      </c>
      <c r="S79" s="78">
        <f t="shared" si="15"/>
        <v>695</v>
      </c>
      <c r="T79" s="78">
        <f>0</f>
        <v>0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</row>
    <row r="80" spans="1:30" ht="15.75" x14ac:dyDescent="0.25">
      <c r="A80" s="16">
        <v>43344</v>
      </c>
      <c r="B80" s="91">
        <v>30</v>
      </c>
      <c r="C80" s="78">
        <f>194.205</f>
        <v>194.20500000000001</v>
      </c>
      <c r="D80" s="78">
        <f>267.466</f>
        <v>267.46600000000001</v>
      </c>
      <c r="E80" s="86">
        <f>133.845</f>
        <v>133.845</v>
      </c>
      <c r="F80" s="78">
        <f>278.484-40-25-60</f>
        <v>153.48399999999998</v>
      </c>
      <c r="G80" s="80">
        <v>40</v>
      </c>
      <c r="H80" s="78">
        <f t="shared" si="11"/>
        <v>85</v>
      </c>
      <c r="I80" s="78">
        <f t="shared" si="9"/>
        <v>0</v>
      </c>
      <c r="J80" s="80">
        <v>100</v>
      </c>
      <c r="K80" s="80">
        <v>300</v>
      </c>
      <c r="L80" s="78">
        <f t="shared" si="12"/>
        <v>1274</v>
      </c>
      <c r="M80" s="88">
        <v>400</v>
      </c>
      <c r="N80" s="78">
        <f>30</f>
        <v>30</v>
      </c>
      <c r="O80" s="80">
        <v>240</v>
      </c>
      <c r="P80" s="80">
        <v>160</v>
      </c>
      <c r="Q80" s="80">
        <f t="shared" si="13"/>
        <v>195</v>
      </c>
      <c r="R80" s="80">
        <f t="shared" si="14"/>
        <v>100</v>
      </c>
      <c r="S80" s="78">
        <f t="shared" si="15"/>
        <v>695</v>
      </c>
      <c r="T80" s="78">
        <f>0</f>
        <v>0</v>
      </c>
      <c r="U80" s="76"/>
      <c r="V80" s="76"/>
      <c r="W80" s="76"/>
      <c r="X80" s="76"/>
      <c r="Y80" s="76"/>
      <c r="Z80" s="76"/>
      <c r="AA80" s="76"/>
      <c r="AB80" s="76"/>
      <c r="AC80" s="76"/>
      <c r="AD80" s="76"/>
    </row>
    <row r="81" spans="1:30" ht="15.75" x14ac:dyDescent="0.25">
      <c r="A81" s="16">
        <v>43374</v>
      </c>
      <c r="B81" s="91">
        <v>31</v>
      </c>
      <c r="C81" s="78">
        <f>131.881</f>
        <v>131.881</v>
      </c>
      <c r="D81" s="78">
        <f>277.167</f>
        <v>277.16699999999997</v>
      </c>
      <c r="E81" s="86">
        <f>79.08</f>
        <v>79.08</v>
      </c>
      <c r="F81" s="78">
        <f>350.872-40-25-60</f>
        <v>225.87200000000001</v>
      </c>
      <c r="G81" s="80">
        <v>40</v>
      </c>
      <c r="H81" s="78">
        <f t="shared" si="11"/>
        <v>85</v>
      </c>
      <c r="I81" s="78">
        <f t="shared" si="9"/>
        <v>0</v>
      </c>
      <c r="J81" s="80">
        <v>100</v>
      </c>
      <c r="K81" s="80">
        <v>300</v>
      </c>
      <c r="L81" s="78">
        <f t="shared" si="12"/>
        <v>1239</v>
      </c>
      <c r="M81" s="88">
        <v>400</v>
      </c>
      <c r="N81" s="78">
        <f>75</f>
        <v>75</v>
      </c>
      <c r="O81" s="80">
        <v>240</v>
      </c>
      <c r="P81" s="80">
        <v>160</v>
      </c>
      <c r="Q81" s="80">
        <f t="shared" si="13"/>
        <v>195</v>
      </c>
      <c r="R81" s="80">
        <f t="shared" si="14"/>
        <v>100</v>
      </c>
      <c r="S81" s="78">
        <f t="shared" si="15"/>
        <v>695</v>
      </c>
      <c r="T81" s="78">
        <f>0</f>
        <v>0</v>
      </c>
      <c r="U81" s="76"/>
      <c r="V81" s="76"/>
      <c r="W81" s="76"/>
      <c r="X81" s="76"/>
      <c r="Y81" s="76"/>
      <c r="Z81" s="76"/>
      <c r="AA81" s="76"/>
      <c r="AB81" s="76"/>
      <c r="AC81" s="76"/>
      <c r="AD81" s="76"/>
    </row>
    <row r="82" spans="1:30" ht="15.75" x14ac:dyDescent="0.25">
      <c r="A82" s="16">
        <v>43405</v>
      </c>
      <c r="B82" s="91">
        <v>30</v>
      </c>
      <c r="C82" s="78">
        <f>122.58</f>
        <v>122.58</v>
      </c>
      <c r="D82" s="78">
        <f>297.941</f>
        <v>297.94099999999997</v>
      </c>
      <c r="E82" s="86">
        <f>89.177</f>
        <v>89.177000000000007</v>
      </c>
      <c r="F82" s="78">
        <f>240.302-40-60</f>
        <v>140.30199999999999</v>
      </c>
      <c r="G82" s="80">
        <v>40</v>
      </c>
      <c r="H82" s="78">
        <v>60</v>
      </c>
      <c r="I82" s="78">
        <f t="shared" si="9"/>
        <v>0</v>
      </c>
      <c r="J82" s="80">
        <v>100</v>
      </c>
      <c r="K82" s="80">
        <v>300</v>
      </c>
      <c r="L82" s="78">
        <f t="shared" si="12"/>
        <v>1150</v>
      </c>
      <c r="M82" s="88">
        <v>400</v>
      </c>
      <c r="N82" s="78">
        <f>100</f>
        <v>100</v>
      </c>
      <c r="O82" s="80">
        <v>240</v>
      </c>
      <c r="P82" s="80">
        <v>40</v>
      </c>
      <c r="Q82" s="80">
        <f t="shared" si="13"/>
        <v>315</v>
      </c>
      <c r="R82" s="80">
        <f t="shared" si="14"/>
        <v>100</v>
      </c>
      <c r="S82" s="78">
        <f t="shared" si="15"/>
        <v>695</v>
      </c>
      <c r="T82" s="78">
        <f>50</f>
        <v>50</v>
      </c>
      <c r="U82" s="76"/>
      <c r="V82" s="76"/>
      <c r="W82" s="76"/>
      <c r="X82" s="76"/>
      <c r="Y82" s="76"/>
      <c r="Z82" s="76"/>
      <c r="AA82" s="76"/>
      <c r="AB82" s="76"/>
      <c r="AC82" s="76"/>
      <c r="AD82" s="76"/>
    </row>
    <row r="83" spans="1:30" ht="15.75" x14ac:dyDescent="0.25">
      <c r="A83" s="16">
        <v>43435</v>
      </c>
      <c r="B83" s="91">
        <v>31</v>
      </c>
      <c r="C83" s="78">
        <f>122.58</f>
        <v>122.58</v>
      </c>
      <c r="D83" s="78">
        <f>297.941</f>
        <v>297.94099999999997</v>
      </c>
      <c r="E83" s="86">
        <f>89.177</f>
        <v>89.177000000000007</v>
      </c>
      <c r="F83" s="78">
        <f>240.302-40-60</f>
        <v>140.30199999999999</v>
      </c>
      <c r="G83" s="80">
        <v>40</v>
      </c>
      <c r="H83" s="78">
        <v>60</v>
      </c>
      <c r="I83" s="78">
        <f t="shared" si="9"/>
        <v>0</v>
      </c>
      <c r="J83" s="80">
        <v>100</v>
      </c>
      <c r="K83" s="80">
        <v>300</v>
      </c>
      <c r="L83" s="78">
        <f t="shared" si="12"/>
        <v>1150</v>
      </c>
      <c r="M83" s="88">
        <v>400</v>
      </c>
      <c r="N83" s="78">
        <f>100</f>
        <v>100</v>
      </c>
      <c r="O83" s="80">
        <v>240</v>
      </c>
      <c r="P83" s="80">
        <v>40</v>
      </c>
      <c r="Q83" s="80">
        <f t="shared" si="13"/>
        <v>315</v>
      </c>
      <c r="R83" s="80">
        <f t="shared" si="14"/>
        <v>100</v>
      </c>
      <c r="S83" s="78">
        <f t="shared" si="15"/>
        <v>695</v>
      </c>
      <c r="T83" s="78">
        <f>50</f>
        <v>50</v>
      </c>
      <c r="U83" s="76"/>
      <c r="V83" s="76"/>
      <c r="W83" s="76"/>
      <c r="X83" s="76"/>
      <c r="Y83" s="76"/>
      <c r="Z83" s="76"/>
      <c r="AA83" s="76"/>
      <c r="AB83" s="76"/>
      <c r="AC83" s="76"/>
      <c r="AD83" s="76"/>
    </row>
    <row r="84" spans="1:30" ht="15.75" x14ac:dyDescent="0.25">
      <c r="A84" s="16">
        <v>43466</v>
      </c>
      <c r="B84" s="91">
        <v>31</v>
      </c>
      <c r="C84" s="78">
        <f>122.58</f>
        <v>122.58</v>
      </c>
      <c r="D84" s="78">
        <f>297.941</f>
        <v>297.94099999999997</v>
      </c>
      <c r="E84" s="86">
        <f>89.177</f>
        <v>89.177000000000007</v>
      </c>
      <c r="F84" s="78">
        <f>240.302-40-60</f>
        <v>140.30199999999999</v>
      </c>
      <c r="G84" s="80">
        <v>40</v>
      </c>
      <c r="H84" s="78">
        <v>60</v>
      </c>
      <c r="I84" s="78">
        <f t="shared" si="9"/>
        <v>0</v>
      </c>
      <c r="J84" s="80">
        <v>100</v>
      </c>
      <c r="K84" s="80">
        <v>300</v>
      </c>
      <c r="L84" s="78">
        <f t="shared" si="12"/>
        <v>1150</v>
      </c>
      <c r="M84" s="88">
        <v>400</v>
      </c>
      <c r="N84" s="78">
        <f>100</f>
        <v>100</v>
      </c>
      <c r="O84" s="80">
        <v>240</v>
      </c>
      <c r="P84" s="80">
        <v>40</v>
      </c>
      <c r="Q84" s="80">
        <f t="shared" si="13"/>
        <v>315</v>
      </c>
      <c r="R84" s="80">
        <f t="shared" si="14"/>
        <v>100</v>
      </c>
      <c r="S84" s="78">
        <f t="shared" si="15"/>
        <v>695</v>
      </c>
      <c r="T84" s="78">
        <f>50</f>
        <v>50</v>
      </c>
      <c r="U84" s="76"/>
      <c r="V84" s="76"/>
      <c r="W84" s="76"/>
      <c r="X84" s="76"/>
      <c r="Y84" s="76"/>
      <c r="Z84" s="76"/>
      <c r="AA84" s="76"/>
      <c r="AB84" s="76"/>
      <c r="AC84" s="76"/>
      <c r="AD84" s="76"/>
    </row>
    <row r="85" spans="1:30" ht="15.75" x14ac:dyDescent="0.25">
      <c r="A85" s="16">
        <v>43497</v>
      </c>
      <c r="B85" s="91">
        <v>28</v>
      </c>
      <c r="C85" s="78">
        <f>122.58</f>
        <v>122.58</v>
      </c>
      <c r="D85" s="78">
        <f>297.941</f>
        <v>297.94099999999997</v>
      </c>
      <c r="E85" s="86">
        <f>89.177</f>
        <v>89.177000000000007</v>
      </c>
      <c r="F85" s="78">
        <f>240.302-40-60</f>
        <v>140.30199999999999</v>
      </c>
      <c r="G85" s="80">
        <v>40</v>
      </c>
      <c r="H85" s="78">
        <v>60</v>
      </c>
      <c r="I85" s="78">
        <f t="shared" si="9"/>
        <v>0</v>
      </c>
      <c r="J85" s="80">
        <v>100</v>
      </c>
      <c r="K85" s="80">
        <v>300</v>
      </c>
      <c r="L85" s="78">
        <f t="shared" si="12"/>
        <v>1150</v>
      </c>
      <c r="M85" s="88">
        <v>400</v>
      </c>
      <c r="N85" s="78">
        <f>100</f>
        <v>100</v>
      </c>
      <c r="O85" s="80">
        <v>240</v>
      </c>
      <c r="P85" s="80">
        <v>40</v>
      </c>
      <c r="Q85" s="80">
        <f t="shared" si="13"/>
        <v>315</v>
      </c>
      <c r="R85" s="80">
        <f t="shared" si="14"/>
        <v>100</v>
      </c>
      <c r="S85" s="78">
        <f t="shared" si="15"/>
        <v>695</v>
      </c>
      <c r="T85" s="78">
        <f>50</f>
        <v>50</v>
      </c>
      <c r="U85" s="76"/>
      <c r="V85" s="76"/>
      <c r="W85" s="76"/>
      <c r="X85" s="76"/>
      <c r="Y85" s="76"/>
      <c r="Z85" s="76"/>
      <c r="AA85" s="76"/>
      <c r="AB85" s="76"/>
      <c r="AC85" s="76"/>
      <c r="AD85" s="76"/>
    </row>
    <row r="86" spans="1:30" ht="15.75" x14ac:dyDescent="0.25">
      <c r="A86" s="16">
        <v>43525</v>
      </c>
      <c r="B86" s="91">
        <v>31</v>
      </c>
      <c r="C86" s="78">
        <f>122.58</f>
        <v>122.58</v>
      </c>
      <c r="D86" s="78">
        <f>297.941</f>
        <v>297.94099999999997</v>
      </c>
      <c r="E86" s="86">
        <f>89.177</f>
        <v>89.177000000000007</v>
      </c>
      <c r="F86" s="78">
        <f>240.302-40-60</f>
        <v>140.30199999999999</v>
      </c>
      <c r="G86" s="80">
        <v>40</v>
      </c>
      <c r="H86" s="78">
        <v>60</v>
      </c>
      <c r="I86" s="78">
        <f t="shared" si="9"/>
        <v>0</v>
      </c>
      <c r="J86" s="80">
        <v>100</v>
      </c>
      <c r="K86" s="80">
        <v>300</v>
      </c>
      <c r="L86" s="78">
        <f t="shared" si="12"/>
        <v>1150</v>
      </c>
      <c r="M86" s="88">
        <v>400</v>
      </c>
      <c r="N86" s="78">
        <f>100</f>
        <v>100</v>
      </c>
      <c r="O86" s="80">
        <v>240</v>
      </c>
      <c r="P86" s="80">
        <v>40</v>
      </c>
      <c r="Q86" s="80">
        <f t="shared" si="13"/>
        <v>315</v>
      </c>
      <c r="R86" s="80">
        <f t="shared" si="14"/>
        <v>100</v>
      </c>
      <c r="S86" s="78">
        <f t="shared" si="15"/>
        <v>695</v>
      </c>
      <c r="T86" s="78">
        <f>50</f>
        <v>50</v>
      </c>
      <c r="U86" s="76"/>
      <c r="V86" s="76"/>
      <c r="W86" s="76"/>
      <c r="X86" s="76"/>
      <c r="Y86" s="76"/>
      <c r="Z86" s="76"/>
      <c r="AA86" s="76"/>
      <c r="AB86" s="76"/>
      <c r="AC86" s="76"/>
      <c r="AD86" s="76"/>
    </row>
    <row r="87" spans="1:30" ht="15.75" x14ac:dyDescent="0.25">
      <c r="A87" s="16">
        <v>43556</v>
      </c>
      <c r="B87" s="91">
        <v>30</v>
      </c>
      <c r="C87" s="78">
        <f>141.293</f>
        <v>141.29300000000001</v>
      </c>
      <c r="D87" s="78">
        <f>267.993</f>
        <v>267.99299999999999</v>
      </c>
      <c r="E87" s="86">
        <f>115.016</f>
        <v>115.01600000000001</v>
      </c>
      <c r="F87" s="78">
        <f>314.698-40-25-60</f>
        <v>189.69799999999998</v>
      </c>
      <c r="G87" s="80">
        <v>40</v>
      </c>
      <c r="H87" s="78">
        <f t="shared" ref="H87:H93" si="16">25+60</f>
        <v>85</v>
      </c>
      <c r="I87" s="78">
        <f t="shared" si="9"/>
        <v>0</v>
      </c>
      <c r="J87" s="80">
        <v>100</v>
      </c>
      <c r="K87" s="80">
        <v>300</v>
      </c>
      <c r="L87" s="78">
        <f t="shared" si="12"/>
        <v>1239</v>
      </c>
      <c r="M87" s="88">
        <v>400</v>
      </c>
      <c r="N87" s="78">
        <f>100</f>
        <v>100</v>
      </c>
      <c r="O87" s="80">
        <v>240</v>
      </c>
      <c r="P87" s="80">
        <v>160</v>
      </c>
      <c r="Q87" s="80">
        <f t="shared" si="13"/>
        <v>195</v>
      </c>
      <c r="R87" s="80">
        <f t="shared" si="14"/>
        <v>100</v>
      </c>
      <c r="S87" s="78">
        <f t="shared" si="15"/>
        <v>695</v>
      </c>
      <c r="T87" s="78">
        <f>50</f>
        <v>50</v>
      </c>
      <c r="U87" s="76"/>
      <c r="V87" s="76"/>
      <c r="W87" s="76"/>
      <c r="X87" s="76"/>
      <c r="Y87" s="76"/>
      <c r="Z87" s="76"/>
      <c r="AA87" s="76"/>
      <c r="AB87" s="76"/>
      <c r="AC87" s="76"/>
      <c r="AD87" s="76"/>
    </row>
    <row r="88" spans="1:30" ht="15.75" x14ac:dyDescent="0.25">
      <c r="A88" s="16">
        <v>43586</v>
      </c>
      <c r="B88" s="91">
        <v>31</v>
      </c>
      <c r="C88" s="78">
        <f>194.205</f>
        <v>194.20500000000001</v>
      </c>
      <c r="D88" s="78">
        <f>267.466</f>
        <v>267.46600000000001</v>
      </c>
      <c r="E88" s="86">
        <f>133.845</f>
        <v>133.845</v>
      </c>
      <c r="F88" s="78">
        <f>278.484-40-25-60</f>
        <v>153.48399999999998</v>
      </c>
      <c r="G88" s="80">
        <v>40</v>
      </c>
      <c r="H88" s="78">
        <f t="shared" si="16"/>
        <v>85</v>
      </c>
      <c r="I88" s="78">
        <f t="shared" si="9"/>
        <v>0</v>
      </c>
      <c r="J88" s="80">
        <v>100</v>
      </c>
      <c r="K88" s="80">
        <v>300</v>
      </c>
      <c r="L88" s="78">
        <f t="shared" si="12"/>
        <v>1274</v>
      </c>
      <c r="M88" s="88">
        <v>400</v>
      </c>
      <c r="N88" s="78">
        <f>75</f>
        <v>75</v>
      </c>
      <c r="O88" s="80">
        <v>240</v>
      </c>
      <c r="P88" s="80">
        <v>160</v>
      </c>
      <c r="Q88" s="80">
        <f t="shared" si="13"/>
        <v>195</v>
      </c>
      <c r="R88" s="80">
        <f t="shared" si="14"/>
        <v>100</v>
      </c>
      <c r="S88" s="78">
        <f t="shared" si="15"/>
        <v>695</v>
      </c>
      <c r="T88" s="78">
        <f>50</f>
        <v>50</v>
      </c>
      <c r="U88" s="76"/>
      <c r="V88" s="76"/>
      <c r="W88" s="76"/>
      <c r="X88" s="76"/>
      <c r="Y88" s="76"/>
      <c r="Z88" s="76"/>
      <c r="AA88" s="76"/>
      <c r="AB88" s="76"/>
      <c r="AC88" s="76"/>
      <c r="AD88" s="76"/>
    </row>
    <row r="89" spans="1:30" ht="15.75" x14ac:dyDescent="0.25">
      <c r="A89" s="16">
        <v>43617</v>
      </c>
      <c r="B89" s="91">
        <v>30</v>
      </c>
      <c r="C89" s="78">
        <f>194.205</f>
        <v>194.20500000000001</v>
      </c>
      <c r="D89" s="78">
        <f>267.466</f>
        <v>267.46600000000001</v>
      </c>
      <c r="E89" s="86">
        <f>133.845</f>
        <v>133.845</v>
      </c>
      <c r="F89" s="78">
        <f>278.484-40-25-60</f>
        <v>153.48399999999998</v>
      </c>
      <c r="G89" s="80">
        <v>40</v>
      </c>
      <c r="H89" s="78">
        <f t="shared" si="16"/>
        <v>85</v>
      </c>
      <c r="I89" s="78">
        <f t="shared" si="9"/>
        <v>0</v>
      </c>
      <c r="J89" s="80">
        <v>100</v>
      </c>
      <c r="K89" s="80">
        <v>300</v>
      </c>
      <c r="L89" s="78">
        <f t="shared" si="12"/>
        <v>1274</v>
      </c>
      <c r="M89" s="88">
        <v>400</v>
      </c>
      <c r="N89" s="78">
        <f>30</f>
        <v>30</v>
      </c>
      <c r="O89" s="80">
        <v>240</v>
      </c>
      <c r="P89" s="80">
        <v>160</v>
      </c>
      <c r="Q89" s="80">
        <f t="shared" si="13"/>
        <v>195</v>
      </c>
      <c r="R89" s="80">
        <f t="shared" si="14"/>
        <v>100</v>
      </c>
      <c r="S89" s="78">
        <f t="shared" si="15"/>
        <v>695</v>
      </c>
      <c r="T89" s="78">
        <f>50</f>
        <v>50</v>
      </c>
      <c r="U89" s="76"/>
      <c r="V89" s="76"/>
      <c r="W89" s="76"/>
      <c r="X89" s="76"/>
      <c r="Y89" s="76"/>
      <c r="Z89" s="76"/>
      <c r="AA89" s="76"/>
      <c r="AB89" s="76"/>
      <c r="AC89" s="76"/>
      <c r="AD89" s="76"/>
    </row>
    <row r="90" spans="1:30" ht="15.75" x14ac:dyDescent="0.25">
      <c r="A90" s="16">
        <v>43647</v>
      </c>
      <c r="B90" s="91">
        <v>31</v>
      </c>
      <c r="C90" s="78">
        <f>194.205</f>
        <v>194.20500000000001</v>
      </c>
      <c r="D90" s="78">
        <f>267.466</f>
        <v>267.46600000000001</v>
      </c>
      <c r="E90" s="86">
        <f>133.845</f>
        <v>133.845</v>
      </c>
      <c r="F90" s="78">
        <f>278.484-40-25-60</f>
        <v>153.48399999999998</v>
      </c>
      <c r="G90" s="80">
        <v>40</v>
      </c>
      <c r="H90" s="78">
        <f t="shared" si="16"/>
        <v>85</v>
      </c>
      <c r="I90" s="78">
        <f t="shared" si="9"/>
        <v>0</v>
      </c>
      <c r="J90" s="80">
        <v>100</v>
      </c>
      <c r="K90" s="80">
        <v>300</v>
      </c>
      <c r="L90" s="78">
        <f t="shared" si="12"/>
        <v>1274</v>
      </c>
      <c r="M90" s="88">
        <v>400</v>
      </c>
      <c r="N90" s="78">
        <f>30</f>
        <v>30</v>
      </c>
      <c r="O90" s="80">
        <v>240</v>
      </c>
      <c r="P90" s="80">
        <v>160</v>
      </c>
      <c r="Q90" s="80">
        <f t="shared" si="13"/>
        <v>195</v>
      </c>
      <c r="R90" s="80">
        <f t="shared" si="14"/>
        <v>100</v>
      </c>
      <c r="S90" s="78">
        <f t="shared" si="15"/>
        <v>695</v>
      </c>
      <c r="T90" s="78">
        <f>0</f>
        <v>0</v>
      </c>
      <c r="U90" s="76"/>
      <c r="V90" s="76"/>
      <c r="W90" s="76"/>
      <c r="X90" s="76"/>
      <c r="Y90" s="76"/>
      <c r="Z90" s="76"/>
      <c r="AA90" s="76"/>
      <c r="AB90" s="76"/>
      <c r="AC90" s="76"/>
      <c r="AD90" s="76"/>
    </row>
    <row r="91" spans="1:30" ht="15.75" x14ac:dyDescent="0.25">
      <c r="A91" s="16">
        <v>43678</v>
      </c>
      <c r="B91" s="91">
        <v>31</v>
      </c>
      <c r="C91" s="78">
        <f>194.205</f>
        <v>194.20500000000001</v>
      </c>
      <c r="D91" s="78">
        <f>267.466</f>
        <v>267.46600000000001</v>
      </c>
      <c r="E91" s="86">
        <f>133.845</f>
        <v>133.845</v>
      </c>
      <c r="F91" s="78">
        <f>278.484-40-25-60</f>
        <v>153.48399999999998</v>
      </c>
      <c r="G91" s="80">
        <v>40</v>
      </c>
      <c r="H91" s="78">
        <f t="shared" si="16"/>
        <v>85</v>
      </c>
      <c r="I91" s="78">
        <f t="shared" si="9"/>
        <v>0</v>
      </c>
      <c r="J91" s="80">
        <v>100</v>
      </c>
      <c r="K91" s="80">
        <v>300</v>
      </c>
      <c r="L91" s="78">
        <f t="shared" si="12"/>
        <v>1274</v>
      </c>
      <c r="M91" s="88">
        <v>400</v>
      </c>
      <c r="N91" s="78">
        <f>30</f>
        <v>30</v>
      </c>
      <c r="O91" s="80">
        <v>240</v>
      </c>
      <c r="P91" s="80">
        <v>160</v>
      </c>
      <c r="Q91" s="80">
        <f t="shared" si="13"/>
        <v>195</v>
      </c>
      <c r="R91" s="80">
        <f t="shared" si="14"/>
        <v>100</v>
      </c>
      <c r="S91" s="78">
        <f t="shared" si="15"/>
        <v>695</v>
      </c>
      <c r="T91" s="78">
        <f>0</f>
        <v>0</v>
      </c>
      <c r="U91" s="76"/>
      <c r="V91" s="76"/>
      <c r="W91" s="76"/>
      <c r="X91" s="76"/>
      <c r="Y91" s="76"/>
      <c r="Z91" s="76"/>
      <c r="AA91" s="76"/>
      <c r="AB91" s="76"/>
      <c r="AC91" s="76"/>
      <c r="AD91" s="76"/>
    </row>
    <row r="92" spans="1:30" ht="15.75" x14ac:dyDescent="0.25">
      <c r="A92" s="16">
        <v>43709</v>
      </c>
      <c r="B92" s="91">
        <v>30</v>
      </c>
      <c r="C92" s="78">
        <f>194.205</f>
        <v>194.20500000000001</v>
      </c>
      <c r="D92" s="78">
        <f>267.466</f>
        <v>267.46600000000001</v>
      </c>
      <c r="E92" s="86">
        <f>133.845</f>
        <v>133.845</v>
      </c>
      <c r="F92" s="78">
        <f>278.484-40-25-60</f>
        <v>153.48399999999998</v>
      </c>
      <c r="G92" s="80">
        <v>40</v>
      </c>
      <c r="H92" s="78">
        <f t="shared" si="16"/>
        <v>85</v>
      </c>
      <c r="I92" s="78">
        <f t="shared" si="9"/>
        <v>0</v>
      </c>
      <c r="J92" s="80">
        <v>100</v>
      </c>
      <c r="K92" s="80">
        <v>300</v>
      </c>
      <c r="L92" s="78">
        <f t="shared" si="12"/>
        <v>1274</v>
      </c>
      <c r="M92" s="88">
        <v>400</v>
      </c>
      <c r="N92" s="78">
        <f>30</f>
        <v>30</v>
      </c>
      <c r="O92" s="80">
        <v>240</v>
      </c>
      <c r="P92" s="80">
        <v>160</v>
      </c>
      <c r="Q92" s="80">
        <f t="shared" si="13"/>
        <v>195</v>
      </c>
      <c r="R92" s="80">
        <f t="shared" si="14"/>
        <v>100</v>
      </c>
      <c r="S92" s="78">
        <f t="shared" si="15"/>
        <v>695</v>
      </c>
      <c r="T92" s="78">
        <f>0</f>
        <v>0</v>
      </c>
      <c r="U92" s="76"/>
      <c r="V92" s="76"/>
      <c r="W92" s="76"/>
      <c r="X92" s="76"/>
      <c r="Y92" s="76"/>
      <c r="Z92" s="76"/>
      <c r="AA92" s="76"/>
      <c r="AB92" s="76"/>
      <c r="AC92" s="76"/>
      <c r="AD92" s="76"/>
    </row>
    <row r="93" spans="1:30" ht="15.75" x14ac:dyDescent="0.25">
      <c r="A93" s="16">
        <v>43739</v>
      </c>
      <c r="B93" s="91">
        <v>31</v>
      </c>
      <c r="C93" s="78">
        <f>131.881</f>
        <v>131.881</v>
      </c>
      <c r="D93" s="78">
        <f>277.167</f>
        <v>277.16699999999997</v>
      </c>
      <c r="E93" s="86">
        <f>79.08</f>
        <v>79.08</v>
      </c>
      <c r="F93" s="78">
        <f>350.872-40-25-60</f>
        <v>225.87200000000001</v>
      </c>
      <c r="G93" s="80">
        <v>40</v>
      </c>
      <c r="H93" s="78">
        <f t="shared" si="16"/>
        <v>85</v>
      </c>
      <c r="I93" s="78">
        <f t="shared" si="9"/>
        <v>0</v>
      </c>
      <c r="J93" s="80">
        <v>100</v>
      </c>
      <c r="K93" s="80">
        <v>300</v>
      </c>
      <c r="L93" s="78">
        <f t="shared" si="12"/>
        <v>1239</v>
      </c>
      <c r="M93" s="88">
        <v>400</v>
      </c>
      <c r="N93" s="78">
        <f>75</f>
        <v>75</v>
      </c>
      <c r="O93" s="80">
        <v>240</v>
      </c>
      <c r="P93" s="80">
        <v>160</v>
      </c>
      <c r="Q93" s="80">
        <f t="shared" si="13"/>
        <v>195</v>
      </c>
      <c r="R93" s="80">
        <f t="shared" si="14"/>
        <v>100</v>
      </c>
      <c r="S93" s="78">
        <f t="shared" si="15"/>
        <v>695</v>
      </c>
      <c r="T93" s="78">
        <f>0</f>
        <v>0</v>
      </c>
      <c r="U93" s="76"/>
      <c r="V93" s="76"/>
      <c r="W93" s="76"/>
      <c r="X93" s="76"/>
      <c r="Y93" s="76"/>
      <c r="Z93" s="76"/>
      <c r="AA93" s="76"/>
      <c r="AB93" s="76"/>
      <c r="AC93" s="76"/>
      <c r="AD93" s="76"/>
    </row>
    <row r="94" spans="1:30" ht="15.75" x14ac:dyDescent="0.25">
      <c r="A94" s="16">
        <v>43770</v>
      </c>
      <c r="B94" s="91">
        <v>30</v>
      </c>
      <c r="C94" s="78">
        <f>122.58</f>
        <v>122.58</v>
      </c>
      <c r="D94" s="78">
        <f>297.941</f>
        <v>297.94099999999997</v>
      </c>
      <c r="E94" s="86">
        <f>89.177</f>
        <v>89.177000000000007</v>
      </c>
      <c r="F94" s="78">
        <f>240.302-40-60</f>
        <v>140.30199999999999</v>
      </c>
      <c r="G94" s="80">
        <v>40</v>
      </c>
      <c r="H94" s="78">
        <v>60</v>
      </c>
      <c r="I94" s="78">
        <f t="shared" si="9"/>
        <v>0</v>
      </c>
      <c r="J94" s="80">
        <v>100</v>
      </c>
      <c r="K94" s="80">
        <v>300</v>
      </c>
      <c r="L94" s="78">
        <f t="shared" si="12"/>
        <v>1150</v>
      </c>
      <c r="M94" s="88">
        <v>400</v>
      </c>
      <c r="N94" s="78">
        <f>100</f>
        <v>100</v>
      </c>
      <c r="O94" s="80">
        <v>240</v>
      </c>
      <c r="P94" s="80">
        <v>40</v>
      </c>
      <c r="Q94" s="80">
        <f t="shared" si="13"/>
        <v>315</v>
      </c>
      <c r="R94" s="80">
        <f t="shared" si="14"/>
        <v>100</v>
      </c>
      <c r="S94" s="78">
        <f t="shared" si="15"/>
        <v>695</v>
      </c>
      <c r="T94" s="78">
        <f>50</f>
        <v>50</v>
      </c>
      <c r="U94" s="76"/>
      <c r="V94" s="76"/>
      <c r="W94" s="76"/>
      <c r="X94" s="76"/>
      <c r="Y94" s="76"/>
      <c r="Z94" s="76"/>
      <c r="AA94" s="76"/>
      <c r="AB94" s="76"/>
      <c r="AC94" s="76"/>
      <c r="AD94" s="76"/>
    </row>
    <row r="95" spans="1:30" ht="15.75" x14ac:dyDescent="0.25">
      <c r="A95" s="16">
        <v>43800</v>
      </c>
      <c r="B95" s="91">
        <v>31</v>
      </c>
      <c r="C95" s="78">
        <f>122.58</f>
        <v>122.58</v>
      </c>
      <c r="D95" s="78">
        <f>297.941</f>
        <v>297.94099999999997</v>
      </c>
      <c r="E95" s="86">
        <f>89.177</f>
        <v>89.177000000000007</v>
      </c>
      <c r="F95" s="78">
        <f>240.302-40-60</f>
        <v>140.30199999999999</v>
      </c>
      <c r="G95" s="80">
        <v>40</v>
      </c>
      <c r="H95" s="78">
        <v>60</v>
      </c>
      <c r="I95" s="78">
        <f t="shared" si="9"/>
        <v>0</v>
      </c>
      <c r="J95" s="80">
        <v>100</v>
      </c>
      <c r="K95" s="80">
        <v>300</v>
      </c>
      <c r="L95" s="78">
        <f t="shared" si="12"/>
        <v>1150</v>
      </c>
      <c r="M95" s="88">
        <v>400</v>
      </c>
      <c r="N95" s="78">
        <f>100</f>
        <v>100</v>
      </c>
      <c r="O95" s="80">
        <v>240</v>
      </c>
      <c r="P95" s="80">
        <v>40</v>
      </c>
      <c r="Q95" s="80">
        <f t="shared" si="13"/>
        <v>315</v>
      </c>
      <c r="R95" s="80">
        <f t="shared" si="14"/>
        <v>100</v>
      </c>
      <c r="S95" s="78">
        <f t="shared" si="15"/>
        <v>695</v>
      </c>
      <c r="T95" s="78">
        <f>50</f>
        <v>50</v>
      </c>
      <c r="U95" s="76"/>
      <c r="V95" s="76"/>
      <c r="W95" s="76"/>
      <c r="X95" s="76"/>
      <c r="Y95" s="76"/>
      <c r="Z95" s="76"/>
      <c r="AA95" s="76"/>
      <c r="AB95" s="76"/>
      <c r="AC95" s="76"/>
      <c r="AD95" s="76"/>
    </row>
    <row r="96" spans="1:30" ht="15.75" x14ac:dyDescent="0.25">
      <c r="A96" s="16">
        <v>43831</v>
      </c>
      <c r="B96" s="91">
        <v>31</v>
      </c>
      <c r="C96" s="78">
        <f>122.58</f>
        <v>122.58</v>
      </c>
      <c r="D96" s="78">
        <f>297.941</f>
        <v>297.94099999999997</v>
      </c>
      <c r="E96" s="86">
        <f>89.177</f>
        <v>89.177000000000007</v>
      </c>
      <c r="F96" s="78">
        <f>240.302-40-60</f>
        <v>140.30199999999999</v>
      </c>
      <c r="G96" s="80">
        <v>40</v>
      </c>
      <c r="H96" s="78">
        <v>60</v>
      </c>
      <c r="I96" s="78">
        <f t="shared" si="9"/>
        <v>0</v>
      </c>
      <c r="J96" s="80">
        <v>100</v>
      </c>
      <c r="K96" s="80">
        <v>300</v>
      </c>
      <c r="L96" s="78">
        <f t="shared" si="12"/>
        <v>1150</v>
      </c>
      <c r="M96" s="88">
        <v>400</v>
      </c>
      <c r="N96" s="78">
        <f>100</f>
        <v>100</v>
      </c>
      <c r="O96" s="80">
        <v>240</v>
      </c>
      <c r="P96" s="80">
        <v>40</v>
      </c>
      <c r="Q96" s="80">
        <f t="shared" si="13"/>
        <v>315</v>
      </c>
      <c r="R96" s="80">
        <f t="shared" si="14"/>
        <v>100</v>
      </c>
      <c r="S96" s="78">
        <f t="shared" si="15"/>
        <v>695</v>
      </c>
      <c r="T96" s="78">
        <f>50</f>
        <v>50</v>
      </c>
      <c r="U96" s="76"/>
      <c r="V96" s="76"/>
      <c r="W96" s="76"/>
      <c r="X96" s="76"/>
      <c r="Y96" s="76"/>
      <c r="Z96" s="76"/>
      <c r="AA96" s="76"/>
      <c r="AB96" s="76"/>
      <c r="AC96" s="76"/>
      <c r="AD96" s="76"/>
    </row>
    <row r="97" spans="1:30" ht="15.75" x14ac:dyDescent="0.25">
      <c r="A97" s="16">
        <v>43862</v>
      </c>
      <c r="B97" s="91">
        <v>29</v>
      </c>
      <c r="C97" s="78">
        <f>122.58</f>
        <v>122.58</v>
      </c>
      <c r="D97" s="78">
        <f>297.941</f>
        <v>297.94099999999997</v>
      </c>
      <c r="E97" s="86">
        <f>89.177</f>
        <v>89.177000000000007</v>
      </c>
      <c r="F97" s="78">
        <f>240.302-40-60</f>
        <v>140.30199999999999</v>
      </c>
      <c r="G97" s="80">
        <v>40</v>
      </c>
      <c r="H97" s="78">
        <v>60</v>
      </c>
      <c r="I97" s="78">
        <f t="shared" si="9"/>
        <v>0</v>
      </c>
      <c r="J97" s="80">
        <v>100</v>
      </c>
      <c r="K97" s="80">
        <v>300</v>
      </c>
      <c r="L97" s="78">
        <f t="shared" si="12"/>
        <v>1150</v>
      </c>
      <c r="M97" s="88">
        <v>400</v>
      </c>
      <c r="N97" s="78">
        <f>100</f>
        <v>100</v>
      </c>
      <c r="O97" s="80">
        <v>240</v>
      </c>
      <c r="P97" s="80">
        <v>40</v>
      </c>
      <c r="Q97" s="80">
        <f t="shared" si="13"/>
        <v>315</v>
      </c>
      <c r="R97" s="80">
        <f t="shared" si="14"/>
        <v>100</v>
      </c>
      <c r="S97" s="78">
        <f t="shared" si="15"/>
        <v>695</v>
      </c>
      <c r="T97" s="78">
        <f>50</f>
        <v>50</v>
      </c>
      <c r="U97" s="76"/>
      <c r="V97" s="76"/>
      <c r="W97" s="76"/>
      <c r="X97" s="76"/>
      <c r="Y97" s="76"/>
      <c r="Z97" s="76"/>
      <c r="AA97" s="76"/>
      <c r="AB97" s="76"/>
      <c r="AC97" s="76"/>
      <c r="AD97" s="76"/>
    </row>
    <row r="98" spans="1:30" ht="15.75" x14ac:dyDescent="0.25">
      <c r="A98" s="16">
        <v>43891</v>
      </c>
      <c r="B98" s="91">
        <v>31</v>
      </c>
      <c r="C98" s="78">
        <f>122.58</f>
        <v>122.58</v>
      </c>
      <c r="D98" s="78">
        <f>297.941</f>
        <v>297.94099999999997</v>
      </c>
      <c r="E98" s="86">
        <f>89.177</f>
        <v>89.177000000000007</v>
      </c>
      <c r="F98" s="78">
        <f>240.302-40-60</f>
        <v>140.30199999999999</v>
      </c>
      <c r="G98" s="80">
        <v>40</v>
      </c>
      <c r="H98" s="78">
        <v>60</v>
      </c>
      <c r="I98" s="78">
        <f t="shared" si="9"/>
        <v>0</v>
      </c>
      <c r="J98" s="80">
        <v>100</v>
      </c>
      <c r="K98" s="80">
        <v>300</v>
      </c>
      <c r="L98" s="78">
        <f t="shared" si="12"/>
        <v>1150</v>
      </c>
      <c r="M98" s="88">
        <v>400</v>
      </c>
      <c r="N98" s="78">
        <f>100</f>
        <v>100</v>
      </c>
      <c r="O98" s="80">
        <v>240</v>
      </c>
      <c r="P98" s="80">
        <v>40</v>
      </c>
      <c r="Q98" s="80">
        <f t="shared" si="13"/>
        <v>315</v>
      </c>
      <c r="R98" s="80">
        <f t="shared" si="14"/>
        <v>100</v>
      </c>
      <c r="S98" s="78">
        <f t="shared" si="15"/>
        <v>695</v>
      </c>
      <c r="T98" s="78">
        <f>50</f>
        <v>50</v>
      </c>
      <c r="U98" s="76"/>
      <c r="V98" s="76"/>
      <c r="W98" s="76"/>
      <c r="X98" s="76"/>
      <c r="Y98" s="76"/>
      <c r="Z98" s="76"/>
      <c r="AA98" s="76"/>
      <c r="AB98" s="76"/>
      <c r="AC98" s="76"/>
      <c r="AD98" s="76"/>
    </row>
    <row r="99" spans="1:30" ht="15.75" x14ac:dyDescent="0.25">
      <c r="A99" s="16">
        <v>43922</v>
      </c>
      <c r="B99" s="91">
        <v>30</v>
      </c>
      <c r="C99" s="78">
        <f>141.293</f>
        <v>141.29300000000001</v>
      </c>
      <c r="D99" s="78">
        <f>267.993</f>
        <v>267.99299999999999</v>
      </c>
      <c r="E99" s="86">
        <f>115.016</f>
        <v>115.01600000000001</v>
      </c>
      <c r="F99" s="78">
        <f>314.698-40-25-60</f>
        <v>189.69799999999998</v>
      </c>
      <c r="G99" s="80">
        <v>40</v>
      </c>
      <c r="H99" s="78">
        <f t="shared" ref="H99:H105" si="17">25+60</f>
        <v>85</v>
      </c>
      <c r="I99" s="78">
        <f t="shared" si="9"/>
        <v>0</v>
      </c>
      <c r="J99" s="80">
        <v>100</v>
      </c>
      <c r="K99" s="80">
        <v>300</v>
      </c>
      <c r="L99" s="78">
        <f t="shared" si="12"/>
        <v>1239</v>
      </c>
      <c r="M99" s="88">
        <v>400</v>
      </c>
      <c r="N99" s="78">
        <f>100</f>
        <v>100</v>
      </c>
      <c r="O99" s="80">
        <v>240</v>
      </c>
      <c r="P99" s="80">
        <v>160</v>
      </c>
      <c r="Q99" s="80">
        <f t="shared" si="13"/>
        <v>195</v>
      </c>
      <c r="R99" s="80">
        <f t="shared" si="14"/>
        <v>100</v>
      </c>
      <c r="S99" s="78">
        <f t="shared" si="15"/>
        <v>695</v>
      </c>
      <c r="T99" s="78">
        <f>50</f>
        <v>50</v>
      </c>
      <c r="U99" s="76"/>
      <c r="V99" s="76"/>
      <c r="W99" s="76"/>
      <c r="X99" s="76"/>
      <c r="Y99" s="76"/>
      <c r="Z99" s="76"/>
      <c r="AA99" s="76"/>
      <c r="AB99" s="76"/>
      <c r="AC99" s="76"/>
      <c r="AD99" s="76"/>
    </row>
    <row r="100" spans="1:30" ht="15.75" x14ac:dyDescent="0.25">
      <c r="A100" s="16">
        <v>43952</v>
      </c>
      <c r="B100" s="91">
        <v>31</v>
      </c>
      <c r="C100" s="78">
        <f>194.205</f>
        <v>194.20500000000001</v>
      </c>
      <c r="D100" s="78">
        <f>267.466</f>
        <v>267.46600000000001</v>
      </c>
      <c r="E100" s="86">
        <f>133.845</f>
        <v>133.845</v>
      </c>
      <c r="F100" s="78">
        <f>278.484-40-25-60</f>
        <v>153.48399999999998</v>
      </c>
      <c r="G100" s="80">
        <v>40</v>
      </c>
      <c r="H100" s="78">
        <f t="shared" si="17"/>
        <v>85</v>
      </c>
      <c r="I100" s="78">
        <f t="shared" si="9"/>
        <v>0</v>
      </c>
      <c r="J100" s="80">
        <v>100</v>
      </c>
      <c r="K100" s="80">
        <v>300</v>
      </c>
      <c r="L100" s="78">
        <f t="shared" si="12"/>
        <v>1274</v>
      </c>
      <c r="M100" s="88">
        <v>600</v>
      </c>
      <c r="N100" s="78">
        <f>75</f>
        <v>75</v>
      </c>
      <c r="O100" s="80">
        <v>240</v>
      </c>
      <c r="P100" s="80">
        <v>160</v>
      </c>
      <c r="Q100" s="80">
        <f t="shared" si="13"/>
        <v>195</v>
      </c>
      <c r="R100" s="80">
        <f t="shared" si="14"/>
        <v>100</v>
      </c>
      <c r="S100" s="78">
        <f t="shared" si="15"/>
        <v>695</v>
      </c>
      <c r="T100" s="78">
        <f>50</f>
        <v>50</v>
      </c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</row>
    <row r="101" spans="1:30" ht="15.75" x14ac:dyDescent="0.25">
      <c r="A101" s="16">
        <v>43983</v>
      </c>
      <c r="B101" s="91">
        <v>30</v>
      </c>
      <c r="C101" s="78">
        <f>194.205</f>
        <v>194.20500000000001</v>
      </c>
      <c r="D101" s="78">
        <f>267.466</f>
        <v>267.46600000000001</v>
      </c>
      <c r="E101" s="86">
        <f>133.845</f>
        <v>133.845</v>
      </c>
      <c r="F101" s="78">
        <f>278.484-40-25-60</f>
        <v>153.48399999999998</v>
      </c>
      <c r="G101" s="80">
        <v>40</v>
      </c>
      <c r="H101" s="78">
        <f t="shared" si="17"/>
        <v>85</v>
      </c>
      <c r="I101" s="78">
        <f t="shared" si="9"/>
        <v>0</v>
      </c>
      <c r="J101" s="80">
        <v>100</v>
      </c>
      <c r="K101" s="80">
        <v>300</v>
      </c>
      <c r="L101" s="78">
        <f t="shared" si="12"/>
        <v>1274</v>
      </c>
      <c r="M101" s="88">
        <v>600</v>
      </c>
      <c r="N101" s="78">
        <f>30</f>
        <v>30</v>
      </c>
      <c r="O101" s="80">
        <v>240</v>
      </c>
      <c r="P101" s="80">
        <v>160</v>
      </c>
      <c r="Q101" s="80">
        <f t="shared" si="13"/>
        <v>195</v>
      </c>
      <c r="R101" s="80">
        <f t="shared" si="14"/>
        <v>100</v>
      </c>
      <c r="S101" s="78">
        <f t="shared" si="15"/>
        <v>695</v>
      </c>
      <c r="T101" s="78">
        <f>50</f>
        <v>50</v>
      </c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</row>
    <row r="102" spans="1:30" ht="15.75" x14ac:dyDescent="0.25">
      <c r="A102" s="16">
        <v>44013</v>
      </c>
      <c r="B102" s="91">
        <v>31</v>
      </c>
      <c r="C102" s="78">
        <f>194.205</f>
        <v>194.20500000000001</v>
      </c>
      <c r="D102" s="78">
        <f>267.466</f>
        <v>267.46600000000001</v>
      </c>
      <c r="E102" s="86">
        <f>133.845</f>
        <v>133.845</v>
      </c>
      <c r="F102" s="78">
        <f>278.484-40-25-60</f>
        <v>153.48399999999998</v>
      </c>
      <c r="G102" s="80">
        <v>40</v>
      </c>
      <c r="H102" s="78">
        <f t="shared" si="17"/>
        <v>85</v>
      </c>
      <c r="I102" s="78">
        <f t="shared" si="9"/>
        <v>0</v>
      </c>
      <c r="J102" s="80">
        <v>100</v>
      </c>
      <c r="K102" s="80">
        <v>300</v>
      </c>
      <c r="L102" s="78">
        <f t="shared" si="12"/>
        <v>1274</v>
      </c>
      <c r="M102" s="88">
        <v>600</v>
      </c>
      <c r="N102" s="78">
        <f>30</f>
        <v>30</v>
      </c>
      <c r="O102" s="80">
        <v>240</v>
      </c>
      <c r="P102" s="80">
        <v>160</v>
      </c>
      <c r="Q102" s="80">
        <f t="shared" si="13"/>
        <v>195</v>
      </c>
      <c r="R102" s="80">
        <f t="shared" si="14"/>
        <v>100</v>
      </c>
      <c r="S102" s="78">
        <f t="shared" si="15"/>
        <v>695</v>
      </c>
      <c r="T102" s="78">
        <f>0</f>
        <v>0</v>
      </c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</row>
    <row r="103" spans="1:30" ht="15.75" x14ac:dyDescent="0.25">
      <c r="A103" s="16">
        <v>44044</v>
      </c>
      <c r="B103" s="91">
        <v>31</v>
      </c>
      <c r="C103" s="78">
        <f>194.205</f>
        <v>194.20500000000001</v>
      </c>
      <c r="D103" s="78">
        <f>267.466</f>
        <v>267.46600000000001</v>
      </c>
      <c r="E103" s="86">
        <f>133.845</f>
        <v>133.845</v>
      </c>
      <c r="F103" s="78">
        <f>278.484-40-25-60</f>
        <v>153.48399999999998</v>
      </c>
      <c r="G103" s="80">
        <v>40</v>
      </c>
      <c r="H103" s="78">
        <f t="shared" si="17"/>
        <v>85</v>
      </c>
      <c r="I103" s="78">
        <f t="shared" si="9"/>
        <v>0</v>
      </c>
      <c r="J103" s="80">
        <v>100</v>
      </c>
      <c r="K103" s="80">
        <v>300</v>
      </c>
      <c r="L103" s="78">
        <f t="shared" si="12"/>
        <v>1274</v>
      </c>
      <c r="M103" s="88">
        <v>600</v>
      </c>
      <c r="N103" s="78">
        <f>30</f>
        <v>30</v>
      </c>
      <c r="O103" s="80">
        <v>240</v>
      </c>
      <c r="P103" s="80">
        <v>160</v>
      </c>
      <c r="Q103" s="80">
        <f t="shared" si="13"/>
        <v>195</v>
      </c>
      <c r="R103" s="80">
        <f t="shared" si="14"/>
        <v>100</v>
      </c>
      <c r="S103" s="78">
        <f t="shared" si="15"/>
        <v>695</v>
      </c>
      <c r="T103" s="78">
        <f>0</f>
        <v>0</v>
      </c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</row>
    <row r="104" spans="1:30" ht="15.75" x14ac:dyDescent="0.25">
      <c r="A104" s="16">
        <v>44075</v>
      </c>
      <c r="B104" s="91">
        <v>30</v>
      </c>
      <c r="C104" s="78">
        <f>194.205</f>
        <v>194.20500000000001</v>
      </c>
      <c r="D104" s="78">
        <f>267.466</f>
        <v>267.46600000000001</v>
      </c>
      <c r="E104" s="86">
        <f>133.845</f>
        <v>133.845</v>
      </c>
      <c r="F104" s="78">
        <f>278.484-40-25-60</f>
        <v>153.48399999999998</v>
      </c>
      <c r="G104" s="80">
        <v>40</v>
      </c>
      <c r="H104" s="78">
        <f t="shared" si="17"/>
        <v>85</v>
      </c>
      <c r="I104" s="78">
        <f t="shared" si="9"/>
        <v>0</v>
      </c>
      <c r="J104" s="80">
        <v>100</v>
      </c>
      <c r="K104" s="80">
        <v>300</v>
      </c>
      <c r="L104" s="78">
        <f t="shared" si="12"/>
        <v>1274</v>
      </c>
      <c r="M104" s="88">
        <v>600</v>
      </c>
      <c r="N104" s="78">
        <f>30</f>
        <v>30</v>
      </c>
      <c r="O104" s="80">
        <v>240</v>
      </c>
      <c r="P104" s="80">
        <v>160</v>
      </c>
      <c r="Q104" s="80">
        <f t="shared" si="13"/>
        <v>195</v>
      </c>
      <c r="R104" s="80">
        <f t="shared" si="14"/>
        <v>100</v>
      </c>
      <c r="S104" s="78">
        <f t="shared" si="15"/>
        <v>695</v>
      </c>
      <c r="T104" s="78">
        <f>0</f>
        <v>0</v>
      </c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</row>
    <row r="105" spans="1:30" ht="15.75" x14ac:dyDescent="0.25">
      <c r="A105" s="16">
        <v>44105</v>
      </c>
      <c r="B105" s="91">
        <v>31</v>
      </c>
      <c r="C105" s="78">
        <f>131.881</f>
        <v>131.881</v>
      </c>
      <c r="D105" s="78">
        <f>277.167</f>
        <v>277.16699999999997</v>
      </c>
      <c r="E105" s="86">
        <f>79.08</f>
        <v>79.08</v>
      </c>
      <c r="F105" s="78">
        <f>350.872-40-25-60</f>
        <v>225.87200000000001</v>
      </c>
      <c r="G105" s="80">
        <v>40</v>
      </c>
      <c r="H105" s="78">
        <f t="shared" si="17"/>
        <v>85</v>
      </c>
      <c r="I105" s="78">
        <f t="shared" si="9"/>
        <v>0</v>
      </c>
      <c r="J105" s="80">
        <v>100</v>
      </c>
      <c r="K105" s="80">
        <v>300</v>
      </c>
      <c r="L105" s="78">
        <f t="shared" si="12"/>
        <v>1239</v>
      </c>
      <c r="M105" s="88">
        <v>600</v>
      </c>
      <c r="N105" s="78">
        <f>75</f>
        <v>75</v>
      </c>
      <c r="O105" s="80">
        <v>240</v>
      </c>
      <c r="P105" s="80">
        <v>160</v>
      </c>
      <c r="Q105" s="80">
        <f t="shared" si="13"/>
        <v>195</v>
      </c>
      <c r="R105" s="80">
        <f t="shared" si="14"/>
        <v>100</v>
      </c>
      <c r="S105" s="78">
        <f t="shared" si="15"/>
        <v>695</v>
      </c>
      <c r="T105" s="78">
        <f>0</f>
        <v>0</v>
      </c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</row>
    <row r="106" spans="1:30" ht="15.75" x14ac:dyDescent="0.25">
      <c r="A106" s="16">
        <v>44136</v>
      </c>
      <c r="B106" s="91">
        <v>30</v>
      </c>
      <c r="C106" s="78">
        <f>122.58</f>
        <v>122.58</v>
      </c>
      <c r="D106" s="78">
        <f>297.941</f>
        <v>297.94099999999997</v>
      </c>
      <c r="E106" s="86">
        <f>89.177</f>
        <v>89.177000000000007</v>
      </c>
      <c r="F106" s="78">
        <f>240.302-40-60</f>
        <v>140.30199999999999</v>
      </c>
      <c r="G106" s="80">
        <v>40</v>
      </c>
      <c r="H106" s="78">
        <v>60</v>
      </c>
      <c r="I106" s="78">
        <f t="shared" si="9"/>
        <v>0</v>
      </c>
      <c r="J106" s="80">
        <v>100</v>
      </c>
      <c r="K106" s="80">
        <v>300</v>
      </c>
      <c r="L106" s="78">
        <f t="shared" si="12"/>
        <v>1150</v>
      </c>
      <c r="M106" s="88">
        <v>600</v>
      </c>
      <c r="N106" s="78">
        <f>100</f>
        <v>100</v>
      </c>
      <c r="O106" s="80">
        <v>240</v>
      </c>
      <c r="P106" s="80">
        <v>40</v>
      </c>
      <c r="Q106" s="80">
        <f t="shared" si="13"/>
        <v>315</v>
      </c>
      <c r="R106" s="80">
        <f t="shared" si="14"/>
        <v>100</v>
      </c>
      <c r="S106" s="78">
        <f t="shared" si="15"/>
        <v>695</v>
      </c>
      <c r="T106" s="78">
        <f>50</f>
        <v>50</v>
      </c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</row>
    <row r="107" spans="1:30" ht="15.75" x14ac:dyDescent="0.25">
      <c r="A107" s="16">
        <v>44166</v>
      </c>
      <c r="B107" s="91">
        <v>31</v>
      </c>
      <c r="C107" s="78">
        <f>122.58</f>
        <v>122.58</v>
      </c>
      <c r="D107" s="78">
        <f>297.941</f>
        <v>297.94099999999997</v>
      </c>
      <c r="E107" s="86">
        <f>89.177</f>
        <v>89.177000000000007</v>
      </c>
      <c r="F107" s="78">
        <f>240.302-40-60</f>
        <v>140.30199999999999</v>
      </c>
      <c r="G107" s="80">
        <v>40</v>
      </c>
      <c r="H107" s="78">
        <v>60</v>
      </c>
      <c r="I107" s="78">
        <f t="shared" si="9"/>
        <v>0</v>
      </c>
      <c r="J107" s="80">
        <v>100</v>
      </c>
      <c r="K107" s="80">
        <v>300</v>
      </c>
      <c r="L107" s="78">
        <f t="shared" si="12"/>
        <v>1150</v>
      </c>
      <c r="M107" s="88">
        <v>600</v>
      </c>
      <c r="N107" s="78">
        <f>100</f>
        <v>100</v>
      </c>
      <c r="O107" s="80">
        <v>240</v>
      </c>
      <c r="P107" s="80">
        <v>40</v>
      </c>
      <c r="Q107" s="80">
        <f t="shared" si="13"/>
        <v>315</v>
      </c>
      <c r="R107" s="80">
        <f t="shared" si="14"/>
        <v>100</v>
      </c>
      <c r="S107" s="78">
        <f t="shared" si="15"/>
        <v>695</v>
      </c>
      <c r="T107" s="78">
        <f>50</f>
        <v>50</v>
      </c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</row>
    <row r="108" spans="1:30" ht="15.75" x14ac:dyDescent="0.25">
      <c r="A108" s="16">
        <v>44197</v>
      </c>
      <c r="B108" s="91">
        <v>31</v>
      </c>
      <c r="C108" s="78">
        <f>122.58</f>
        <v>122.58</v>
      </c>
      <c r="D108" s="78">
        <f>297.941</f>
        <v>297.94099999999997</v>
      </c>
      <c r="E108" s="86">
        <f>89.177</f>
        <v>89.177000000000007</v>
      </c>
      <c r="F108" s="78">
        <f>240.302-40-60</f>
        <v>140.30199999999999</v>
      </c>
      <c r="G108" s="80">
        <v>40</v>
      </c>
      <c r="H108" s="78">
        <v>60</v>
      </c>
      <c r="I108" s="78">
        <f t="shared" si="9"/>
        <v>0</v>
      </c>
      <c r="J108" s="80">
        <v>100</v>
      </c>
      <c r="K108" s="80">
        <v>300</v>
      </c>
      <c r="L108" s="78">
        <f t="shared" si="12"/>
        <v>1150</v>
      </c>
      <c r="M108" s="88">
        <v>600</v>
      </c>
      <c r="N108" s="78">
        <f>100</f>
        <v>100</v>
      </c>
      <c r="O108" s="80">
        <v>240</v>
      </c>
      <c r="P108" s="80">
        <v>40</v>
      </c>
      <c r="Q108" s="80">
        <f t="shared" si="13"/>
        <v>315</v>
      </c>
      <c r="R108" s="80">
        <f t="shared" si="14"/>
        <v>100</v>
      </c>
      <c r="S108" s="78">
        <f t="shared" si="15"/>
        <v>695</v>
      </c>
      <c r="T108" s="78">
        <f>50</f>
        <v>50</v>
      </c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</row>
    <row r="109" spans="1:30" ht="15.75" x14ac:dyDescent="0.25">
      <c r="A109" s="16">
        <v>44228</v>
      </c>
      <c r="B109" s="91">
        <v>28</v>
      </c>
      <c r="C109" s="78">
        <f>122.58</f>
        <v>122.58</v>
      </c>
      <c r="D109" s="78">
        <f>297.941</f>
        <v>297.94099999999997</v>
      </c>
      <c r="E109" s="86">
        <f>89.177</f>
        <v>89.177000000000007</v>
      </c>
      <c r="F109" s="78">
        <f>240.302-40-60</f>
        <v>140.30199999999999</v>
      </c>
      <c r="G109" s="80">
        <v>40</v>
      </c>
      <c r="H109" s="78">
        <v>60</v>
      </c>
      <c r="I109" s="78">
        <f t="shared" si="9"/>
        <v>0</v>
      </c>
      <c r="J109" s="80">
        <v>100</v>
      </c>
      <c r="K109" s="80">
        <v>300</v>
      </c>
      <c r="L109" s="78">
        <f t="shared" si="12"/>
        <v>1150</v>
      </c>
      <c r="M109" s="88">
        <v>600</v>
      </c>
      <c r="N109" s="78">
        <f>100</f>
        <v>100</v>
      </c>
      <c r="O109" s="80">
        <v>240</v>
      </c>
      <c r="P109" s="80">
        <v>40</v>
      </c>
      <c r="Q109" s="80">
        <f t="shared" si="13"/>
        <v>315</v>
      </c>
      <c r="R109" s="80">
        <f t="shared" si="14"/>
        <v>100</v>
      </c>
      <c r="S109" s="78">
        <f t="shared" si="15"/>
        <v>695</v>
      </c>
      <c r="T109" s="78">
        <f>50</f>
        <v>50</v>
      </c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</row>
    <row r="110" spans="1:30" ht="15.75" x14ac:dyDescent="0.25">
      <c r="A110" s="16">
        <v>44256</v>
      </c>
      <c r="B110" s="91">
        <v>31</v>
      </c>
      <c r="C110" s="78">
        <f>122.58</f>
        <v>122.58</v>
      </c>
      <c r="D110" s="78">
        <f>297.941</f>
        <v>297.94099999999997</v>
      </c>
      <c r="E110" s="86">
        <f>89.177</f>
        <v>89.177000000000007</v>
      </c>
      <c r="F110" s="78">
        <f>240.302-40-60</f>
        <v>140.30199999999999</v>
      </c>
      <c r="G110" s="80">
        <v>40</v>
      </c>
      <c r="H110" s="78">
        <v>60</v>
      </c>
      <c r="I110" s="78">
        <f t="shared" si="9"/>
        <v>0</v>
      </c>
      <c r="J110" s="80">
        <v>100</v>
      </c>
      <c r="K110" s="80">
        <v>300</v>
      </c>
      <c r="L110" s="78">
        <f t="shared" si="12"/>
        <v>1150</v>
      </c>
      <c r="M110" s="88">
        <v>600</v>
      </c>
      <c r="N110" s="78">
        <f>100</f>
        <v>100</v>
      </c>
      <c r="O110" s="80">
        <v>240</v>
      </c>
      <c r="P110" s="80">
        <v>40</v>
      </c>
      <c r="Q110" s="80">
        <f t="shared" si="13"/>
        <v>315</v>
      </c>
      <c r="R110" s="80">
        <f t="shared" si="14"/>
        <v>100</v>
      </c>
      <c r="S110" s="78">
        <f t="shared" si="15"/>
        <v>695</v>
      </c>
      <c r="T110" s="78">
        <f>50</f>
        <v>50</v>
      </c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</row>
    <row r="111" spans="1:30" ht="15.75" x14ac:dyDescent="0.25">
      <c r="A111" s="16">
        <v>44287</v>
      </c>
      <c r="B111" s="91">
        <v>30</v>
      </c>
      <c r="C111" s="78">
        <f>141.293</f>
        <v>141.29300000000001</v>
      </c>
      <c r="D111" s="78">
        <f>267.993</f>
        <v>267.99299999999999</v>
      </c>
      <c r="E111" s="86">
        <f>115.016</f>
        <v>115.01600000000001</v>
      </c>
      <c r="F111" s="78">
        <f>314.698-40-25-60</f>
        <v>189.69799999999998</v>
      </c>
      <c r="G111" s="80">
        <v>40</v>
      </c>
      <c r="H111" s="78">
        <f t="shared" ref="H111:H117" si="18">25+60</f>
        <v>85</v>
      </c>
      <c r="I111" s="78">
        <f t="shared" si="9"/>
        <v>0</v>
      </c>
      <c r="J111" s="80">
        <v>100</v>
      </c>
      <c r="K111" s="80">
        <v>300</v>
      </c>
      <c r="L111" s="78">
        <f t="shared" si="12"/>
        <v>1239</v>
      </c>
      <c r="M111" s="88">
        <v>600</v>
      </c>
      <c r="N111" s="78">
        <f>100</f>
        <v>100</v>
      </c>
      <c r="O111" s="80">
        <v>240</v>
      </c>
      <c r="P111" s="80">
        <v>160</v>
      </c>
      <c r="Q111" s="80">
        <f t="shared" si="13"/>
        <v>195</v>
      </c>
      <c r="R111" s="80">
        <f t="shared" si="14"/>
        <v>100</v>
      </c>
      <c r="S111" s="78">
        <f t="shared" si="15"/>
        <v>695</v>
      </c>
      <c r="T111" s="78">
        <f>50</f>
        <v>50</v>
      </c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</row>
    <row r="112" spans="1:30" ht="15.75" x14ac:dyDescent="0.25">
      <c r="A112" s="16">
        <v>44317</v>
      </c>
      <c r="B112" s="91">
        <v>31</v>
      </c>
      <c r="C112" s="78">
        <f>194.205</f>
        <v>194.20500000000001</v>
      </c>
      <c r="D112" s="78">
        <f>267.466</f>
        <v>267.46600000000001</v>
      </c>
      <c r="E112" s="86">
        <f>133.845</f>
        <v>133.845</v>
      </c>
      <c r="F112" s="78">
        <f>278.484-40-25-60</f>
        <v>153.48399999999998</v>
      </c>
      <c r="G112" s="80">
        <v>40</v>
      </c>
      <c r="H112" s="78">
        <f t="shared" si="18"/>
        <v>85</v>
      </c>
      <c r="I112" s="78">
        <f t="shared" si="9"/>
        <v>0</v>
      </c>
      <c r="J112" s="80">
        <v>100</v>
      </c>
      <c r="K112" s="80">
        <v>300</v>
      </c>
      <c r="L112" s="78">
        <f t="shared" si="12"/>
        <v>1274</v>
      </c>
      <c r="M112" s="88">
        <v>600</v>
      </c>
      <c r="N112" s="78">
        <f>75</f>
        <v>75</v>
      </c>
      <c r="O112" s="80">
        <v>240</v>
      </c>
      <c r="P112" s="80">
        <v>160</v>
      </c>
      <c r="Q112" s="80">
        <f t="shared" si="13"/>
        <v>195</v>
      </c>
      <c r="R112" s="80">
        <f t="shared" si="14"/>
        <v>100</v>
      </c>
      <c r="S112" s="78">
        <f t="shared" si="15"/>
        <v>695</v>
      </c>
      <c r="T112" s="78">
        <f>50</f>
        <v>50</v>
      </c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</row>
    <row r="113" spans="1:30" ht="15.75" x14ac:dyDescent="0.25">
      <c r="A113" s="16">
        <v>44348</v>
      </c>
      <c r="B113" s="91">
        <v>30</v>
      </c>
      <c r="C113" s="78">
        <f>194.205</f>
        <v>194.20500000000001</v>
      </c>
      <c r="D113" s="78">
        <f>267.466</f>
        <v>267.46600000000001</v>
      </c>
      <c r="E113" s="86">
        <f>133.845</f>
        <v>133.845</v>
      </c>
      <c r="F113" s="78">
        <f>278.484-40-25-60</f>
        <v>153.48399999999998</v>
      </c>
      <c r="G113" s="80">
        <v>40</v>
      </c>
      <c r="H113" s="78">
        <f t="shared" si="18"/>
        <v>85</v>
      </c>
      <c r="I113" s="78">
        <f t="shared" si="9"/>
        <v>0</v>
      </c>
      <c r="J113" s="80">
        <v>100</v>
      </c>
      <c r="K113" s="80">
        <v>300</v>
      </c>
      <c r="L113" s="78">
        <f t="shared" si="12"/>
        <v>1274</v>
      </c>
      <c r="M113" s="88">
        <v>600</v>
      </c>
      <c r="N113" s="78">
        <f>30</f>
        <v>30</v>
      </c>
      <c r="O113" s="80">
        <v>240</v>
      </c>
      <c r="P113" s="80">
        <v>160</v>
      </c>
      <c r="Q113" s="80">
        <f t="shared" si="13"/>
        <v>195</v>
      </c>
      <c r="R113" s="80">
        <f t="shared" si="14"/>
        <v>100</v>
      </c>
      <c r="S113" s="78">
        <f t="shared" si="15"/>
        <v>695</v>
      </c>
      <c r="T113" s="78">
        <f>50</f>
        <v>50</v>
      </c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</row>
    <row r="114" spans="1:30" ht="15.75" x14ac:dyDescent="0.25">
      <c r="A114" s="16">
        <v>44378</v>
      </c>
      <c r="B114" s="91">
        <v>31</v>
      </c>
      <c r="C114" s="78">
        <f>194.205</f>
        <v>194.20500000000001</v>
      </c>
      <c r="D114" s="78">
        <f>267.466</f>
        <v>267.46600000000001</v>
      </c>
      <c r="E114" s="86">
        <f>133.845</f>
        <v>133.845</v>
      </c>
      <c r="F114" s="78">
        <f>278.484-40-25-60</f>
        <v>153.48399999999998</v>
      </c>
      <c r="G114" s="80">
        <v>40</v>
      </c>
      <c r="H114" s="78">
        <f t="shared" si="18"/>
        <v>85</v>
      </c>
      <c r="I114" s="78">
        <f t="shared" si="9"/>
        <v>0</v>
      </c>
      <c r="J114" s="80">
        <v>100</v>
      </c>
      <c r="K114" s="80">
        <v>300</v>
      </c>
      <c r="L114" s="78">
        <f t="shared" si="12"/>
        <v>1274</v>
      </c>
      <c r="M114" s="88">
        <v>600</v>
      </c>
      <c r="N114" s="78">
        <f>30</f>
        <v>30</v>
      </c>
      <c r="O114" s="80">
        <v>240</v>
      </c>
      <c r="P114" s="80">
        <v>160</v>
      </c>
      <c r="Q114" s="80">
        <f t="shared" si="13"/>
        <v>195</v>
      </c>
      <c r="R114" s="80">
        <f t="shared" si="14"/>
        <v>100</v>
      </c>
      <c r="S114" s="78">
        <f t="shared" si="15"/>
        <v>695</v>
      </c>
      <c r="T114" s="78">
        <f>0</f>
        <v>0</v>
      </c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</row>
    <row r="115" spans="1:30" ht="15.75" x14ac:dyDescent="0.25">
      <c r="A115" s="16">
        <v>44409</v>
      </c>
      <c r="B115" s="91">
        <v>31</v>
      </c>
      <c r="C115" s="78">
        <f>194.205</f>
        <v>194.20500000000001</v>
      </c>
      <c r="D115" s="78">
        <f>267.466</f>
        <v>267.46600000000001</v>
      </c>
      <c r="E115" s="86">
        <f>133.845</f>
        <v>133.845</v>
      </c>
      <c r="F115" s="78">
        <f>278.484-40-25-60</f>
        <v>153.48399999999998</v>
      </c>
      <c r="G115" s="80">
        <v>40</v>
      </c>
      <c r="H115" s="78">
        <f t="shared" si="18"/>
        <v>85</v>
      </c>
      <c r="I115" s="78">
        <f t="shared" si="9"/>
        <v>0</v>
      </c>
      <c r="J115" s="80">
        <v>100</v>
      </c>
      <c r="K115" s="80">
        <v>300</v>
      </c>
      <c r="L115" s="78">
        <f t="shared" si="12"/>
        <v>1274</v>
      </c>
      <c r="M115" s="88">
        <v>600</v>
      </c>
      <c r="N115" s="78">
        <f>30</f>
        <v>30</v>
      </c>
      <c r="O115" s="80">
        <v>240</v>
      </c>
      <c r="P115" s="80">
        <v>160</v>
      </c>
      <c r="Q115" s="80">
        <f t="shared" si="13"/>
        <v>195</v>
      </c>
      <c r="R115" s="80">
        <f t="shared" si="14"/>
        <v>100</v>
      </c>
      <c r="S115" s="78">
        <f t="shared" si="15"/>
        <v>695</v>
      </c>
      <c r="T115" s="78">
        <f>0</f>
        <v>0</v>
      </c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</row>
    <row r="116" spans="1:30" ht="15.75" x14ac:dyDescent="0.25">
      <c r="A116" s="16">
        <v>44440</v>
      </c>
      <c r="B116" s="91">
        <v>30</v>
      </c>
      <c r="C116" s="78">
        <f>194.205</f>
        <v>194.20500000000001</v>
      </c>
      <c r="D116" s="78">
        <f>267.466</f>
        <v>267.46600000000001</v>
      </c>
      <c r="E116" s="86">
        <f>133.845</f>
        <v>133.845</v>
      </c>
      <c r="F116" s="78">
        <f>278.484-40-25-60</f>
        <v>153.48399999999998</v>
      </c>
      <c r="G116" s="80">
        <v>40</v>
      </c>
      <c r="H116" s="78">
        <f t="shared" si="18"/>
        <v>85</v>
      </c>
      <c r="I116" s="78">
        <f t="shared" ref="I116:I179" si="19">400-J116-K116</f>
        <v>0</v>
      </c>
      <c r="J116" s="80">
        <v>100</v>
      </c>
      <c r="K116" s="80">
        <v>300</v>
      </c>
      <c r="L116" s="78">
        <f t="shared" si="12"/>
        <v>1274</v>
      </c>
      <c r="M116" s="88">
        <v>600</v>
      </c>
      <c r="N116" s="78">
        <f>30</f>
        <v>30</v>
      </c>
      <c r="O116" s="80">
        <v>240</v>
      </c>
      <c r="P116" s="80">
        <v>160</v>
      </c>
      <c r="Q116" s="80">
        <f t="shared" si="13"/>
        <v>195</v>
      </c>
      <c r="R116" s="80">
        <f t="shared" si="14"/>
        <v>100</v>
      </c>
      <c r="S116" s="78">
        <f t="shared" si="15"/>
        <v>695</v>
      </c>
      <c r="T116" s="78">
        <f>0</f>
        <v>0</v>
      </c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</row>
    <row r="117" spans="1:30" ht="15.75" x14ac:dyDescent="0.25">
      <c r="A117" s="16">
        <v>44470</v>
      </c>
      <c r="B117" s="91">
        <v>31</v>
      </c>
      <c r="C117" s="78">
        <f>131.881</f>
        <v>131.881</v>
      </c>
      <c r="D117" s="78">
        <f>277.167</f>
        <v>277.16699999999997</v>
      </c>
      <c r="E117" s="86">
        <f>79.08</f>
        <v>79.08</v>
      </c>
      <c r="F117" s="78">
        <f>350.872-40-25-60</f>
        <v>225.87200000000001</v>
      </c>
      <c r="G117" s="80">
        <v>40</v>
      </c>
      <c r="H117" s="78">
        <f t="shared" si="18"/>
        <v>85</v>
      </c>
      <c r="I117" s="78">
        <f t="shared" si="19"/>
        <v>0</v>
      </c>
      <c r="J117" s="80">
        <v>100</v>
      </c>
      <c r="K117" s="80">
        <v>300</v>
      </c>
      <c r="L117" s="78">
        <f t="shared" si="12"/>
        <v>1239</v>
      </c>
      <c r="M117" s="88">
        <v>600</v>
      </c>
      <c r="N117" s="78">
        <f>75</f>
        <v>75</v>
      </c>
      <c r="O117" s="80">
        <v>240</v>
      </c>
      <c r="P117" s="80">
        <v>160</v>
      </c>
      <c r="Q117" s="80">
        <f t="shared" si="13"/>
        <v>195</v>
      </c>
      <c r="R117" s="80">
        <f t="shared" si="14"/>
        <v>100</v>
      </c>
      <c r="S117" s="78">
        <f t="shared" si="15"/>
        <v>695</v>
      </c>
      <c r="T117" s="78">
        <f>0</f>
        <v>0</v>
      </c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</row>
    <row r="118" spans="1:30" ht="15.75" x14ac:dyDescent="0.25">
      <c r="A118" s="16">
        <v>44501</v>
      </c>
      <c r="B118" s="91">
        <v>30</v>
      </c>
      <c r="C118" s="78">
        <f>122.58</f>
        <v>122.58</v>
      </c>
      <c r="D118" s="78">
        <f>297.941</f>
        <v>297.94099999999997</v>
      </c>
      <c r="E118" s="86">
        <f>89.177</f>
        <v>89.177000000000007</v>
      </c>
      <c r="F118" s="78">
        <f>240.302-40-60</f>
        <v>140.30199999999999</v>
      </c>
      <c r="G118" s="80">
        <v>40</v>
      </c>
      <c r="H118" s="78">
        <v>60</v>
      </c>
      <c r="I118" s="78">
        <f t="shared" si="19"/>
        <v>0</v>
      </c>
      <c r="J118" s="80">
        <v>100</v>
      </c>
      <c r="K118" s="80">
        <v>300</v>
      </c>
      <c r="L118" s="78">
        <f t="shared" si="12"/>
        <v>1150</v>
      </c>
      <c r="M118" s="88">
        <v>600</v>
      </c>
      <c r="N118" s="78">
        <f>100</f>
        <v>100</v>
      </c>
      <c r="O118" s="80">
        <v>240</v>
      </c>
      <c r="P118" s="80">
        <v>40</v>
      </c>
      <c r="Q118" s="80">
        <f t="shared" si="13"/>
        <v>315</v>
      </c>
      <c r="R118" s="80">
        <f t="shared" si="14"/>
        <v>100</v>
      </c>
      <c r="S118" s="78">
        <f t="shared" si="15"/>
        <v>695</v>
      </c>
      <c r="T118" s="78">
        <f>50</f>
        <v>50</v>
      </c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</row>
    <row r="119" spans="1:30" ht="15.75" x14ac:dyDescent="0.25">
      <c r="A119" s="16">
        <v>44531</v>
      </c>
      <c r="B119" s="91">
        <v>31</v>
      </c>
      <c r="C119" s="78">
        <f>122.58</f>
        <v>122.58</v>
      </c>
      <c r="D119" s="78">
        <f>297.941</f>
        <v>297.94099999999997</v>
      </c>
      <c r="E119" s="86">
        <f>89.177</f>
        <v>89.177000000000007</v>
      </c>
      <c r="F119" s="78">
        <f>240.302-40-60</f>
        <v>140.30199999999999</v>
      </c>
      <c r="G119" s="80">
        <v>40</v>
      </c>
      <c r="H119" s="78">
        <v>60</v>
      </c>
      <c r="I119" s="78">
        <f t="shared" si="19"/>
        <v>0</v>
      </c>
      <c r="J119" s="80">
        <v>100</v>
      </c>
      <c r="K119" s="80">
        <v>300</v>
      </c>
      <c r="L119" s="78">
        <f t="shared" si="12"/>
        <v>1150</v>
      </c>
      <c r="M119" s="88">
        <v>600</v>
      </c>
      <c r="N119" s="78">
        <f>100</f>
        <v>100</v>
      </c>
      <c r="O119" s="80">
        <v>240</v>
      </c>
      <c r="P119" s="80">
        <v>40</v>
      </c>
      <c r="Q119" s="80">
        <f t="shared" si="13"/>
        <v>315</v>
      </c>
      <c r="R119" s="80">
        <f t="shared" si="14"/>
        <v>100</v>
      </c>
      <c r="S119" s="78">
        <f t="shared" si="15"/>
        <v>695</v>
      </c>
      <c r="T119" s="78">
        <f>50</f>
        <v>50</v>
      </c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</row>
    <row r="120" spans="1:30" ht="15.75" x14ac:dyDescent="0.25">
      <c r="A120" s="16">
        <v>44562</v>
      </c>
      <c r="B120" s="91">
        <v>31</v>
      </c>
      <c r="C120" s="78">
        <f>122.58</f>
        <v>122.58</v>
      </c>
      <c r="D120" s="78">
        <f>297.941</f>
        <v>297.94099999999997</v>
      </c>
      <c r="E120" s="86">
        <f>89.177</f>
        <v>89.177000000000007</v>
      </c>
      <c r="F120" s="78">
        <f>240.302-40-60</f>
        <v>140.30199999999999</v>
      </c>
      <c r="G120" s="80">
        <v>40</v>
      </c>
      <c r="H120" s="78">
        <v>60</v>
      </c>
      <c r="I120" s="78">
        <f t="shared" si="19"/>
        <v>0</v>
      </c>
      <c r="J120" s="80">
        <v>100</v>
      </c>
      <c r="K120" s="80">
        <v>300</v>
      </c>
      <c r="L120" s="78">
        <f t="shared" si="12"/>
        <v>1150</v>
      </c>
      <c r="M120" s="88">
        <v>600</v>
      </c>
      <c r="N120" s="78">
        <f>100</f>
        <v>100</v>
      </c>
      <c r="O120" s="80">
        <v>240</v>
      </c>
      <c r="P120" s="80">
        <v>40</v>
      </c>
      <c r="Q120" s="80">
        <f t="shared" si="13"/>
        <v>315</v>
      </c>
      <c r="R120" s="80">
        <f t="shared" si="14"/>
        <v>100</v>
      </c>
      <c r="S120" s="78">
        <f t="shared" si="15"/>
        <v>695</v>
      </c>
      <c r="T120" s="78">
        <f>50</f>
        <v>50</v>
      </c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</row>
    <row r="121" spans="1:30" ht="15.75" x14ac:dyDescent="0.25">
      <c r="A121" s="16">
        <v>44593</v>
      </c>
      <c r="B121" s="91">
        <v>28</v>
      </c>
      <c r="C121" s="78">
        <f>122.58</f>
        <v>122.58</v>
      </c>
      <c r="D121" s="78">
        <f>297.941</f>
        <v>297.94099999999997</v>
      </c>
      <c r="E121" s="86">
        <f>89.177</f>
        <v>89.177000000000007</v>
      </c>
      <c r="F121" s="78">
        <f>240.302-40-60</f>
        <v>140.30199999999999</v>
      </c>
      <c r="G121" s="80">
        <v>40</v>
      </c>
      <c r="H121" s="78">
        <v>60</v>
      </c>
      <c r="I121" s="78">
        <f t="shared" si="19"/>
        <v>0</v>
      </c>
      <c r="J121" s="80">
        <v>100</v>
      </c>
      <c r="K121" s="80">
        <v>300</v>
      </c>
      <c r="L121" s="78">
        <f t="shared" si="12"/>
        <v>1150</v>
      </c>
      <c r="M121" s="88">
        <v>600</v>
      </c>
      <c r="N121" s="78">
        <f>100</f>
        <v>100</v>
      </c>
      <c r="O121" s="80">
        <v>240</v>
      </c>
      <c r="P121" s="80">
        <v>40</v>
      </c>
      <c r="Q121" s="80">
        <f t="shared" si="13"/>
        <v>315</v>
      </c>
      <c r="R121" s="80">
        <f t="shared" si="14"/>
        <v>100</v>
      </c>
      <c r="S121" s="78">
        <f t="shared" si="15"/>
        <v>695</v>
      </c>
      <c r="T121" s="78">
        <f>50</f>
        <v>50</v>
      </c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</row>
    <row r="122" spans="1:30" ht="15.75" x14ac:dyDescent="0.25">
      <c r="A122" s="16">
        <v>44621</v>
      </c>
      <c r="B122" s="91">
        <v>31</v>
      </c>
      <c r="C122" s="78">
        <f>122.58</f>
        <v>122.58</v>
      </c>
      <c r="D122" s="78">
        <f>297.941</f>
        <v>297.94099999999997</v>
      </c>
      <c r="E122" s="86">
        <f>89.177</f>
        <v>89.177000000000007</v>
      </c>
      <c r="F122" s="78">
        <f>240.302-40-60</f>
        <v>140.30199999999999</v>
      </c>
      <c r="G122" s="80">
        <v>40</v>
      </c>
      <c r="H122" s="78">
        <v>60</v>
      </c>
      <c r="I122" s="78">
        <f t="shared" si="19"/>
        <v>0</v>
      </c>
      <c r="J122" s="80">
        <v>100</v>
      </c>
      <c r="K122" s="80">
        <v>300</v>
      </c>
      <c r="L122" s="78">
        <f t="shared" si="12"/>
        <v>1150</v>
      </c>
      <c r="M122" s="88">
        <v>600</v>
      </c>
      <c r="N122" s="78">
        <f>100</f>
        <v>100</v>
      </c>
      <c r="O122" s="80">
        <v>240</v>
      </c>
      <c r="P122" s="80">
        <v>40</v>
      </c>
      <c r="Q122" s="80">
        <f t="shared" si="13"/>
        <v>315</v>
      </c>
      <c r="R122" s="80">
        <f t="shared" si="14"/>
        <v>100</v>
      </c>
      <c r="S122" s="78">
        <f t="shared" si="15"/>
        <v>695</v>
      </c>
      <c r="T122" s="78">
        <f>50</f>
        <v>50</v>
      </c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</row>
    <row r="123" spans="1:30" ht="15.75" x14ac:dyDescent="0.25">
      <c r="A123" s="16">
        <v>44652</v>
      </c>
      <c r="B123" s="91">
        <v>30</v>
      </c>
      <c r="C123" s="78">
        <f>141.293</f>
        <v>141.29300000000001</v>
      </c>
      <c r="D123" s="78">
        <f>267.993</f>
        <v>267.99299999999999</v>
      </c>
      <c r="E123" s="86">
        <f>115.016</f>
        <v>115.01600000000001</v>
      </c>
      <c r="F123" s="78">
        <f>314.698-40-25-60</f>
        <v>189.69799999999998</v>
      </c>
      <c r="G123" s="80">
        <v>40</v>
      </c>
      <c r="H123" s="78">
        <f t="shared" ref="H123:H129" si="20">25+60</f>
        <v>85</v>
      </c>
      <c r="I123" s="78">
        <f t="shared" si="19"/>
        <v>0</v>
      </c>
      <c r="J123" s="80">
        <v>100</v>
      </c>
      <c r="K123" s="80">
        <v>300</v>
      </c>
      <c r="L123" s="78">
        <f t="shared" si="12"/>
        <v>1239</v>
      </c>
      <c r="M123" s="88">
        <v>600</v>
      </c>
      <c r="N123" s="78">
        <f>100</f>
        <v>100</v>
      </c>
      <c r="O123" s="80">
        <v>240</v>
      </c>
      <c r="P123" s="80">
        <v>160</v>
      </c>
      <c r="Q123" s="80">
        <f t="shared" si="13"/>
        <v>195</v>
      </c>
      <c r="R123" s="80">
        <f t="shared" si="14"/>
        <v>100</v>
      </c>
      <c r="S123" s="78">
        <f t="shared" si="15"/>
        <v>695</v>
      </c>
      <c r="T123" s="78">
        <f>50</f>
        <v>50</v>
      </c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</row>
    <row r="124" spans="1:30" ht="15.75" x14ac:dyDescent="0.25">
      <c r="A124" s="16">
        <v>44682</v>
      </c>
      <c r="B124" s="91">
        <v>31</v>
      </c>
      <c r="C124" s="78">
        <f>194.205</f>
        <v>194.20500000000001</v>
      </c>
      <c r="D124" s="78">
        <f>267.466</f>
        <v>267.46600000000001</v>
      </c>
      <c r="E124" s="86">
        <f>133.845</f>
        <v>133.845</v>
      </c>
      <c r="F124" s="78">
        <f>278.484-40-25-60</f>
        <v>153.48399999999998</v>
      </c>
      <c r="G124" s="80">
        <v>40</v>
      </c>
      <c r="H124" s="78">
        <f t="shared" si="20"/>
        <v>85</v>
      </c>
      <c r="I124" s="78">
        <f t="shared" si="19"/>
        <v>0</v>
      </c>
      <c r="J124" s="80">
        <v>100</v>
      </c>
      <c r="K124" s="80">
        <v>300</v>
      </c>
      <c r="L124" s="78">
        <f t="shared" si="12"/>
        <v>1274</v>
      </c>
      <c r="M124" s="88">
        <v>600</v>
      </c>
      <c r="N124" s="78">
        <f>75</f>
        <v>75</v>
      </c>
      <c r="O124" s="80">
        <v>240</v>
      </c>
      <c r="P124" s="80">
        <v>160</v>
      </c>
      <c r="Q124" s="80">
        <f t="shared" si="13"/>
        <v>195</v>
      </c>
      <c r="R124" s="80">
        <f t="shared" si="14"/>
        <v>100</v>
      </c>
      <c r="S124" s="78">
        <f t="shared" si="15"/>
        <v>695</v>
      </c>
      <c r="T124" s="78">
        <f>50</f>
        <v>50</v>
      </c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</row>
    <row r="125" spans="1:30" ht="15.75" x14ac:dyDescent="0.25">
      <c r="A125" s="16">
        <v>44713</v>
      </c>
      <c r="B125" s="91">
        <v>30</v>
      </c>
      <c r="C125" s="78">
        <f>194.205</f>
        <v>194.20500000000001</v>
      </c>
      <c r="D125" s="78">
        <f>267.466</f>
        <v>267.46600000000001</v>
      </c>
      <c r="E125" s="86">
        <f>133.845</f>
        <v>133.845</v>
      </c>
      <c r="F125" s="78">
        <f>278.484-40-25-60</f>
        <v>153.48399999999998</v>
      </c>
      <c r="G125" s="80">
        <v>40</v>
      </c>
      <c r="H125" s="78">
        <f t="shared" si="20"/>
        <v>85</v>
      </c>
      <c r="I125" s="78">
        <f t="shared" si="19"/>
        <v>0</v>
      </c>
      <c r="J125" s="80">
        <v>100</v>
      </c>
      <c r="K125" s="80">
        <v>300</v>
      </c>
      <c r="L125" s="78">
        <f t="shared" si="12"/>
        <v>1274</v>
      </c>
      <c r="M125" s="88">
        <v>600</v>
      </c>
      <c r="N125" s="78">
        <f>30</f>
        <v>30</v>
      </c>
      <c r="O125" s="80">
        <v>240</v>
      </c>
      <c r="P125" s="80">
        <v>160</v>
      </c>
      <c r="Q125" s="80">
        <f t="shared" si="13"/>
        <v>195</v>
      </c>
      <c r="R125" s="80">
        <f t="shared" si="14"/>
        <v>100</v>
      </c>
      <c r="S125" s="78">
        <f t="shared" si="15"/>
        <v>695</v>
      </c>
      <c r="T125" s="78">
        <f>50</f>
        <v>50</v>
      </c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</row>
    <row r="126" spans="1:30" ht="15.75" x14ac:dyDescent="0.25">
      <c r="A126" s="16">
        <v>44743</v>
      </c>
      <c r="B126" s="91">
        <v>31</v>
      </c>
      <c r="C126" s="78">
        <f>194.205</f>
        <v>194.20500000000001</v>
      </c>
      <c r="D126" s="78">
        <f>267.466</f>
        <v>267.46600000000001</v>
      </c>
      <c r="E126" s="86">
        <f>133.845</f>
        <v>133.845</v>
      </c>
      <c r="F126" s="78">
        <f>278.484-40-25-60</f>
        <v>153.48399999999998</v>
      </c>
      <c r="G126" s="80">
        <v>40</v>
      </c>
      <c r="H126" s="78">
        <f t="shared" si="20"/>
        <v>85</v>
      </c>
      <c r="I126" s="78">
        <f t="shared" si="19"/>
        <v>0</v>
      </c>
      <c r="J126" s="80">
        <v>100</v>
      </c>
      <c r="K126" s="80">
        <v>300</v>
      </c>
      <c r="L126" s="78">
        <f t="shared" si="12"/>
        <v>1274</v>
      </c>
      <c r="M126" s="88">
        <v>600</v>
      </c>
      <c r="N126" s="78">
        <f>30</f>
        <v>30</v>
      </c>
      <c r="O126" s="80">
        <v>240</v>
      </c>
      <c r="P126" s="80">
        <v>160</v>
      </c>
      <c r="Q126" s="80">
        <f t="shared" si="13"/>
        <v>195</v>
      </c>
      <c r="R126" s="80">
        <f t="shared" si="14"/>
        <v>100</v>
      </c>
      <c r="S126" s="78">
        <f t="shared" si="15"/>
        <v>695</v>
      </c>
      <c r="T126" s="78">
        <f>0</f>
        <v>0</v>
      </c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</row>
    <row r="127" spans="1:30" ht="15.75" x14ac:dyDescent="0.25">
      <c r="A127" s="16">
        <v>44774</v>
      </c>
      <c r="B127" s="91">
        <v>31</v>
      </c>
      <c r="C127" s="78">
        <f>194.205</f>
        <v>194.20500000000001</v>
      </c>
      <c r="D127" s="78">
        <f>267.466</f>
        <v>267.46600000000001</v>
      </c>
      <c r="E127" s="86">
        <f>133.845</f>
        <v>133.845</v>
      </c>
      <c r="F127" s="78">
        <f>278.484-40-25-60</f>
        <v>153.48399999999998</v>
      </c>
      <c r="G127" s="80">
        <v>40</v>
      </c>
      <c r="H127" s="78">
        <f t="shared" si="20"/>
        <v>85</v>
      </c>
      <c r="I127" s="78">
        <f t="shared" si="19"/>
        <v>0</v>
      </c>
      <c r="J127" s="80">
        <v>100</v>
      </c>
      <c r="K127" s="80">
        <v>300</v>
      </c>
      <c r="L127" s="78">
        <f t="shared" si="12"/>
        <v>1274</v>
      </c>
      <c r="M127" s="88">
        <v>600</v>
      </c>
      <c r="N127" s="78">
        <f>30</f>
        <v>30</v>
      </c>
      <c r="O127" s="80">
        <v>240</v>
      </c>
      <c r="P127" s="80">
        <v>160</v>
      </c>
      <c r="Q127" s="80">
        <f t="shared" si="13"/>
        <v>195</v>
      </c>
      <c r="R127" s="80">
        <f t="shared" si="14"/>
        <v>100</v>
      </c>
      <c r="S127" s="78">
        <f t="shared" si="15"/>
        <v>695</v>
      </c>
      <c r="T127" s="78">
        <f>0</f>
        <v>0</v>
      </c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</row>
    <row r="128" spans="1:30" ht="15.75" x14ac:dyDescent="0.25">
      <c r="A128" s="16">
        <v>44805</v>
      </c>
      <c r="B128" s="91">
        <v>30</v>
      </c>
      <c r="C128" s="78">
        <f>194.205</f>
        <v>194.20500000000001</v>
      </c>
      <c r="D128" s="78">
        <f>267.466</f>
        <v>267.46600000000001</v>
      </c>
      <c r="E128" s="86">
        <f>133.845</f>
        <v>133.845</v>
      </c>
      <c r="F128" s="78">
        <f>278.484-40-25-60</f>
        <v>153.48399999999998</v>
      </c>
      <c r="G128" s="80">
        <v>40</v>
      </c>
      <c r="H128" s="78">
        <f t="shared" si="20"/>
        <v>85</v>
      </c>
      <c r="I128" s="78">
        <f t="shared" si="19"/>
        <v>0</v>
      </c>
      <c r="J128" s="80">
        <v>100</v>
      </c>
      <c r="K128" s="80">
        <v>300</v>
      </c>
      <c r="L128" s="78">
        <f t="shared" si="12"/>
        <v>1274</v>
      </c>
      <c r="M128" s="88">
        <v>600</v>
      </c>
      <c r="N128" s="78">
        <f>30</f>
        <v>30</v>
      </c>
      <c r="O128" s="80">
        <v>240</v>
      </c>
      <c r="P128" s="80">
        <v>160</v>
      </c>
      <c r="Q128" s="80">
        <f t="shared" si="13"/>
        <v>195</v>
      </c>
      <c r="R128" s="80">
        <f t="shared" si="14"/>
        <v>100</v>
      </c>
      <c r="S128" s="78">
        <f t="shared" si="15"/>
        <v>695</v>
      </c>
      <c r="T128" s="78">
        <f>0</f>
        <v>0</v>
      </c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</row>
    <row r="129" spans="1:30" ht="15.75" x14ac:dyDescent="0.25">
      <c r="A129" s="16">
        <v>44835</v>
      </c>
      <c r="B129" s="91">
        <v>31</v>
      </c>
      <c r="C129" s="78">
        <f>131.881</f>
        <v>131.881</v>
      </c>
      <c r="D129" s="78">
        <f>277.167</f>
        <v>277.16699999999997</v>
      </c>
      <c r="E129" s="86">
        <f>79.08</f>
        <v>79.08</v>
      </c>
      <c r="F129" s="78">
        <f>350.872-40-25-60</f>
        <v>225.87200000000001</v>
      </c>
      <c r="G129" s="80">
        <v>40</v>
      </c>
      <c r="H129" s="78">
        <f t="shared" si="20"/>
        <v>85</v>
      </c>
      <c r="I129" s="78">
        <f t="shared" si="19"/>
        <v>0</v>
      </c>
      <c r="J129" s="80">
        <v>100</v>
      </c>
      <c r="K129" s="80">
        <v>300</v>
      </c>
      <c r="L129" s="78">
        <f t="shared" si="12"/>
        <v>1239</v>
      </c>
      <c r="M129" s="88">
        <v>600</v>
      </c>
      <c r="N129" s="78">
        <f>75</f>
        <v>75</v>
      </c>
      <c r="O129" s="80">
        <v>240</v>
      </c>
      <c r="P129" s="80">
        <v>160</v>
      </c>
      <c r="Q129" s="80">
        <f t="shared" si="13"/>
        <v>195</v>
      </c>
      <c r="R129" s="80">
        <f t="shared" si="14"/>
        <v>100</v>
      </c>
      <c r="S129" s="78">
        <f t="shared" si="15"/>
        <v>695</v>
      </c>
      <c r="T129" s="78">
        <f>0</f>
        <v>0</v>
      </c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</row>
    <row r="130" spans="1:30" ht="15.75" x14ac:dyDescent="0.25">
      <c r="A130" s="16">
        <v>44866</v>
      </c>
      <c r="B130" s="91">
        <v>30</v>
      </c>
      <c r="C130" s="78">
        <f>122.58</f>
        <v>122.58</v>
      </c>
      <c r="D130" s="78">
        <f>297.941</f>
        <v>297.94099999999997</v>
      </c>
      <c r="E130" s="86">
        <f>89.177</f>
        <v>89.177000000000007</v>
      </c>
      <c r="F130" s="78">
        <f>240.302-40-60</f>
        <v>140.30199999999999</v>
      </c>
      <c r="G130" s="80">
        <v>40</v>
      </c>
      <c r="H130" s="78">
        <v>60</v>
      </c>
      <c r="I130" s="78">
        <f t="shared" si="19"/>
        <v>0</v>
      </c>
      <c r="J130" s="80">
        <v>100</v>
      </c>
      <c r="K130" s="80">
        <v>300</v>
      </c>
      <c r="L130" s="78">
        <f t="shared" si="12"/>
        <v>1150</v>
      </c>
      <c r="M130" s="88">
        <v>600</v>
      </c>
      <c r="N130" s="78">
        <f>100</f>
        <v>100</v>
      </c>
      <c r="O130" s="80">
        <v>240</v>
      </c>
      <c r="P130" s="80">
        <v>40</v>
      </c>
      <c r="Q130" s="80">
        <f t="shared" si="13"/>
        <v>315</v>
      </c>
      <c r="R130" s="80">
        <f t="shared" si="14"/>
        <v>100</v>
      </c>
      <c r="S130" s="78">
        <f t="shared" si="15"/>
        <v>695</v>
      </c>
      <c r="T130" s="78">
        <f>50</f>
        <v>50</v>
      </c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</row>
    <row r="131" spans="1:30" ht="15.75" x14ac:dyDescent="0.25">
      <c r="A131" s="16">
        <v>44896</v>
      </c>
      <c r="B131" s="91">
        <v>31</v>
      </c>
      <c r="C131" s="78">
        <f>122.58</f>
        <v>122.58</v>
      </c>
      <c r="D131" s="78">
        <f>297.941</f>
        <v>297.94099999999997</v>
      </c>
      <c r="E131" s="86">
        <f>89.177</f>
        <v>89.177000000000007</v>
      </c>
      <c r="F131" s="78">
        <f>240.302-40-60</f>
        <v>140.30199999999999</v>
      </c>
      <c r="G131" s="80">
        <v>40</v>
      </c>
      <c r="H131" s="78">
        <v>60</v>
      </c>
      <c r="I131" s="78">
        <f t="shared" si="19"/>
        <v>0</v>
      </c>
      <c r="J131" s="80">
        <v>100</v>
      </c>
      <c r="K131" s="80">
        <v>300</v>
      </c>
      <c r="L131" s="78">
        <f t="shared" si="12"/>
        <v>1150</v>
      </c>
      <c r="M131" s="88">
        <v>600</v>
      </c>
      <c r="N131" s="78">
        <f>100</f>
        <v>100</v>
      </c>
      <c r="O131" s="80">
        <v>240</v>
      </c>
      <c r="P131" s="80">
        <v>40</v>
      </c>
      <c r="Q131" s="80">
        <f t="shared" si="13"/>
        <v>315</v>
      </c>
      <c r="R131" s="80">
        <f t="shared" si="14"/>
        <v>100</v>
      </c>
      <c r="S131" s="78">
        <f t="shared" si="15"/>
        <v>695</v>
      </c>
      <c r="T131" s="78">
        <f>50</f>
        <v>50</v>
      </c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</row>
    <row r="132" spans="1:30" ht="15.75" x14ac:dyDescent="0.25">
      <c r="A132" s="16">
        <v>44927</v>
      </c>
      <c r="B132" s="91">
        <v>31</v>
      </c>
      <c r="C132" s="78">
        <f>122.58</f>
        <v>122.58</v>
      </c>
      <c r="D132" s="78">
        <f>297.941</f>
        <v>297.94099999999997</v>
      </c>
      <c r="E132" s="86">
        <f>89.177</f>
        <v>89.177000000000007</v>
      </c>
      <c r="F132" s="78">
        <f>240.302-40-60</f>
        <v>140.30199999999999</v>
      </c>
      <c r="G132" s="80">
        <v>40</v>
      </c>
      <c r="H132" s="78">
        <v>60</v>
      </c>
      <c r="I132" s="78">
        <f t="shared" si="19"/>
        <v>0</v>
      </c>
      <c r="J132" s="80">
        <v>100</v>
      </c>
      <c r="K132" s="80">
        <v>300</v>
      </c>
      <c r="L132" s="78">
        <f t="shared" si="12"/>
        <v>1150</v>
      </c>
      <c r="M132" s="88">
        <v>600</v>
      </c>
      <c r="N132" s="78">
        <f>100</f>
        <v>100</v>
      </c>
      <c r="O132" s="80">
        <v>240</v>
      </c>
      <c r="P132" s="80">
        <v>40</v>
      </c>
      <c r="Q132" s="80">
        <f t="shared" si="13"/>
        <v>315</v>
      </c>
      <c r="R132" s="80">
        <f t="shared" si="14"/>
        <v>100</v>
      </c>
      <c r="S132" s="78">
        <f t="shared" si="15"/>
        <v>695</v>
      </c>
      <c r="T132" s="78">
        <f>50</f>
        <v>50</v>
      </c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</row>
    <row r="133" spans="1:30" ht="15.75" x14ac:dyDescent="0.25">
      <c r="A133" s="16">
        <v>44958</v>
      </c>
      <c r="B133" s="91">
        <v>28</v>
      </c>
      <c r="C133" s="78">
        <f>122.58</f>
        <v>122.58</v>
      </c>
      <c r="D133" s="78">
        <f>297.941</f>
        <v>297.94099999999997</v>
      </c>
      <c r="E133" s="86">
        <f>89.177</f>
        <v>89.177000000000007</v>
      </c>
      <c r="F133" s="78">
        <f>240.302-40-60</f>
        <v>140.30199999999999</v>
      </c>
      <c r="G133" s="80">
        <v>40</v>
      </c>
      <c r="H133" s="78">
        <v>60</v>
      </c>
      <c r="I133" s="78">
        <f t="shared" si="19"/>
        <v>0</v>
      </c>
      <c r="J133" s="80">
        <v>100</v>
      </c>
      <c r="K133" s="80">
        <v>300</v>
      </c>
      <c r="L133" s="78">
        <f t="shared" si="12"/>
        <v>1150</v>
      </c>
      <c r="M133" s="88">
        <v>600</v>
      </c>
      <c r="N133" s="78">
        <f>100</f>
        <v>100</v>
      </c>
      <c r="O133" s="80">
        <v>240</v>
      </c>
      <c r="P133" s="80">
        <v>40</v>
      </c>
      <c r="Q133" s="80">
        <f t="shared" si="13"/>
        <v>315</v>
      </c>
      <c r="R133" s="80">
        <f t="shared" si="14"/>
        <v>100</v>
      </c>
      <c r="S133" s="78">
        <f t="shared" si="15"/>
        <v>695</v>
      </c>
      <c r="T133" s="78">
        <f>50</f>
        <v>50</v>
      </c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</row>
    <row r="134" spans="1:30" ht="15.75" x14ac:dyDescent="0.25">
      <c r="A134" s="16">
        <v>44986</v>
      </c>
      <c r="B134" s="91">
        <v>31</v>
      </c>
      <c r="C134" s="78">
        <f>122.58</f>
        <v>122.58</v>
      </c>
      <c r="D134" s="78">
        <f>297.941</f>
        <v>297.94099999999997</v>
      </c>
      <c r="E134" s="86">
        <f>89.177</f>
        <v>89.177000000000007</v>
      </c>
      <c r="F134" s="78">
        <f>240.302-40-60</f>
        <v>140.30199999999999</v>
      </c>
      <c r="G134" s="80">
        <v>40</v>
      </c>
      <c r="H134" s="78">
        <v>60</v>
      </c>
      <c r="I134" s="78">
        <f t="shared" si="19"/>
        <v>0</v>
      </c>
      <c r="J134" s="80">
        <v>100</v>
      </c>
      <c r="K134" s="80">
        <v>300</v>
      </c>
      <c r="L134" s="78">
        <f t="shared" si="12"/>
        <v>1150</v>
      </c>
      <c r="M134" s="88">
        <v>600</v>
      </c>
      <c r="N134" s="78">
        <f>100</f>
        <v>100</v>
      </c>
      <c r="O134" s="80">
        <v>240</v>
      </c>
      <c r="P134" s="80">
        <v>40</v>
      </c>
      <c r="Q134" s="80">
        <f t="shared" si="13"/>
        <v>315</v>
      </c>
      <c r="R134" s="80">
        <f t="shared" si="14"/>
        <v>100</v>
      </c>
      <c r="S134" s="78">
        <f t="shared" si="15"/>
        <v>695</v>
      </c>
      <c r="T134" s="78">
        <f>50</f>
        <v>50</v>
      </c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</row>
    <row r="135" spans="1:30" ht="15.75" x14ac:dyDescent="0.25">
      <c r="A135" s="16">
        <v>45017</v>
      </c>
      <c r="B135" s="91">
        <v>30</v>
      </c>
      <c r="C135" s="78">
        <f>141.293</f>
        <v>141.29300000000001</v>
      </c>
      <c r="D135" s="78">
        <f>267.993</f>
        <v>267.99299999999999</v>
      </c>
      <c r="E135" s="86">
        <f>115.016</f>
        <v>115.01600000000001</v>
      </c>
      <c r="F135" s="78">
        <f>314.698-40-25-60</f>
        <v>189.69799999999998</v>
      </c>
      <c r="G135" s="80">
        <v>40</v>
      </c>
      <c r="H135" s="78">
        <f t="shared" ref="H135:H141" si="21">25+60</f>
        <v>85</v>
      </c>
      <c r="I135" s="78">
        <f t="shared" si="19"/>
        <v>0</v>
      </c>
      <c r="J135" s="80">
        <v>100</v>
      </c>
      <c r="K135" s="80">
        <v>300</v>
      </c>
      <c r="L135" s="78">
        <f t="shared" si="12"/>
        <v>1239</v>
      </c>
      <c r="M135" s="88">
        <v>600</v>
      </c>
      <c r="N135" s="78">
        <f>100</f>
        <v>100</v>
      </c>
      <c r="O135" s="80">
        <v>240</v>
      </c>
      <c r="P135" s="80">
        <v>160</v>
      </c>
      <c r="Q135" s="80">
        <f t="shared" si="13"/>
        <v>195</v>
      </c>
      <c r="R135" s="80">
        <f t="shared" si="14"/>
        <v>100</v>
      </c>
      <c r="S135" s="78">
        <f t="shared" si="15"/>
        <v>695</v>
      </c>
      <c r="T135" s="78">
        <f>50</f>
        <v>50</v>
      </c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</row>
    <row r="136" spans="1:30" ht="15.75" x14ac:dyDescent="0.25">
      <c r="A136" s="16">
        <v>45047</v>
      </c>
      <c r="B136" s="91">
        <v>31</v>
      </c>
      <c r="C136" s="78">
        <f>194.205</f>
        <v>194.20500000000001</v>
      </c>
      <c r="D136" s="78">
        <f>267.466</f>
        <v>267.46600000000001</v>
      </c>
      <c r="E136" s="86">
        <f>133.845</f>
        <v>133.845</v>
      </c>
      <c r="F136" s="78">
        <f>278.484-40-25-60</f>
        <v>153.48399999999998</v>
      </c>
      <c r="G136" s="80">
        <v>40</v>
      </c>
      <c r="H136" s="78">
        <f t="shared" si="21"/>
        <v>85</v>
      </c>
      <c r="I136" s="78">
        <f t="shared" si="19"/>
        <v>0</v>
      </c>
      <c r="J136" s="80">
        <v>100</v>
      </c>
      <c r="K136" s="80">
        <v>300</v>
      </c>
      <c r="L136" s="78">
        <f t="shared" si="12"/>
        <v>1274</v>
      </c>
      <c r="M136" s="88">
        <v>600</v>
      </c>
      <c r="N136" s="78">
        <f>75</f>
        <v>75</v>
      </c>
      <c r="O136" s="80">
        <v>240</v>
      </c>
      <c r="P136" s="80">
        <v>160</v>
      </c>
      <c r="Q136" s="80">
        <f t="shared" si="13"/>
        <v>195</v>
      </c>
      <c r="R136" s="80">
        <f t="shared" si="14"/>
        <v>100</v>
      </c>
      <c r="S136" s="78">
        <f t="shared" si="15"/>
        <v>695</v>
      </c>
      <c r="T136" s="78">
        <f>50</f>
        <v>50</v>
      </c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</row>
    <row r="137" spans="1:30" ht="15.75" x14ac:dyDescent="0.25">
      <c r="A137" s="16">
        <v>45078</v>
      </c>
      <c r="B137" s="91">
        <v>30</v>
      </c>
      <c r="C137" s="78">
        <f>194.205</f>
        <v>194.20500000000001</v>
      </c>
      <c r="D137" s="78">
        <f>267.466</f>
        <v>267.46600000000001</v>
      </c>
      <c r="E137" s="86">
        <f>133.845</f>
        <v>133.845</v>
      </c>
      <c r="F137" s="78">
        <f>278.484-40-25-60</f>
        <v>153.48399999999998</v>
      </c>
      <c r="G137" s="80">
        <v>40</v>
      </c>
      <c r="H137" s="78">
        <f t="shared" si="21"/>
        <v>85</v>
      </c>
      <c r="I137" s="78">
        <f t="shared" si="19"/>
        <v>0</v>
      </c>
      <c r="J137" s="80">
        <v>100</v>
      </c>
      <c r="K137" s="80">
        <v>300</v>
      </c>
      <c r="L137" s="78">
        <f t="shared" si="12"/>
        <v>1274</v>
      </c>
      <c r="M137" s="88">
        <v>600</v>
      </c>
      <c r="N137" s="78">
        <f>30</f>
        <v>30</v>
      </c>
      <c r="O137" s="80">
        <v>240</v>
      </c>
      <c r="P137" s="80">
        <v>160</v>
      </c>
      <c r="Q137" s="80">
        <f t="shared" si="13"/>
        <v>195</v>
      </c>
      <c r="R137" s="80">
        <f t="shared" si="14"/>
        <v>100</v>
      </c>
      <c r="S137" s="78">
        <f t="shared" si="15"/>
        <v>695</v>
      </c>
      <c r="T137" s="78">
        <f>50</f>
        <v>50</v>
      </c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</row>
    <row r="138" spans="1:30" ht="15.75" x14ac:dyDescent="0.25">
      <c r="A138" s="16">
        <v>45108</v>
      </c>
      <c r="B138" s="91">
        <v>31</v>
      </c>
      <c r="C138" s="78">
        <f>194.205</f>
        <v>194.20500000000001</v>
      </c>
      <c r="D138" s="78">
        <f>267.466</f>
        <v>267.46600000000001</v>
      </c>
      <c r="E138" s="86">
        <f>133.845</f>
        <v>133.845</v>
      </c>
      <c r="F138" s="78">
        <f>278.484-40-25-60</f>
        <v>153.48399999999998</v>
      </c>
      <c r="G138" s="80">
        <v>40</v>
      </c>
      <c r="H138" s="78">
        <f t="shared" si="21"/>
        <v>85</v>
      </c>
      <c r="I138" s="78">
        <f t="shared" si="19"/>
        <v>0</v>
      </c>
      <c r="J138" s="80">
        <v>100</v>
      </c>
      <c r="K138" s="80">
        <v>300</v>
      </c>
      <c r="L138" s="78">
        <f t="shared" si="12"/>
        <v>1274</v>
      </c>
      <c r="M138" s="88">
        <v>600</v>
      </c>
      <c r="N138" s="78">
        <f>30</f>
        <v>30</v>
      </c>
      <c r="O138" s="80">
        <v>240</v>
      </c>
      <c r="P138" s="80">
        <v>160</v>
      </c>
      <c r="Q138" s="80">
        <f t="shared" si="13"/>
        <v>195</v>
      </c>
      <c r="R138" s="80">
        <f t="shared" si="14"/>
        <v>100</v>
      </c>
      <c r="S138" s="78">
        <f t="shared" si="15"/>
        <v>695</v>
      </c>
      <c r="T138" s="78">
        <f>0</f>
        <v>0</v>
      </c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</row>
    <row r="139" spans="1:30" ht="15.75" x14ac:dyDescent="0.25">
      <c r="A139" s="16">
        <v>45139</v>
      </c>
      <c r="B139" s="91">
        <v>31</v>
      </c>
      <c r="C139" s="78">
        <f>194.205</f>
        <v>194.20500000000001</v>
      </c>
      <c r="D139" s="78">
        <f>267.466</f>
        <v>267.46600000000001</v>
      </c>
      <c r="E139" s="86">
        <f>133.845</f>
        <v>133.845</v>
      </c>
      <c r="F139" s="78">
        <f>278.484-40-25-60</f>
        <v>153.48399999999998</v>
      </c>
      <c r="G139" s="80">
        <v>40</v>
      </c>
      <c r="H139" s="78">
        <f t="shared" si="21"/>
        <v>85</v>
      </c>
      <c r="I139" s="78">
        <f t="shared" si="19"/>
        <v>0</v>
      </c>
      <c r="J139" s="80">
        <v>100</v>
      </c>
      <c r="K139" s="80">
        <v>300</v>
      </c>
      <c r="L139" s="78">
        <f t="shared" si="12"/>
        <v>1274</v>
      </c>
      <c r="M139" s="88">
        <v>600</v>
      </c>
      <c r="N139" s="78">
        <f>30</f>
        <v>30</v>
      </c>
      <c r="O139" s="80">
        <v>240</v>
      </c>
      <c r="P139" s="80">
        <v>160</v>
      </c>
      <c r="Q139" s="80">
        <f t="shared" si="13"/>
        <v>195</v>
      </c>
      <c r="R139" s="80">
        <f t="shared" si="14"/>
        <v>100</v>
      </c>
      <c r="S139" s="78">
        <f t="shared" si="15"/>
        <v>695</v>
      </c>
      <c r="T139" s="78">
        <f>0</f>
        <v>0</v>
      </c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</row>
    <row r="140" spans="1:30" ht="15.75" x14ac:dyDescent="0.25">
      <c r="A140" s="16">
        <v>45170</v>
      </c>
      <c r="B140" s="91">
        <v>30</v>
      </c>
      <c r="C140" s="78">
        <f>194.205</f>
        <v>194.20500000000001</v>
      </c>
      <c r="D140" s="78">
        <f>267.466</f>
        <v>267.46600000000001</v>
      </c>
      <c r="E140" s="86">
        <f>133.845</f>
        <v>133.845</v>
      </c>
      <c r="F140" s="78">
        <f>278.484-40-25-60</f>
        <v>153.48399999999998</v>
      </c>
      <c r="G140" s="80">
        <v>40</v>
      </c>
      <c r="H140" s="78">
        <f t="shared" si="21"/>
        <v>85</v>
      </c>
      <c r="I140" s="78">
        <f t="shared" si="19"/>
        <v>0</v>
      </c>
      <c r="J140" s="80">
        <v>100</v>
      </c>
      <c r="K140" s="80">
        <v>300</v>
      </c>
      <c r="L140" s="78">
        <f t="shared" si="12"/>
        <v>1274</v>
      </c>
      <c r="M140" s="88">
        <v>600</v>
      </c>
      <c r="N140" s="78">
        <f>30</f>
        <v>30</v>
      </c>
      <c r="O140" s="80">
        <v>240</v>
      </c>
      <c r="P140" s="80">
        <v>160</v>
      </c>
      <c r="Q140" s="80">
        <f t="shared" si="13"/>
        <v>195</v>
      </c>
      <c r="R140" s="80">
        <f t="shared" si="14"/>
        <v>100</v>
      </c>
      <c r="S140" s="78">
        <f t="shared" si="15"/>
        <v>695</v>
      </c>
      <c r="T140" s="78">
        <f>0</f>
        <v>0</v>
      </c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</row>
    <row r="141" spans="1:30" ht="15.75" x14ac:dyDescent="0.25">
      <c r="A141" s="16">
        <v>45200</v>
      </c>
      <c r="B141" s="91">
        <v>31</v>
      </c>
      <c r="C141" s="78">
        <f>131.881</f>
        <v>131.881</v>
      </c>
      <c r="D141" s="78">
        <f>277.167</f>
        <v>277.16699999999997</v>
      </c>
      <c r="E141" s="86">
        <f>79.08</f>
        <v>79.08</v>
      </c>
      <c r="F141" s="78">
        <f>350.872-40-25-60</f>
        <v>225.87200000000001</v>
      </c>
      <c r="G141" s="80">
        <v>40</v>
      </c>
      <c r="H141" s="78">
        <f t="shared" si="21"/>
        <v>85</v>
      </c>
      <c r="I141" s="78">
        <f t="shared" si="19"/>
        <v>0</v>
      </c>
      <c r="J141" s="80">
        <v>100</v>
      </c>
      <c r="K141" s="80">
        <v>300</v>
      </c>
      <c r="L141" s="78">
        <f t="shared" si="12"/>
        <v>1239</v>
      </c>
      <c r="M141" s="88">
        <v>600</v>
      </c>
      <c r="N141" s="78">
        <f>75</f>
        <v>75</v>
      </c>
      <c r="O141" s="80">
        <v>240</v>
      </c>
      <c r="P141" s="80">
        <v>160</v>
      </c>
      <c r="Q141" s="80">
        <f t="shared" si="13"/>
        <v>195</v>
      </c>
      <c r="R141" s="80">
        <f t="shared" si="14"/>
        <v>100</v>
      </c>
      <c r="S141" s="78">
        <f t="shared" si="15"/>
        <v>695</v>
      </c>
      <c r="T141" s="78">
        <f>0</f>
        <v>0</v>
      </c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</row>
    <row r="142" spans="1:30" ht="15.75" x14ac:dyDescent="0.25">
      <c r="A142" s="16">
        <v>45231</v>
      </c>
      <c r="B142" s="91">
        <v>30</v>
      </c>
      <c r="C142" s="78">
        <f>122.58</f>
        <v>122.58</v>
      </c>
      <c r="D142" s="78">
        <f>297.941</f>
        <v>297.94099999999997</v>
      </c>
      <c r="E142" s="86">
        <f>89.177</f>
        <v>89.177000000000007</v>
      </c>
      <c r="F142" s="78">
        <f>240.302-40-60</f>
        <v>140.30199999999999</v>
      </c>
      <c r="G142" s="80">
        <v>40</v>
      </c>
      <c r="H142" s="78">
        <v>60</v>
      </c>
      <c r="I142" s="78">
        <f t="shared" si="19"/>
        <v>0</v>
      </c>
      <c r="J142" s="80">
        <v>100</v>
      </c>
      <c r="K142" s="80">
        <v>300</v>
      </c>
      <c r="L142" s="78">
        <f t="shared" ref="L142:L205" si="22">SUM(C142:K142)</f>
        <v>1150</v>
      </c>
      <c r="M142" s="88">
        <v>600</v>
      </c>
      <c r="N142" s="78">
        <f>100</f>
        <v>100</v>
      </c>
      <c r="O142" s="80">
        <v>240</v>
      </c>
      <c r="P142" s="80">
        <v>40</v>
      </c>
      <c r="Q142" s="80">
        <f t="shared" ref="Q142:Q205" si="23">695-R142-O142-P142</f>
        <v>315</v>
      </c>
      <c r="R142" s="80">
        <f t="shared" ref="R142:R205" si="24">200-J142</f>
        <v>100</v>
      </c>
      <c r="S142" s="78">
        <f t="shared" ref="S142:S205" si="25">SUM(O142:R142)</f>
        <v>695</v>
      </c>
      <c r="T142" s="78">
        <f>50</f>
        <v>50</v>
      </c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</row>
    <row r="143" spans="1:30" ht="15.75" x14ac:dyDescent="0.25">
      <c r="A143" s="16">
        <v>45261</v>
      </c>
      <c r="B143" s="91">
        <v>31</v>
      </c>
      <c r="C143" s="78">
        <f>122.58</f>
        <v>122.58</v>
      </c>
      <c r="D143" s="78">
        <f>297.941</f>
        <v>297.94099999999997</v>
      </c>
      <c r="E143" s="86">
        <f>89.177</f>
        <v>89.177000000000007</v>
      </c>
      <c r="F143" s="78">
        <f>240.302-40-60</f>
        <v>140.30199999999999</v>
      </c>
      <c r="G143" s="80">
        <v>40</v>
      </c>
      <c r="H143" s="78">
        <v>60</v>
      </c>
      <c r="I143" s="78">
        <f t="shared" si="19"/>
        <v>0</v>
      </c>
      <c r="J143" s="80">
        <v>100</v>
      </c>
      <c r="K143" s="80">
        <v>300</v>
      </c>
      <c r="L143" s="78">
        <f t="shared" si="22"/>
        <v>1150</v>
      </c>
      <c r="M143" s="88">
        <v>600</v>
      </c>
      <c r="N143" s="78">
        <f>100</f>
        <v>100</v>
      </c>
      <c r="O143" s="80">
        <v>240</v>
      </c>
      <c r="P143" s="80">
        <v>40</v>
      </c>
      <c r="Q143" s="80">
        <f t="shared" si="23"/>
        <v>315</v>
      </c>
      <c r="R143" s="80">
        <f t="shared" si="24"/>
        <v>100</v>
      </c>
      <c r="S143" s="78">
        <f t="shared" si="25"/>
        <v>695</v>
      </c>
      <c r="T143" s="78">
        <f>50</f>
        <v>50</v>
      </c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</row>
    <row r="144" spans="1:30" ht="15.75" x14ac:dyDescent="0.25">
      <c r="A144" s="16">
        <v>45292</v>
      </c>
      <c r="B144" s="91">
        <v>31</v>
      </c>
      <c r="C144" s="78">
        <f>122.58</f>
        <v>122.58</v>
      </c>
      <c r="D144" s="78">
        <f>297.941</f>
        <v>297.94099999999997</v>
      </c>
      <c r="E144" s="86">
        <f>89.177</f>
        <v>89.177000000000007</v>
      </c>
      <c r="F144" s="78">
        <f>240.302-40-60</f>
        <v>140.30199999999999</v>
      </c>
      <c r="G144" s="80">
        <v>40</v>
      </c>
      <c r="H144" s="78">
        <v>60</v>
      </c>
      <c r="I144" s="78">
        <f t="shared" si="19"/>
        <v>0</v>
      </c>
      <c r="J144" s="80">
        <v>100</v>
      </c>
      <c r="K144" s="80">
        <v>300</v>
      </c>
      <c r="L144" s="78">
        <f t="shared" si="22"/>
        <v>1150</v>
      </c>
      <c r="M144" s="88">
        <v>600</v>
      </c>
      <c r="N144" s="78">
        <f>100</f>
        <v>100</v>
      </c>
      <c r="O144" s="80">
        <v>240</v>
      </c>
      <c r="P144" s="80">
        <v>40</v>
      </c>
      <c r="Q144" s="80">
        <f t="shared" si="23"/>
        <v>315</v>
      </c>
      <c r="R144" s="80">
        <f t="shared" si="24"/>
        <v>100</v>
      </c>
      <c r="S144" s="78">
        <f t="shared" si="25"/>
        <v>695</v>
      </c>
      <c r="T144" s="78">
        <f>50</f>
        <v>50</v>
      </c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</row>
    <row r="145" spans="1:30" ht="15.75" x14ac:dyDescent="0.25">
      <c r="A145" s="16">
        <v>45323</v>
      </c>
      <c r="B145" s="91">
        <v>29</v>
      </c>
      <c r="C145" s="78">
        <f>122.58</f>
        <v>122.58</v>
      </c>
      <c r="D145" s="78">
        <f>297.941</f>
        <v>297.94099999999997</v>
      </c>
      <c r="E145" s="86">
        <f>89.177</f>
        <v>89.177000000000007</v>
      </c>
      <c r="F145" s="78">
        <f>240.302-40-60</f>
        <v>140.30199999999999</v>
      </c>
      <c r="G145" s="80">
        <v>40</v>
      </c>
      <c r="H145" s="78">
        <v>60</v>
      </c>
      <c r="I145" s="78">
        <f t="shared" si="19"/>
        <v>0</v>
      </c>
      <c r="J145" s="80">
        <v>100</v>
      </c>
      <c r="K145" s="80">
        <v>300</v>
      </c>
      <c r="L145" s="78">
        <f t="shared" si="22"/>
        <v>1150</v>
      </c>
      <c r="M145" s="88">
        <v>600</v>
      </c>
      <c r="N145" s="78">
        <f>100</f>
        <v>100</v>
      </c>
      <c r="O145" s="80">
        <v>240</v>
      </c>
      <c r="P145" s="80">
        <v>40</v>
      </c>
      <c r="Q145" s="80">
        <f t="shared" si="23"/>
        <v>315</v>
      </c>
      <c r="R145" s="80">
        <f t="shared" si="24"/>
        <v>100</v>
      </c>
      <c r="S145" s="78">
        <f t="shared" si="25"/>
        <v>695</v>
      </c>
      <c r="T145" s="78">
        <f>50</f>
        <v>50</v>
      </c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</row>
    <row r="146" spans="1:30" ht="15.75" x14ac:dyDescent="0.25">
      <c r="A146" s="16">
        <v>45352</v>
      </c>
      <c r="B146" s="91">
        <v>31</v>
      </c>
      <c r="C146" s="78">
        <f>122.58</f>
        <v>122.58</v>
      </c>
      <c r="D146" s="78">
        <f>297.941</f>
        <v>297.94099999999997</v>
      </c>
      <c r="E146" s="86">
        <f>89.177</f>
        <v>89.177000000000007</v>
      </c>
      <c r="F146" s="78">
        <f>240.302-40-60</f>
        <v>140.30199999999999</v>
      </c>
      <c r="G146" s="80">
        <v>40</v>
      </c>
      <c r="H146" s="78">
        <v>60</v>
      </c>
      <c r="I146" s="78">
        <f t="shared" si="19"/>
        <v>0</v>
      </c>
      <c r="J146" s="80">
        <v>100</v>
      </c>
      <c r="K146" s="80">
        <v>300</v>
      </c>
      <c r="L146" s="78">
        <f t="shared" si="22"/>
        <v>1150</v>
      </c>
      <c r="M146" s="88">
        <v>600</v>
      </c>
      <c r="N146" s="78">
        <f>100</f>
        <v>100</v>
      </c>
      <c r="O146" s="80">
        <v>240</v>
      </c>
      <c r="P146" s="80">
        <v>40</v>
      </c>
      <c r="Q146" s="80">
        <f t="shared" si="23"/>
        <v>315</v>
      </c>
      <c r="R146" s="80">
        <f t="shared" si="24"/>
        <v>100</v>
      </c>
      <c r="S146" s="78">
        <f t="shared" si="25"/>
        <v>695</v>
      </c>
      <c r="T146" s="78">
        <f>50</f>
        <v>50</v>
      </c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</row>
    <row r="147" spans="1:30" ht="15.75" x14ac:dyDescent="0.25">
      <c r="A147" s="16">
        <v>45383</v>
      </c>
      <c r="B147" s="91">
        <v>30</v>
      </c>
      <c r="C147" s="78">
        <f>141.293</f>
        <v>141.29300000000001</v>
      </c>
      <c r="D147" s="78">
        <f>267.993</f>
        <v>267.99299999999999</v>
      </c>
      <c r="E147" s="86">
        <f>115.016</f>
        <v>115.01600000000001</v>
      </c>
      <c r="F147" s="78">
        <f>314.698-40-25-60</f>
        <v>189.69799999999998</v>
      </c>
      <c r="G147" s="80">
        <v>40</v>
      </c>
      <c r="H147" s="78">
        <f t="shared" ref="H147:H153" si="26">25+60</f>
        <v>85</v>
      </c>
      <c r="I147" s="78">
        <f t="shared" si="19"/>
        <v>0</v>
      </c>
      <c r="J147" s="80">
        <v>100</v>
      </c>
      <c r="K147" s="80">
        <v>300</v>
      </c>
      <c r="L147" s="78">
        <f t="shared" si="22"/>
        <v>1239</v>
      </c>
      <c r="M147" s="88">
        <v>600</v>
      </c>
      <c r="N147" s="78">
        <f>100</f>
        <v>100</v>
      </c>
      <c r="O147" s="80">
        <v>240</v>
      </c>
      <c r="P147" s="80">
        <v>160</v>
      </c>
      <c r="Q147" s="80">
        <f t="shared" si="23"/>
        <v>195</v>
      </c>
      <c r="R147" s="80">
        <f t="shared" si="24"/>
        <v>100</v>
      </c>
      <c r="S147" s="78">
        <f t="shared" si="25"/>
        <v>695</v>
      </c>
      <c r="T147" s="78">
        <f>50</f>
        <v>50</v>
      </c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</row>
    <row r="148" spans="1:30" ht="15.75" x14ac:dyDescent="0.25">
      <c r="A148" s="16">
        <v>45413</v>
      </c>
      <c r="B148" s="91">
        <v>31</v>
      </c>
      <c r="C148" s="78">
        <f>194.205</f>
        <v>194.20500000000001</v>
      </c>
      <c r="D148" s="78">
        <f>267.466</f>
        <v>267.46600000000001</v>
      </c>
      <c r="E148" s="86">
        <f>133.845</f>
        <v>133.845</v>
      </c>
      <c r="F148" s="78">
        <f>278.484-40-25-60</f>
        <v>153.48399999999998</v>
      </c>
      <c r="G148" s="80">
        <v>40</v>
      </c>
      <c r="H148" s="78">
        <f t="shared" si="26"/>
        <v>85</v>
      </c>
      <c r="I148" s="78">
        <f t="shared" si="19"/>
        <v>0</v>
      </c>
      <c r="J148" s="80">
        <v>100</v>
      </c>
      <c r="K148" s="80">
        <v>300</v>
      </c>
      <c r="L148" s="78">
        <f t="shared" si="22"/>
        <v>1274</v>
      </c>
      <c r="M148" s="88">
        <v>600</v>
      </c>
      <c r="N148" s="78">
        <f>75</f>
        <v>75</v>
      </c>
      <c r="O148" s="80">
        <v>240</v>
      </c>
      <c r="P148" s="80">
        <v>160</v>
      </c>
      <c r="Q148" s="80">
        <f t="shared" si="23"/>
        <v>195</v>
      </c>
      <c r="R148" s="80">
        <f t="shared" si="24"/>
        <v>100</v>
      </c>
      <c r="S148" s="78">
        <f t="shared" si="25"/>
        <v>695</v>
      </c>
      <c r="T148" s="78">
        <f>50</f>
        <v>50</v>
      </c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</row>
    <row r="149" spans="1:30" ht="15.75" x14ac:dyDescent="0.25">
      <c r="A149" s="16">
        <v>45444</v>
      </c>
      <c r="B149" s="91">
        <v>30</v>
      </c>
      <c r="C149" s="78">
        <f>194.205</f>
        <v>194.20500000000001</v>
      </c>
      <c r="D149" s="78">
        <f>267.466</f>
        <v>267.46600000000001</v>
      </c>
      <c r="E149" s="86">
        <f>133.845</f>
        <v>133.845</v>
      </c>
      <c r="F149" s="78">
        <f>278.484-40-25-60</f>
        <v>153.48399999999998</v>
      </c>
      <c r="G149" s="80">
        <v>40</v>
      </c>
      <c r="H149" s="78">
        <f t="shared" si="26"/>
        <v>85</v>
      </c>
      <c r="I149" s="78">
        <f t="shared" si="19"/>
        <v>0</v>
      </c>
      <c r="J149" s="80">
        <v>100</v>
      </c>
      <c r="K149" s="80">
        <v>300</v>
      </c>
      <c r="L149" s="78">
        <f t="shared" si="22"/>
        <v>1274</v>
      </c>
      <c r="M149" s="88">
        <v>600</v>
      </c>
      <c r="N149" s="78">
        <f>30</f>
        <v>30</v>
      </c>
      <c r="O149" s="80">
        <v>240</v>
      </c>
      <c r="P149" s="80">
        <v>160</v>
      </c>
      <c r="Q149" s="80">
        <f t="shared" si="23"/>
        <v>195</v>
      </c>
      <c r="R149" s="80">
        <f t="shared" si="24"/>
        <v>100</v>
      </c>
      <c r="S149" s="78">
        <f t="shared" si="25"/>
        <v>695</v>
      </c>
      <c r="T149" s="78">
        <f>50</f>
        <v>50</v>
      </c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</row>
    <row r="150" spans="1:30" ht="15.75" x14ac:dyDescent="0.25">
      <c r="A150" s="16">
        <v>45474</v>
      </c>
      <c r="B150" s="91">
        <v>31</v>
      </c>
      <c r="C150" s="78">
        <f>194.205</f>
        <v>194.20500000000001</v>
      </c>
      <c r="D150" s="78">
        <f>267.466</f>
        <v>267.46600000000001</v>
      </c>
      <c r="E150" s="86">
        <f>133.845</f>
        <v>133.845</v>
      </c>
      <c r="F150" s="78">
        <f>278.484-40-25-60</f>
        <v>153.48399999999998</v>
      </c>
      <c r="G150" s="80">
        <v>40</v>
      </c>
      <c r="H150" s="78">
        <f t="shared" si="26"/>
        <v>85</v>
      </c>
      <c r="I150" s="78">
        <f t="shared" si="19"/>
        <v>0</v>
      </c>
      <c r="J150" s="80">
        <v>100</v>
      </c>
      <c r="K150" s="80">
        <v>300</v>
      </c>
      <c r="L150" s="78">
        <f t="shared" si="22"/>
        <v>1274</v>
      </c>
      <c r="M150" s="88">
        <v>600</v>
      </c>
      <c r="N150" s="78">
        <f>30</f>
        <v>30</v>
      </c>
      <c r="O150" s="80">
        <v>240</v>
      </c>
      <c r="P150" s="80">
        <v>160</v>
      </c>
      <c r="Q150" s="80">
        <f t="shared" si="23"/>
        <v>195</v>
      </c>
      <c r="R150" s="80">
        <f t="shared" si="24"/>
        <v>100</v>
      </c>
      <c r="S150" s="78">
        <f t="shared" si="25"/>
        <v>695</v>
      </c>
      <c r="T150" s="78">
        <f>0</f>
        <v>0</v>
      </c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</row>
    <row r="151" spans="1:30" ht="15.75" x14ac:dyDescent="0.25">
      <c r="A151" s="16">
        <v>45505</v>
      </c>
      <c r="B151" s="91">
        <v>31</v>
      </c>
      <c r="C151" s="78">
        <f>194.205</f>
        <v>194.20500000000001</v>
      </c>
      <c r="D151" s="78">
        <f>267.466</f>
        <v>267.46600000000001</v>
      </c>
      <c r="E151" s="86">
        <f>133.845</f>
        <v>133.845</v>
      </c>
      <c r="F151" s="78">
        <f>278.484-40-25-60</f>
        <v>153.48399999999998</v>
      </c>
      <c r="G151" s="80">
        <v>40</v>
      </c>
      <c r="H151" s="78">
        <f t="shared" si="26"/>
        <v>85</v>
      </c>
      <c r="I151" s="78">
        <f t="shared" si="19"/>
        <v>0</v>
      </c>
      <c r="J151" s="80">
        <v>100</v>
      </c>
      <c r="K151" s="80">
        <v>300</v>
      </c>
      <c r="L151" s="78">
        <f t="shared" si="22"/>
        <v>1274</v>
      </c>
      <c r="M151" s="88">
        <v>600</v>
      </c>
      <c r="N151" s="78">
        <f>30</f>
        <v>30</v>
      </c>
      <c r="O151" s="80">
        <v>240</v>
      </c>
      <c r="P151" s="80">
        <v>160</v>
      </c>
      <c r="Q151" s="80">
        <f t="shared" si="23"/>
        <v>195</v>
      </c>
      <c r="R151" s="80">
        <f t="shared" si="24"/>
        <v>100</v>
      </c>
      <c r="S151" s="78">
        <f t="shared" si="25"/>
        <v>695</v>
      </c>
      <c r="T151" s="78">
        <f>0</f>
        <v>0</v>
      </c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</row>
    <row r="152" spans="1:30" ht="15.75" x14ac:dyDescent="0.25">
      <c r="A152" s="16">
        <v>45536</v>
      </c>
      <c r="B152" s="91">
        <v>30</v>
      </c>
      <c r="C152" s="78">
        <f>194.205</f>
        <v>194.20500000000001</v>
      </c>
      <c r="D152" s="78">
        <f>267.466</f>
        <v>267.46600000000001</v>
      </c>
      <c r="E152" s="86">
        <f>133.845</f>
        <v>133.845</v>
      </c>
      <c r="F152" s="78">
        <f>278.484-40-25-60</f>
        <v>153.48399999999998</v>
      </c>
      <c r="G152" s="80">
        <v>40</v>
      </c>
      <c r="H152" s="78">
        <f t="shared" si="26"/>
        <v>85</v>
      </c>
      <c r="I152" s="78">
        <f t="shared" si="19"/>
        <v>0</v>
      </c>
      <c r="J152" s="80">
        <v>100</v>
      </c>
      <c r="K152" s="80">
        <v>300</v>
      </c>
      <c r="L152" s="78">
        <f t="shared" si="22"/>
        <v>1274</v>
      </c>
      <c r="M152" s="88">
        <v>600</v>
      </c>
      <c r="N152" s="78">
        <f>30</f>
        <v>30</v>
      </c>
      <c r="O152" s="80">
        <v>240</v>
      </c>
      <c r="P152" s="80">
        <v>160</v>
      </c>
      <c r="Q152" s="80">
        <f t="shared" si="23"/>
        <v>195</v>
      </c>
      <c r="R152" s="80">
        <f t="shared" si="24"/>
        <v>100</v>
      </c>
      <c r="S152" s="78">
        <f t="shared" si="25"/>
        <v>695</v>
      </c>
      <c r="T152" s="78">
        <f>0</f>
        <v>0</v>
      </c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</row>
    <row r="153" spans="1:30" ht="15.75" x14ac:dyDescent="0.25">
      <c r="A153" s="16">
        <v>45566</v>
      </c>
      <c r="B153" s="91">
        <v>31</v>
      </c>
      <c r="C153" s="78">
        <f>131.881</f>
        <v>131.881</v>
      </c>
      <c r="D153" s="78">
        <f>277.167</f>
        <v>277.16699999999997</v>
      </c>
      <c r="E153" s="86">
        <f>79.08</f>
        <v>79.08</v>
      </c>
      <c r="F153" s="78">
        <f>350.872-40-25-60</f>
        <v>225.87200000000001</v>
      </c>
      <c r="G153" s="80">
        <v>40</v>
      </c>
      <c r="H153" s="78">
        <f t="shared" si="26"/>
        <v>85</v>
      </c>
      <c r="I153" s="78">
        <f t="shared" si="19"/>
        <v>0</v>
      </c>
      <c r="J153" s="80">
        <v>100</v>
      </c>
      <c r="K153" s="80">
        <v>300</v>
      </c>
      <c r="L153" s="78">
        <f t="shared" si="22"/>
        <v>1239</v>
      </c>
      <c r="M153" s="88">
        <v>600</v>
      </c>
      <c r="N153" s="78">
        <f>75</f>
        <v>75</v>
      </c>
      <c r="O153" s="80">
        <v>240</v>
      </c>
      <c r="P153" s="80">
        <v>160</v>
      </c>
      <c r="Q153" s="80">
        <f t="shared" si="23"/>
        <v>195</v>
      </c>
      <c r="R153" s="80">
        <f t="shared" si="24"/>
        <v>100</v>
      </c>
      <c r="S153" s="78">
        <f t="shared" si="25"/>
        <v>695</v>
      </c>
      <c r="T153" s="78">
        <f>0</f>
        <v>0</v>
      </c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</row>
    <row r="154" spans="1:30" ht="15.75" x14ac:dyDescent="0.25">
      <c r="A154" s="16">
        <v>45597</v>
      </c>
      <c r="B154" s="91">
        <v>30</v>
      </c>
      <c r="C154" s="78">
        <f>122.58</f>
        <v>122.58</v>
      </c>
      <c r="D154" s="78">
        <f>297.941</f>
        <v>297.94099999999997</v>
      </c>
      <c r="E154" s="86">
        <f>89.177</f>
        <v>89.177000000000007</v>
      </c>
      <c r="F154" s="78">
        <f>240.302-40-60</f>
        <v>140.30199999999999</v>
      </c>
      <c r="G154" s="80">
        <v>40</v>
      </c>
      <c r="H154" s="78">
        <v>60</v>
      </c>
      <c r="I154" s="78">
        <f t="shared" si="19"/>
        <v>0</v>
      </c>
      <c r="J154" s="80">
        <v>100</v>
      </c>
      <c r="K154" s="80">
        <v>300</v>
      </c>
      <c r="L154" s="78">
        <f t="shared" si="22"/>
        <v>1150</v>
      </c>
      <c r="M154" s="88">
        <v>600</v>
      </c>
      <c r="N154" s="78">
        <f>100</f>
        <v>100</v>
      </c>
      <c r="O154" s="80">
        <v>240</v>
      </c>
      <c r="P154" s="80">
        <v>40</v>
      </c>
      <c r="Q154" s="80">
        <f t="shared" si="23"/>
        <v>315</v>
      </c>
      <c r="R154" s="80">
        <f t="shared" si="24"/>
        <v>100</v>
      </c>
      <c r="S154" s="78">
        <f t="shared" si="25"/>
        <v>695</v>
      </c>
      <c r="T154" s="78">
        <f>50</f>
        <v>50</v>
      </c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</row>
    <row r="155" spans="1:30" ht="15.75" x14ac:dyDescent="0.25">
      <c r="A155" s="16">
        <v>45627</v>
      </c>
      <c r="B155" s="91">
        <v>31</v>
      </c>
      <c r="C155" s="78">
        <f>122.58</f>
        <v>122.58</v>
      </c>
      <c r="D155" s="78">
        <f>297.941</f>
        <v>297.94099999999997</v>
      </c>
      <c r="E155" s="86">
        <f>89.177</f>
        <v>89.177000000000007</v>
      </c>
      <c r="F155" s="78">
        <f>240.302-40-60</f>
        <v>140.30199999999999</v>
      </c>
      <c r="G155" s="80">
        <v>40</v>
      </c>
      <c r="H155" s="78">
        <v>60</v>
      </c>
      <c r="I155" s="78">
        <f t="shared" si="19"/>
        <v>0</v>
      </c>
      <c r="J155" s="80">
        <v>100</v>
      </c>
      <c r="K155" s="80">
        <v>300</v>
      </c>
      <c r="L155" s="78">
        <f t="shared" si="22"/>
        <v>1150</v>
      </c>
      <c r="M155" s="88">
        <v>600</v>
      </c>
      <c r="N155" s="78">
        <f>100</f>
        <v>100</v>
      </c>
      <c r="O155" s="80">
        <v>240</v>
      </c>
      <c r="P155" s="80">
        <v>40</v>
      </c>
      <c r="Q155" s="80">
        <f t="shared" si="23"/>
        <v>315</v>
      </c>
      <c r="R155" s="80">
        <f t="shared" si="24"/>
        <v>100</v>
      </c>
      <c r="S155" s="78">
        <f t="shared" si="25"/>
        <v>695</v>
      </c>
      <c r="T155" s="78">
        <f>50</f>
        <v>50</v>
      </c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</row>
    <row r="156" spans="1:30" ht="15.75" x14ac:dyDescent="0.25">
      <c r="A156" s="16">
        <v>45658</v>
      </c>
      <c r="B156" s="91">
        <v>31</v>
      </c>
      <c r="C156" s="78">
        <f>122.58</f>
        <v>122.58</v>
      </c>
      <c r="D156" s="78">
        <f>297.941</f>
        <v>297.94099999999997</v>
      </c>
      <c r="E156" s="86">
        <f>89.177</f>
        <v>89.177000000000007</v>
      </c>
      <c r="F156" s="78">
        <f>240.302-40-60</f>
        <v>140.30199999999999</v>
      </c>
      <c r="G156" s="80">
        <v>40</v>
      </c>
      <c r="H156" s="78">
        <v>60</v>
      </c>
      <c r="I156" s="78">
        <f t="shared" si="19"/>
        <v>0</v>
      </c>
      <c r="J156" s="80">
        <v>100</v>
      </c>
      <c r="K156" s="80">
        <v>300</v>
      </c>
      <c r="L156" s="78">
        <f t="shared" si="22"/>
        <v>1150</v>
      </c>
      <c r="M156" s="88">
        <v>600</v>
      </c>
      <c r="N156" s="78">
        <f>100</f>
        <v>100</v>
      </c>
      <c r="O156" s="80">
        <v>240</v>
      </c>
      <c r="P156" s="80">
        <v>40</v>
      </c>
      <c r="Q156" s="80">
        <f t="shared" si="23"/>
        <v>315</v>
      </c>
      <c r="R156" s="80">
        <f t="shared" si="24"/>
        <v>100</v>
      </c>
      <c r="S156" s="78">
        <f t="shared" si="25"/>
        <v>695</v>
      </c>
      <c r="T156" s="78">
        <f>50</f>
        <v>50</v>
      </c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</row>
    <row r="157" spans="1:30" ht="15.75" x14ac:dyDescent="0.25">
      <c r="A157" s="16">
        <v>45689</v>
      </c>
      <c r="B157" s="91">
        <v>28</v>
      </c>
      <c r="C157" s="78">
        <f>122.58</f>
        <v>122.58</v>
      </c>
      <c r="D157" s="78">
        <f>297.941</f>
        <v>297.94099999999997</v>
      </c>
      <c r="E157" s="86">
        <f>89.177</f>
        <v>89.177000000000007</v>
      </c>
      <c r="F157" s="78">
        <f>240.302-40-60</f>
        <v>140.30199999999999</v>
      </c>
      <c r="G157" s="80">
        <v>40</v>
      </c>
      <c r="H157" s="78">
        <v>60</v>
      </c>
      <c r="I157" s="78">
        <f t="shared" si="19"/>
        <v>0</v>
      </c>
      <c r="J157" s="80">
        <v>100</v>
      </c>
      <c r="K157" s="80">
        <v>300</v>
      </c>
      <c r="L157" s="78">
        <f t="shared" si="22"/>
        <v>1150</v>
      </c>
      <c r="M157" s="88">
        <v>600</v>
      </c>
      <c r="N157" s="78">
        <f>100</f>
        <v>100</v>
      </c>
      <c r="O157" s="80">
        <v>240</v>
      </c>
      <c r="P157" s="80">
        <v>40</v>
      </c>
      <c r="Q157" s="80">
        <f t="shared" si="23"/>
        <v>315</v>
      </c>
      <c r="R157" s="80">
        <f t="shared" si="24"/>
        <v>100</v>
      </c>
      <c r="S157" s="78">
        <f t="shared" si="25"/>
        <v>695</v>
      </c>
      <c r="T157" s="78">
        <f>50</f>
        <v>50</v>
      </c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</row>
    <row r="158" spans="1:30" ht="15.75" x14ac:dyDescent="0.25">
      <c r="A158" s="16">
        <v>45717</v>
      </c>
      <c r="B158" s="91">
        <v>31</v>
      </c>
      <c r="C158" s="78">
        <f>122.58</f>
        <v>122.58</v>
      </c>
      <c r="D158" s="78">
        <f>297.941</f>
        <v>297.94099999999997</v>
      </c>
      <c r="E158" s="86">
        <f>89.177</f>
        <v>89.177000000000007</v>
      </c>
      <c r="F158" s="78">
        <f>240.302-40-60</f>
        <v>140.30199999999999</v>
      </c>
      <c r="G158" s="80">
        <v>40</v>
      </c>
      <c r="H158" s="78">
        <v>60</v>
      </c>
      <c r="I158" s="78">
        <f t="shared" si="19"/>
        <v>0</v>
      </c>
      <c r="J158" s="80">
        <v>100</v>
      </c>
      <c r="K158" s="80">
        <v>300</v>
      </c>
      <c r="L158" s="78">
        <f t="shared" si="22"/>
        <v>1150</v>
      </c>
      <c r="M158" s="88">
        <v>600</v>
      </c>
      <c r="N158" s="78">
        <f>100</f>
        <v>100</v>
      </c>
      <c r="O158" s="80">
        <v>240</v>
      </c>
      <c r="P158" s="80">
        <v>40</v>
      </c>
      <c r="Q158" s="80">
        <f t="shared" si="23"/>
        <v>315</v>
      </c>
      <c r="R158" s="80">
        <f t="shared" si="24"/>
        <v>100</v>
      </c>
      <c r="S158" s="78">
        <f t="shared" si="25"/>
        <v>695</v>
      </c>
      <c r="T158" s="78">
        <f>50</f>
        <v>50</v>
      </c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</row>
    <row r="159" spans="1:30" ht="15.75" x14ac:dyDescent="0.25">
      <c r="A159" s="16">
        <v>45748</v>
      </c>
      <c r="B159" s="91">
        <v>30</v>
      </c>
      <c r="C159" s="78">
        <f>141.293</f>
        <v>141.29300000000001</v>
      </c>
      <c r="D159" s="78">
        <f>267.993</f>
        <v>267.99299999999999</v>
      </c>
      <c r="E159" s="86">
        <f>115.016</f>
        <v>115.01600000000001</v>
      </c>
      <c r="F159" s="78">
        <f>314.698-40-25-60</f>
        <v>189.69799999999998</v>
      </c>
      <c r="G159" s="80">
        <v>40</v>
      </c>
      <c r="H159" s="78">
        <f t="shared" ref="H159:H165" si="27">25+60</f>
        <v>85</v>
      </c>
      <c r="I159" s="78">
        <f t="shared" si="19"/>
        <v>0</v>
      </c>
      <c r="J159" s="80">
        <v>100</v>
      </c>
      <c r="K159" s="80">
        <v>300</v>
      </c>
      <c r="L159" s="78">
        <f t="shared" si="22"/>
        <v>1239</v>
      </c>
      <c r="M159" s="88">
        <v>600</v>
      </c>
      <c r="N159" s="78">
        <f>100</f>
        <v>100</v>
      </c>
      <c r="O159" s="80">
        <v>240</v>
      </c>
      <c r="P159" s="80">
        <v>160</v>
      </c>
      <c r="Q159" s="80">
        <f t="shared" si="23"/>
        <v>195</v>
      </c>
      <c r="R159" s="80">
        <f t="shared" si="24"/>
        <v>100</v>
      </c>
      <c r="S159" s="78">
        <f t="shared" si="25"/>
        <v>695</v>
      </c>
      <c r="T159" s="78">
        <f>50</f>
        <v>50</v>
      </c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</row>
    <row r="160" spans="1:30" ht="15.75" x14ac:dyDescent="0.25">
      <c r="A160" s="16">
        <v>45778</v>
      </c>
      <c r="B160" s="91">
        <v>31</v>
      </c>
      <c r="C160" s="78">
        <f>194.205</f>
        <v>194.20500000000001</v>
      </c>
      <c r="D160" s="78">
        <f>267.466</f>
        <v>267.46600000000001</v>
      </c>
      <c r="E160" s="86">
        <f>133.845</f>
        <v>133.845</v>
      </c>
      <c r="F160" s="78">
        <f>278.484-40-25-60</f>
        <v>153.48399999999998</v>
      </c>
      <c r="G160" s="80">
        <v>40</v>
      </c>
      <c r="H160" s="78">
        <f t="shared" si="27"/>
        <v>85</v>
      </c>
      <c r="I160" s="78">
        <f t="shared" si="19"/>
        <v>0</v>
      </c>
      <c r="J160" s="80">
        <v>100</v>
      </c>
      <c r="K160" s="80">
        <v>300</v>
      </c>
      <c r="L160" s="78">
        <f t="shared" si="22"/>
        <v>1274</v>
      </c>
      <c r="M160" s="88">
        <v>600</v>
      </c>
      <c r="N160" s="78">
        <f>75</f>
        <v>75</v>
      </c>
      <c r="O160" s="80">
        <v>240</v>
      </c>
      <c r="P160" s="80">
        <v>160</v>
      </c>
      <c r="Q160" s="80">
        <f t="shared" si="23"/>
        <v>195</v>
      </c>
      <c r="R160" s="80">
        <f t="shared" si="24"/>
        <v>100</v>
      </c>
      <c r="S160" s="78">
        <f t="shared" si="25"/>
        <v>695</v>
      </c>
      <c r="T160" s="78">
        <f>50</f>
        <v>50</v>
      </c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</row>
    <row r="161" spans="1:30" ht="15.75" x14ac:dyDescent="0.25">
      <c r="A161" s="16">
        <v>45809</v>
      </c>
      <c r="B161" s="91">
        <v>30</v>
      </c>
      <c r="C161" s="78">
        <f>194.205</f>
        <v>194.20500000000001</v>
      </c>
      <c r="D161" s="78">
        <f>267.466</f>
        <v>267.46600000000001</v>
      </c>
      <c r="E161" s="86">
        <f>133.845</f>
        <v>133.845</v>
      </c>
      <c r="F161" s="78">
        <f>278.484-40-25-60</f>
        <v>153.48399999999998</v>
      </c>
      <c r="G161" s="80">
        <v>40</v>
      </c>
      <c r="H161" s="78">
        <f t="shared" si="27"/>
        <v>85</v>
      </c>
      <c r="I161" s="78">
        <f t="shared" si="19"/>
        <v>0</v>
      </c>
      <c r="J161" s="80">
        <v>100</v>
      </c>
      <c r="K161" s="80">
        <v>300</v>
      </c>
      <c r="L161" s="78">
        <f t="shared" si="22"/>
        <v>1274</v>
      </c>
      <c r="M161" s="88">
        <v>600</v>
      </c>
      <c r="N161" s="78">
        <f>30</f>
        <v>30</v>
      </c>
      <c r="O161" s="80">
        <v>240</v>
      </c>
      <c r="P161" s="80">
        <v>160</v>
      </c>
      <c r="Q161" s="80">
        <f t="shared" si="23"/>
        <v>195</v>
      </c>
      <c r="R161" s="80">
        <f t="shared" si="24"/>
        <v>100</v>
      </c>
      <c r="S161" s="78">
        <f t="shared" si="25"/>
        <v>695</v>
      </c>
      <c r="T161" s="78">
        <f>50</f>
        <v>50</v>
      </c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</row>
    <row r="162" spans="1:30" ht="15.75" x14ac:dyDescent="0.25">
      <c r="A162" s="16">
        <v>45839</v>
      </c>
      <c r="B162" s="91">
        <v>31</v>
      </c>
      <c r="C162" s="78">
        <f>194.205</f>
        <v>194.20500000000001</v>
      </c>
      <c r="D162" s="78">
        <f>267.466</f>
        <v>267.46600000000001</v>
      </c>
      <c r="E162" s="86">
        <f>133.845</f>
        <v>133.845</v>
      </c>
      <c r="F162" s="78">
        <f>278.484-40-25-60</f>
        <v>153.48399999999998</v>
      </c>
      <c r="G162" s="80">
        <v>40</v>
      </c>
      <c r="H162" s="78">
        <f t="shared" si="27"/>
        <v>85</v>
      </c>
      <c r="I162" s="78">
        <f t="shared" si="19"/>
        <v>0</v>
      </c>
      <c r="J162" s="80">
        <v>100</v>
      </c>
      <c r="K162" s="80">
        <v>300</v>
      </c>
      <c r="L162" s="78">
        <f t="shared" si="22"/>
        <v>1274</v>
      </c>
      <c r="M162" s="88">
        <v>600</v>
      </c>
      <c r="N162" s="78">
        <f>30</f>
        <v>30</v>
      </c>
      <c r="O162" s="80">
        <v>240</v>
      </c>
      <c r="P162" s="80">
        <v>160</v>
      </c>
      <c r="Q162" s="80">
        <f t="shared" si="23"/>
        <v>195</v>
      </c>
      <c r="R162" s="80">
        <f t="shared" si="24"/>
        <v>100</v>
      </c>
      <c r="S162" s="78">
        <f t="shared" si="25"/>
        <v>695</v>
      </c>
      <c r="T162" s="78">
        <f>0</f>
        <v>0</v>
      </c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</row>
    <row r="163" spans="1:30" ht="15.75" x14ac:dyDescent="0.25">
      <c r="A163" s="16">
        <v>45870</v>
      </c>
      <c r="B163" s="91">
        <v>31</v>
      </c>
      <c r="C163" s="78">
        <f>194.205</f>
        <v>194.20500000000001</v>
      </c>
      <c r="D163" s="78">
        <f>267.466</f>
        <v>267.46600000000001</v>
      </c>
      <c r="E163" s="86">
        <f>133.845</f>
        <v>133.845</v>
      </c>
      <c r="F163" s="78">
        <f>278.484-40-25-60</f>
        <v>153.48399999999998</v>
      </c>
      <c r="G163" s="80">
        <v>40</v>
      </c>
      <c r="H163" s="78">
        <f t="shared" si="27"/>
        <v>85</v>
      </c>
      <c r="I163" s="78">
        <f t="shared" si="19"/>
        <v>0</v>
      </c>
      <c r="J163" s="80">
        <v>100</v>
      </c>
      <c r="K163" s="80">
        <v>300</v>
      </c>
      <c r="L163" s="78">
        <f t="shared" si="22"/>
        <v>1274</v>
      </c>
      <c r="M163" s="88">
        <v>600</v>
      </c>
      <c r="N163" s="78">
        <f>30</f>
        <v>30</v>
      </c>
      <c r="O163" s="80">
        <v>240</v>
      </c>
      <c r="P163" s="80">
        <v>160</v>
      </c>
      <c r="Q163" s="80">
        <f t="shared" si="23"/>
        <v>195</v>
      </c>
      <c r="R163" s="80">
        <f t="shared" si="24"/>
        <v>100</v>
      </c>
      <c r="S163" s="78">
        <f t="shared" si="25"/>
        <v>695</v>
      </c>
      <c r="T163" s="78">
        <f>0</f>
        <v>0</v>
      </c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</row>
    <row r="164" spans="1:30" ht="15.75" x14ac:dyDescent="0.25">
      <c r="A164" s="16">
        <v>45901</v>
      </c>
      <c r="B164" s="91">
        <v>30</v>
      </c>
      <c r="C164" s="78">
        <f>194.205</f>
        <v>194.20500000000001</v>
      </c>
      <c r="D164" s="78">
        <f>267.466</f>
        <v>267.46600000000001</v>
      </c>
      <c r="E164" s="86">
        <f>133.845</f>
        <v>133.845</v>
      </c>
      <c r="F164" s="78">
        <f>278.484-40-25-60</f>
        <v>153.48399999999998</v>
      </c>
      <c r="G164" s="80">
        <v>40</v>
      </c>
      <c r="H164" s="78">
        <f t="shared" si="27"/>
        <v>85</v>
      </c>
      <c r="I164" s="78">
        <f t="shared" si="19"/>
        <v>0</v>
      </c>
      <c r="J164" s="80">
        <v>100</v>
      </c>
      <c r="K164" s="80">
        <v>300</v>
      </c>
      <c r="L164" s="78">
        <f t="shared" si="22"/>
        <v>1274</v>
      </c>
      <c r="M164" s="88">
        <v>600</v>
      </c>
      <c r="N164" s="78">
        <f>30</f>
        <v>30</v>
      </c>
      <c r="O164" s="80">
        <v>240</v>
      </c>
      <c r="P164" s="80">
        <v>160</v>
      </c>
      <c r="Q164" s="80">
        <f t="shared" si="23"/>
        <v>195</v>
      </c>
      <c r="R164" s="80">
        <f t="shared" si="24"/>
        <v>100</v>
      </c>
      <c r="S164" s="78">
        <f t="shared" si="25"/>
        <v>695</v>
      </c>
      <c r="T164" s="78">
        <f>0</f>
        <v>0</v>
      </c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</row>
    <row r="165" spans="1:30" ht="15.75" x14ac:dyDescent="0.25">
      <c r="A165" s="16">
        <v>45931</v>
      </c>
      <c r="B165" s="91">
        <v>31</v>
      </c>
      <c r="C165" s="78">
        <f>131.881</f>
        <v>131.881</v>
      </c>
      <c r="D165" s="78">
        <f>277.167</f>
        <v>277.16699999999997</v>
      </c>
      <c r="E165" s="86">
        <f>79.08</f>
        <v>79.08</v>
      </c>
      <c r="F165" s="78">
        <f>350.872-40-25-60</f>
        <v>225.87200000000001</v>
      </c>
      <c r="G165" s="80">
        <v>40</v>
      </c>
      <c r="H165" s="78">
        <f t="shared" si="27"/>
        <v>85</v>
      </c>
      <c r="I165" s="78">
        <f t="shared" si="19"/>
        <v>0</v>
      </c>
      <c r="J165" s="80">
        <v>100</v>
      </c>
      <c r="K165" s="80">
        <v>300</v>
      </c>
      <c r="L165" s="78">
        <f t="shared" si="22"/>
        <v>1239</v>
      </c>
      <c r="M165" s="88">
        <v>600</v>
      </c>
      <c r="N165" s="78">
        <f>75</f>
        <v>75</v>
      </c>
      <c r="O165" s="80">
        <v>240</v>
      </c>
      <c r="P165" s="80">
        <v>160</v>
      </c>
      <c r="Q165" s="80">
        <f t="shared" si="23"/>
        <v>195</v>
      </c>
      <c r="R165" s="80">
        <f t="shared" si="24"/>
        <v>100</v>
      </c>
      <c r="S165" s="78">
        <f t="shared" si="25"/>
        <v>695</v>
      </c>
      <c r="T165" s="78">
        <f>0</f>
        <v>0</v>
      </c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</row>
    <row r="166" spans="1:30" ht="15.75" x14ac:dyDescent="0.25">
      <c r="A166" s="16">
        <v>45962</v>
      </c>
      <c r="B166" s="91">
        <v>30</v>
      </c>
      <c r="C166" s="78">
        <f>122.58</f>
        <v>122.58</v>
      </c>
      <c r="D166" s="78">
        <f>297.941</f>
        <v>297.94099999999997</v>
      </c>
      <c r="E166" s="86">
        <f>89.177</f>
        <v>89.177000000000007</v>
      </c>
      <c r="F166" s="78">
        <f>240.302-40-60</f>
        <v>140.30199999999999</v>
      </c>
      <c r="G166" s="80">
        <v>40</v>
      </c>
      <c r="H166" s="78">
        <v>60</v>
      </c>
      <c r="I166" s="78">
        <f t="shared" si="19"/>
        <v>0</v>
      </c>
      <c r="J166" s="80">
        <v>100</v>
      </c>
      <c r="K166" s="80">
        <v>300</v>
      </c>
      <c r="L166" s="78">
        <f t="shared" si="22"/>
        <v>1150</v>
      </c>
      <c r="M166" s="88">
        <v>600</v>
      </c>
      <c r="N166" s="78">
        <f>100</f>
        <v>100</v>
      </c>
      <c r="O166" s="80">
        <v>240</v>
      </c>
      <c r="P166" s="80">
        <v>40</v>
      </c>
      <c r="Q166" s="80">
        <f t="shared" si="23"/>
        <v>315</v>
      </c>
      <c r="R166" s="80">
        <f t="shared" si="24"/>
        <v>100</v>
      </c>
      <c r="S166" s="78">
        <f t="shared" si="25"/>
        <v>695</v>
      </c>
      <c r="T166" s="78">
        <f>50</f>
        <v>50</v>
      </c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</row>
    <row r="167" spans="1:30" ht="15.75" x14ac:dyDescent="0.25">
      <c r="A167" s="16">
        <v>45992</v>
      </c>
      <c r="B167" s="91">
        <v>31</v>
      </c>
      <c r="C167" s="78">
        <f>122.58</f>
        <v>122.58</v>
      </c>
      <c r="D167" s="78">
        <f>297.941</f>
        <v>297.94099999999997</v>
      </c>
      <c r="E167" s="86">
        <f>89.177</f>
        <v>89.177000000000007</v>
      </c>
      <c r="F167" s="78">
        <f>240.302-40-60</f>
        <v>140.30199999999999</v>
      </c>
      <c r="G167" s="80">
        <v>40</v>
      </c>
      <c r="H167" s="78">
        <v>60</v>
      </c>
      <c r="I167" s="78">
        <f t="shared" si="19"/>
        <v>0</v>
      </c>
      <c r="J167" s="80">
        <v>100</v>
      </c>
      <c r="K167" s="80">
        <v>300</v>
      </c>
      <c r="L167" s="78">
        <f t="shared" si="22"/>
        <v>1150</v>
      </c>
      <c r="M167" s="88">
        <v>600</v>
      </c>
      <c r="N167" s="78">
        <f>100</f>
        <v>100</v>
      </c>
      <c r="O167" s="80">
        <v>240</v>
      </c>
      <c r="P167" s="80">
        <v>40</v>
      </c>
      <c r="Q167" s="80">
        <f t="shared" si="23"/>
        <v>315</v>
      </c>
      <c r="R167" s="80">
        <f t="shared" si="24"/>
        <v>100</v>
      </c>
      <c r="S167" s="78">
        <f t="shared" si="25"/>
        <v>695</v>
      </c>
      <c r="T167" s="78">
        <f>50</f>
        <v>50</v>
      </c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</row>
    <row r="168" spans="1:30" ht="15.75" x14ac:dyDescent="0.25">
      <c r="A168" s="16">
        <v>46023</v>
      </c>
      <c r="B168" s="91">
        <v>31</v>
      </c>
      <c r="C168" s="78">
        <f>122.58</f>
        <v>122.58</v>
      </c>
      <c r="D168" s="78">
        <f>297.941</f>
        <v>297.94099999999997</v>
      </c>
      <c r="E168" s="86">
        <f>89.177</f>
        <v>89.177000000000007</v>
      </c>
      <c r="F168" s="78">
        <f>240.302-40-60</f>
        <v>140.30199999999999</v>
      </c>
      <c r="G168" s="80">
        <v>40</v>
      </c>
      <c r="H168" s="78">
        <v>60</v>
      </c>
      <c r="I168" s="78">
        <f t="shared" si="19"/>
        <v>0</v>
      </c>
      <c r="J168" s="80">
        <v>100</v>
      </c>
      <c r="K168" s="80">
        <v>300</v>
      </c>
      <c r="L168" s="78">
        <f t="shared" si="22"/>
        <v>1150</v>
      </c>
      <c r="M168" s="88">
        <v>600</v>
      </c>
      <c r="N168" s="78">
        <f>100</f>
        <v>100</v>
      </c>
      <c r="O168" s="80">
        <v>240</v>
      </c>
      <c r="P168" s="80">
        <v>40</v>
      </c>
      <c r="Q168" s="80">
        <f t="shared" si="23"/>
        <v>315</v>
      </c>
      <c r="R168" s="80">
        <f t="shared" si="24"/>
        <v>100</v>
      </c>
      <c r="S168" s="78">
        <f t="shared" si="25"/>
        <v>695</v>
      </c>
      <c r="T168" s="78">
        <f>50</f>
        <v>50</v>
      </c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</row>
    <row r="169" spans="1:30" ht="15.75" x14ac:dyDescent="0.25">
      <c r="A169" s="16">
        <v>46054</v>
      </c>
      <c r="B169" s="91">
        <v>28</v>
      </c>
      <c r="C169" s="78">
        <f>122.58</f>
        <v>122.58</v>
      </c>
      <c r="D169" s="78">
        <f>297.941</f>
        <v>297.94099999999997</v>
      </c>
      <c r="E169" s="86">
        <f>89.177</f>
        <v>89.177000000000007</v>
      </c>
      <c r="F169" s="78">
        <f>240.302-40-60</f>
        <v>140.30199999999999</v>
      </c>
      <c r="G169" s="80">
        <v>40</v>
      </c>
      <c r="H169" s="78">
        <v>60</v>
      </c>
      <c r="I169" s="78">
        <f t="shared" si="19"/>
        <v>0</v>
      </c>
      <c r="J169" s="80">
        <v>100</v>
      </c>
      <c r="K169" s="80">
        <v>300</v>
      </c>
      <c r="L169" s="78">
        <f t="shared" si="22"/>
        <v>1150</v>
      </c>
      <c r="M169" s="88">
        <v>600</v>
      </c>
      <c r="N169" s="78">
        <f>100</f>
        <v>100</v>
      </c>
      <c r="O169" s="80">
        <v>240</v>
      </c>
      <c r="P169" s="80">
        <v>40</v>
      </c>
      <c r="Q169" s="80">
        <f t="shared" si="23"/>
        <v>315</v>
      </c>
      <c r="R169" s="80">
        <f t="shared" si="24"/>
        <v>100</v>
      </c>
      <c r="S169" s="78">
        <f t="shared" si="25"/>
        <v>695</v>
      </c>
      <c r="T169" s="78">
        <f>50</f>
        <v>50</v>
      </c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</row>
    <row r="170" spans="1:30" ht="15.75" x14ac:dyDescent="0.25">
      <c r="A170" s="16">
        <v>46082</v>
      </c>
      <c r="B170" s="91">
        <v>31</v>
      </c>
      <c r="C170" s="78">
        <f>122.58</f>
        <v>122.58</v>
      </c>
      <c r="D170" s="78">
        <f>297.941</f>
        <v>297.94099999999997</v>
      </c>
      <c r="E170" s="86">
        <f>89.177</f>
        <v>89.177000000000007</v>
      </c>
      <c r="F170" s="78">
        <f>240.302-40-60</f>
        <v>140.30199999999999</v>
      </c>
      <c r="G170" s="80">
        <v>40</v>
      </c>
      <c r="H170" s="78">
        <v>60</v>
      </c>
      <c r="I170" s="78">
        <f t="shared" si="19"/>
        <v>0</v>
      </c>
      <c r="J170" s="80">
        <v>100</v>
      </c>
      <c r="K170" s="80">
        <v>300</v>
      </c>
      <c r="L170" s="78">
        <f t="shared" si="22"/>
        <v>1150</v>
      </c>
      <c r="M170" s="88">
        <v>600</v>
      </c>
      <c r="N170" s="78">
        <f>100</f>
        <v>100</v>
      </c>
      <c r="O170" s="80">
        <v>240</v>
      </c>
      <c r="P170" s="80">
        <v>40</v>
      </c>
      <c r="Q170" s="80">
        <f t="shared" si="23"/>
        <v>315</v>
      </c>
      <c r="R170" s="80">
        <f t="shared" si="24"/>
        <v>100</v>
      </c>
      <c r="S170" s="78">
        <f t="shared" si="25"/>
        <v>695</v>
      </c>
      <c r="T170" s="78">
        <f>50</f>
        <v>50</v>
      </c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</row>
    <row r="171" spans="1:30" ht="15.75" x14ac:dyDescent="0.25">
      <c r="A171" s="16">
        <v>46113</v>
      </c>
      <c r="B171" s="91">
        <v>30</v>
      </c>
      <c r="C171" s="78">
        <f>141.293</f>
        <v>141.29300000000001</v>
      </c>
      <c r="D171" s="78">
        <f>267.993</f>
        <v>267.99299999999999</v>
      </c>
      <c r="E171" s="86">
        <f>115.016</f>
        <v>115.01600000000001</v>
      </c>
      <c r="F171" s="78">
        <f>314.698-40-25-60</f>
        <v>189.69799999999998</v>
      </c>
      <c r="G171" s="80">
        <v>40</v>
      </c>
      <c r="H171" s="78">
        <f t="shared" ref="H171:H177" si="28">25+60</f>
        <v>85</v>
      </c>
      <c r="I171" s="78">
        <f t="shared" si="19"/>
        <v>0</v>
      </c>
      <c r="J171" s="80">
        <v>100</v>
      </c>
      <c r="K171" s="80">
        <v>300</v>
      </c>
      <c r="L171" s="78">
        <f t="shared" si="22"/>
        <v>1239</v>
      </c>
      <c r="M171" s="88">
        <v>600</v>
      </c>
      <c r="N171" s="78">
        <f>100</f>
        <v>100</v>
      </c>
      <c r="O171" s="80">
        <v>240</v>
      </c>
      <c r="P171" s="80">
        <v>160</v>
      </c>
      <c r="Q171" s="80">
        <f t="shared" si="23"/>
        <v>195</v>
      </c>
      <c r="R171" s="80">
        <f t="shared" si="24"/>
        <v>100</v>
      </c>
      <c r="S171" s="78">
        <f t="shared" si="25"/>
        <v>695</v>
      </c>
      <c r="T171" s="78">
        <f>50</f>
        <v>50</v>
      </c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</row>
    <row r="172" spans="1:30" ht="15.75" x14ac:dyDescent="0.25">
      <c r="A172" s="16">
        <v>46143</v>
      </c>
      <c r="B172" s="91">
        <v>31</v>
      </c>
      <c r="C172" s="78">
        <f>194.205</f>
        <v>194.20500000000001</v>
      </c>
      <c r="D172" s="78">
        <f>267.466</f>
        <v>267.46600000000001</v>
      </c>
      <c r="E172" s="86">
        <f>133.845</f>
        <v>133.845</v>
      </c>
      <c r="F172" s="78">
        <f>278.484-40-25-60</f>
        <v>153.48399999999998</v>
      </c>
      <c r="G172" s="80">
        <v>40</v>
      </c>
      <c r="H172" s="78">
        <f t="shared" si="28"/>
        <v>85</v>
      </c>
      <c r="I172" s="78">
        <f t="shared" si="19"/>
        <v>0</v>
      </c>
      <c r="J172" s="80">
        <v>100</v>
      </c>
      <c r="K172" s="80">
        <v>300</v>
      </c>
      <c r="L172" s="78">
        <f t="shared" si="22"/>
        <v>1274</v>
      </c>
      <c r="M172" s="88">
        <v>600</v>
      </c>
      <c r="N172" s="78">
        <f>75</f>
        <v>75</v>
      </c>
      <c r="O172" s="80">
        <v>240</v>
      </c>
      <c r="P172" s="80">
        <v>160</v>
      </c>
      <c r="Q172" s="80">
        <f t="shared" si="23"/>
        <v>195</v>
      </c>
      <c r="R172" s="80">
        <f t="shared" si="24"/>
        <v>100</v>
      </c>
      <c r="S172" s="78">
        <f t="shared" si="25"/>
        <v>695</v>
      </c>
      <c r="T172" s="78">
        <f>50</f>
        <v>50</v>
      </c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</row>
    <row r="173" spans="1:30" ht="15.75" x14ac:dyDescent="0.25">
      <c r="A173" s="16">
        <v>46174</v>
      </c>
      <c r="B173" s="91">
        <v>30</v>
      </c>
      <c r="C173" s="78">
        <f>194.205</f>
        <v>194.20500000000001</v>
      </c>
      <c r="D173" s="78">
        <f>267.466</f>
        <v>267.46600000000001</v>
      </c>
      <c r="E173" s="86">
        <f>133.845</f>
        <v>133.845</v>
      </c>
      <c r="F173" s="78">
        <f>278.484-40-25-60</f>
        <v>153.48399999999998</v>
      </c>
      <c r="G173" s="80">
        <v>40</v>
      </c>
      <c r="H173" s="78">
        <f t="shared" si="28"/>
        <v>85</v>
      </c>
      <c r="I173" s="78">
        <f t="shared" si="19"/>
        <v>0</v>
      </c>
      <c r="J173" s="80">
        <v>100</v>
      </c>
      <c r="K173" s="80">
        <v>300</v>
      </c>
      <c r="L173" s="78">
        <f t="shared" si="22"/>
        <v>1274</v>
      </c>
      <c r="M173" s="88">
        <v>600</v>
      </c>
      <c r="N173" s="78">
        <f>30</f>
        <v>30</v>
      </c>
      <c r="O173" s="80">
        <v>240</v>
      </c>
      <c r="P173" s="80">
        <v>160</v>
      </c>
      <c r="Q173" s="80">
        <f t="shared" si="23"/>
        <v>195</v>
      </c>
      <c r="R173" s="80">
        <f t="shared" si="24"/>
        <v>100</v>
      </c>
      <c r="S173" s="78">
        <f t="shared" si="25"/>
        <v>695</v>
      </c>
      <c r="T173" s="78">
        <f>50</f>
        <v>50</v>
      </c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</row>
    <row r="174" spans="1:30" ht="15.75" x14ac:dyDescent="0.25">
      <c r="A174" s="16">
        <v>46204</v>
      </c>
      <c r="B174" s="91">
        <v>31</v>
      </c>
      <c r="C174" s="78">
        <f>194.205</f>
        <v>194.20500000000001</v>
      </c>
      <c r="D174" s="78">
        <f>267.466</f>
        <v>267.46600000000001</v>
      </c>
      <c r="E174" s="86">
        <f>133.845</f>
        <v>133.845</v>
      </c>
      <c r="F174" s="78">
        <f>278.484-40-25-60</f>
        <v>153.48399999999998</v>
      </c>
      <c r="G174" s="80">
        <v>40</v>
      </c>
      <c r="H174" s="78">
        <f t="shared" si="28"/>
        <v>85</v>
      </c>
      <c r="I174" s="78">
        <f t="shared" si="19"/>
        <v>0</v>
      </c>
      <c r="J174" s="80">
        <v>100</v>
      </c>
      <c r="K174" s="80">
        <v>300</v>
      </c>
      <c r="L174" s="78">
        <f t="shared" si="22"/>
        <v>1274</v>
      </c>
      <c r="M174" s="88">
        <v>600</v>
      </c>
      <c r="N174" s="78">
        <f>30</f>
        <v>30</v>
      </c>
      <c r="O174" s="80">
        <v>240</v>
      </c>
      <c r="P174" s="80">
        <v>160</v>
      </c>
      <c r="Q174" s="80">
        <f t="shared" si="23"/>
        <v>195</v>
      </c>
      <c r="R174" s="80">
        <f t="shared" si="24"/>
        <v>100</v>
      </c>
      <c r="S174" s="78">
        <f t="shared" si="25"/>
        <v>695</v>
      </c>
      <c r="T174" s="78">
        <f>0</f>
        <v>0</v>
      </c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</row>
    <row r="175" spans="1:30" ht="15.75" x14ac:dyDescent="0.25">
      <c r="A175" s="16">
        <v>46235</v>
      </c>
      <c r="B175" s="91">
        <v>31</v>
      </c>
      <c r="C175" s="78">
        <f>194.205</f>
        <v>194.20500000000001</v>
      </c>
      <c r="D175" s="78">
        <f>267.466</f>
        <v>267.46600000000001</v>
      </c>
      <c r="E175" s="86">
        <f>133.845</f>
        <v>133.845</v>
      </c>
      <c r="F175" s="78">
        <f>278.484-40-25-60</f>
        <v>153.48399999999998</v>
      </c>
      <c r="G175" s="80">
        <v>40</v>
      </c>
      <c r="H175" s="78">
        <f t="shared" si="28"/>
        <v>85</v>
      </c>
      <c r="I175" s="78">
        <f t="shared" si="19"/>
        <v>0</v>
      </c>
      <c r="J175" s="80">
        <v>100</v>
      </c>
      <c r="K175" s="80">
        <v>300</v>
      </c>
      <c r="L175" s="78">
        <f t="shared" si="22"/>
        <v>1274</v>
      </c>
      <c r="M175" s="88">
        <v>600</v>
      </c>
      <c r="N175" s="78">
        <f>30</f>
        <v>30</v>
      </c>
      <c r="O175" s="80">
        <v>240</v>
      </c>
      <c r="P175" s="80">
        <v>160</v>
      </c>
      <c r="Q175" s="80">
        <f t="shared" si="23"/>
        <v>195</v>
      </c>
      <c r="R175" s="80">
        <f t="shared" si="24"/>
        <v>100</v>
      </c>
      <c r="S175" s="78">
        <f t="shared" si="25"/>
        <v>695</v>
      </c>
      <c r="T175" s="78">
        <f>0</f>
        <v>0</v>
      </c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</row>
    <row r="176" spans="1:30" ht="15.75" x14ac:dyDescent="0.25">
      <c r="A176" s="16">
        <v>46266</v>
      </c>
      <c r="B176" s="91">
        <v>30</v>
      </c>
      <c r="C176" s="78">
        <f>194.205</f>
        <v>194.20500000000001</v>
      </c>
      <c r="D176" s="78">
        <f>267.466</f>
        <v>267.46600000000001</v>
      </c>
      <c r="E176" s="86">
        <f>133.845</f>
        <v>133.845</v>
      </c>
      <c r="F176" s="78">
        <f>278.484-40-25-60</f>
        <v>153.48399999999998</v>
      </c>
      <c r="G176" s="80">
        <v>40</v>
      </c>
      <c r="H176" s="78">
        <f t="shared" si="28"/>
        <v>85</v>
      </c>
      <c r="I176" s="78">
        <f t="shared" si="19"/>
        <v>0</v>
      </c>
      <c r="J176" s="80">
        <v>100</v>
      </c>
      <c r="K176" s="80">
        <v>300</v>
      </c>
      <c r="L176" s="78">
        <f t="shared" si="22"/>
        <v>1274</v>
      </c>
      <c r="M176" s="88">
        <v>600</v>
      </c>
      <c r="N176" s="78">
        <f>30</f>
        <v>30</v>
      </c>
      <c r="O176" s="80">
        <v>240</v>
      </c>
      <c r="P176" s="80">
        <v>160</v>
      </c>
      <c r="Q176" s="80">
        <f t="shared" si="23"/>
        <v>195</v>
      </c>
      <c r="R176" s="80">
        <f t="shared" si="24"/>
        <v>100</v>
      </c>
      <c r="S176" s="78">
        <f t="shared" si="25"/>
        <v>695</v>
      </c>
      <c r="T176" s="78">
        <f>0</f>
        <v>0</v>
      </c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</row>
    <row r="177" spans="1:30" ht="15.75" x14ac:dyDescent="0.25">
      <c r="A177" s="16">
        <v>46296</v>
      </c>
      <c r="B177" s="91">
        <v>31</v>
      </c>
      <c r="C177" s="78">
        <f>131.881</f>
        <v>131.881</v>
      </c>
      <c r="D177" s="78">
        <f>277.167</f>
        <v>277.16699999999997</v>
      </c>
      <c r="E177" s="86">
        <f>79.08</f>
        <v>79.08</v>
      </c>
      <c r="F177" s="78">
        <f>350.872-40-25-60</f>
        <v>225.87200000000001</v>
      </c>
      <c r="G177" s="80">
        <v>40</v>
      </c>
      <c r="H177" s="78">
        <f t="shared" si="28"/>
        <v>85</v>
      </c>
      <c r="I177" s="78">
        <f t="shared" si="19"/>
        <v>0</v>
      </c>
      <c r="J177" s="80">
        <v>100</v>
      </c>
      <c r="K177" s="80">
        <v>300</v>
      </c>
      <c r="L177" s="78">
        <f t="shared" si="22"/>
        <v>1239</v>
      </c>
      <c r="M177" s="88">
        <v>600</v>
      </c>
      <c r="N177" s="78">
        <f>75</f>
        <v>75</v>
      </c>
      <c r="O177" s="80">
        <v>240</v>
      </c>
      <c r="P177" s="80">
        <v>160</v>
      </c>
      <c r="Q177" s="80">
        <f t="shared" si="23"/>
        <v>195</v>
      </c>
      <c r="R177" s="80">
        <f t="shared" si="24"/>
        <v>100</v>
      </c>
      <c r="S177" s="78">
        <f t="shared" si="25"/>
        <v>695</v>
      </c>
      <c r="T177" s="78">
        <f>0</f>
        <v>0</v>
      </c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</row>
    <row r="178" spans="1:30" ht="15.75" x14ac:dyDescent="0.25">
      <c r="A178" s="16">
        <v>46327</v>
      </c>
      <c r="B178" s="91">
        <v>30</v>
      </c>
      <c r="C178" s="78">
        <f>122.58</f>
        <v>122.58</v>
      </c>
      <c r="D178" s="78">
        <f>297.941</f>
        <v>297.94099999999997</v>
      </c>
      <c r="E178" s="86">
        <f>89.177</f>
        <v>89.177000000000007</v>
      </c>
      <c r="F178" s="78">
        <f>240.302-40-60</f>
        <v>140.30199999999999</v>
      </c>
      <c r="G178" s="80">
        <v>40</v>
      </c>
      <c r="H178" s="78">
        <v>60</v>
      </c>
      <c r="I178" s="78">
        <f t="shared" si="19"/>
        <v>0</v>
      </c>
      <c r="J178" s="80">
        <v>100</v>
      </c>
      <c r="K178" s="80">
        <v>300</v>
      </c>
      <c r="L178" s="78">
        <f t="shared" si="22"/>
        <v>1150</v>
      </c>
      <c r="M178" s="88">
        <v>600</v>
      </c>
      <c r="N178" s="78">
        <f>100</f>
        <v>100</v>
      </c>
      <c r="O178" s="80">
        <v>240</v>
      </c>
      <c r="P178" s="80">
        <v>40</v>
      </c>
      <c r="Q178" s="80">
        <f t="shared" si="23"/>
        <v>315</v>
      </c>
      <c r="R178" s="80">
        <f t="shared" si="24"/>
        <v>100</v>
      </c>
      <c r="S178" s="78">
        <f t="shared" si="25"/>
        <v>695</v>
      </c>
      <c r="T178" s="78">
        <f>50</f>
        <v>50</v>
      </c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</row>
    <row r="179" spans="1:30" ht="15.75" x14ac:dyDescent="0.25">
      <c r="A179" s="16">
        <v>46357</v>
      </c>
      <c r="B179" s="91">
        <v>31</v>
      </c>
      <c r="C179" s="78">
        <f>122.58</f>
        <v>122.58</v>
      </c>
      <c r="D179" s="78">
        <f>297.941</f>
        <v>297.94099999999997</v>
      </c>
      <c r="E179" s="86">
        <f>89.177</f>
        <v>89.177000000000007</v>
      </c>
      <c r="F179" s="78">
        <f>240.302-40-60</f>
        <v>140.30199999999999</v>
      </c>
      <c r="G179" s="80">
        <v>40</v>
      </c>
      <c r="H179" s="78">
        <v>60</v>
      </c>
      <c r="I179" s="78">
        <f t="shared" si="19"/>
        <v>0</v>
      </c>
      <c r="J179" s="80">
        <v>100</v>
      </c>
      <c r="K179" s="80">
        <v>300</v>
      </c>
      <c r="L179" s="78">
        <f t="shared" si="22"/>
        <v>1150</v>
      </c>
      <c r="M179" s="88">
        <v>600</v>
      </c>
      <c r="N179" s="78">
        <f>100</f>
        <v>100</v>
      </c>
      <c r="O179" s="80">
        <v>240</v>
      </c>
      <c r="P179" s="80">
        <v>40</v>
      </c>
      <c r="Q179" s="80">
        <f t="shared" si="23"/>
        <v>315</v>
      </c>
      <c r="R179" s="80">
        <f t="shared" si="24"/>
        <v>100</v>
      </c>
      <c r="S179" s="78">
        <f t="shared" si="25"/>
        <v>695</v>
      </c>
      <c r="T179" s="78">
        <f>50</f>
        <v>50</v>
      </c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</row>
    <row r="180" spans="1:30" ht="15.75" x14ac:dyDescent="0.25">
      <c r="A180" s="16">
        <v>46388</v>
      </c>
      <c r="B180" s="91">
        <v>31</v>
      </c>
      <c r="C180" s="78">
        <f>122.58</f>
        <v>122.58</v>
      </c>
      <c r="D180" s="78">
        <f>297.941</f>
        <v>297.94099999999997</v>
      </c>
      <c r="E180" s="86">
        <f>89.177</f>
        <v>89.177000000000007</v>
      </c>
      <c r="F180" s="78">
        <f>240.302-40-60</f>
        <v>140.30199999999999</v>
      </c>
      <c r="G180" s="80">
        <v>40</v>
      </c>
      <c r="H180" s="78">
        <v>60</v>
      </c>
      <c r="I180" s="78">
        <f t="shared" ref="I180:I243" si="29">400-J180-K180</f>
        <v>0</v>
      </c>
      <c r="J180" s="80">
        <v>100</v>
      </c>
      <c r="K180" s="80">
        <v>300</v>
      </c>
      <c r="L180" s="78">
        <f t="shared" si="22"/>
        <v>1150</v>
      </c>
      <c r="M180" s="88">
        <v>600</v>
      </c>
      <c r="N180" s="78">
        <f>100</f>
        <v>100</v>
      </c>
      <c r="O180" s="80">
        <v>240</v>
      </c>
      <c r="P180" s="80">
        <v>40</v>
      </c>
      <c r="Q180" s="80">
        <f t="shared" si="23"/>
        <v>315</v>
      </c>
      <c r="R180" s="80">
        <f t="shared" si="24"/>
        <v>100</v>
      </c>
      <c r="S180" s="78">
        <f t="shared" si="25"/>
        <v>695</v>
      </c>
      <c r="T180" s="78">
        <f>50</f>
        <v>50</v>
      </c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</row>
    <row r="181" spans="1:30" ht="15.75" x14ac:dyDescent="0.25">
      <c r="A181" s="16">
        <v>46419</v>
      </c>
      <c r="B181" s="91">
        <v>28</v>
      </c>
      <c r="C181" s="78">
        <f>122.58</f>
        <v>122.58</v>
      </c>
      <c r="D181" s="78">
        <f>297.941</f>
        <v>297.94099999999997</v>
      </c>
      <c r="E181" s="86">
        <f>89.177</f>
        <v>89.177000000000007</v>
      </c>
      <c r="F181" s="78">
        <f>240.302-40-60</f>
        <v>140.30199999999999</v>
      </c>
      <c r="G181" s="80">
        <v>40</v>
      </c>
      <c r="H181" s="78">
        <v>60</v>
      </c>
      <c r="I181" s="78">
        <f t="shared" si="29"/>
        <v>0</v>
      </c>
      <c r="J181" s="80">
        <v>100</v>
      </c>
      <c r="K181" s="80">
        <v>300</v>
      </c>
      <c r="L181" s="78">
        <f t="shared" si="22"/>
        <v>1150</v>
      </c>
      <c r="M181" s="88">
        <v>600</v>
      </c>
      <c r="N181" s="78">
        <f>100</f>
        <v>100</v>
      </c>
      <c r="O181" s="80">
        <v>240</v>
      </c>
      <c r="P181" s="80">
        <v>40</v>
      </c>
      <c r="Q181" s="80">
        <f t="shared" si="23"/>
        <v>315</v>
      </c>
      <c r="R181" s="80">
        <f t="shared" si="24"/>
        <v>100</v>
      </c>
      <c r="S181" s="78">
        <f t="shared" si="25"/>
        <v>695</v>
      </c>
      <c r="T181" s="78">
        <f>50</f>
        <v>50</v>
      </c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</row>
    <row r="182" spans="1:30" ht="15.75" x14ac:dyDescent="0.25">
      <c r="A182" s="16">
        <v>46447</v>
      </c>
      <c r="B182" s="91">
        <v>31</v>
      </c>
      <c r="C182" s="78">
        <f>122.58</f>
        <v>122.58</v>
      </c>
      <c r="D182" s="78">
        <f>297.941</f>
        <v>297.94099999999997</v>
      </c>
      <c r="E182" s="86">
        <f>89.177</f>
        <v>89.177000000000007</v>
      </c>
      <c r="F182" s="78">
        <f>240.302-40-60</f>
        <v>140.30199999999999</v>
      </c>
      <c r="G182" s="80">
        <v>40</v>
      </c>
      <c r="H182" s="78">
        <v>60</v>
      </c>
      <c r="I182" s="78">
        <f t="shared" si="29"/>
        <v>0</v>
      </c>
      <c r="J182" s="80">
        <v>100</v>
      </c>
      <c r="K182" s="80">
        <v>300</v>
      </c>
      <c r="L182" s="78">
        <f t="shared" si="22"/>
        <v>1150</v>
      </c>
      <c r="M182" s="88">
        <v>600</v>
      </c>
      <c r="N182" s="78">
        <f>100</f>
        <v>100</v>
      </c>
      <c r="O182" s="80">
        <v>240</v>
      </c>
      <c r="P182" s="80">
        <v>40</v>
      </c>
      <c r="Q182" s="80">
        <f t="shared" si="23"/>
        <v>315</v>
      </c>
      <c r="R182" s="80">
        <f t="shared" si="24"/>
        <v>100</v>
      </c>
      <c r="S182" s="78">
        <f t="shared" si="25"/>
        <v>695</v>
      </c>
      <c r="T182" s="78">
        <f>50</f>
        <v>50</v>
      </c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</row>
    <row r="183" spans="1:30" ht="15.75" x14ac:dyDescent="0.25">
      <c r="A183" s="16">
        <v>46478</v>
      </c>
      <c r="B183" s="91">
        <v>30</v>
      </c>
      <c r="C183" s="78">
        <f>141.293</f>
        <v>141.29300000000001</v>
      </c>
      <c r="D183" s="78">
        <f>267.993</f>
        <v>267.99299999999999</v>
      </c>
      <c r="E183" s="86">
        <f>115.016</f>
        <v>115.01600000000001</v>
      </c>
      <c r="F183" s="78">
        <f>314.698-40-25-60</f>
        <v>189.69799999999998</v>
      </c>
      <c r="G183" s="80">
        <v>40</v>
      </c>
      <c r="H183" s="78">
        <f t="shared" ref="H183:H189" si="30">25+60</f>
        <v>85</v>
      </c>
      <c r="I183" s="78">
        <f t="shared" si="29"/>
        <v>0</v>
      </c>
      <c r="J183" s="80">
        <v>100</v>
      </c>
      <c r="K183" s="80">
        <v>300</v>
      </c>
      <c r="L183" s="78">
        <f t="shared" si="22"/>
        <v>1239</v>
      </c>
      <c r="M183" s="88">
        <v>600</v>
      </c>
      <c r="N183" s="78">
        <f>100</f>
        <v>100</v>
      </c>
      <c r="O183" s="80">
        <v>240</v>
      </c>
      <c r="P183" s="80">
        <v>160</v>
      </c>
      <c r="Q183" s="80">
        <f t="shared" si="23"/>
        <v>195</v>
      </c>
      <c r="R183" s="80">
        <f t="shared" si="24"/>
        <v>100</v>
      </c>
      <c r="S183" s="78">
        <f t="shared" si="25"/>
        <v>695</v>
      </c>
      <c r="T183" s="78">
        <f>50</f>
        <v>50</v>
      </c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</row>
    <row r="184" spans="1:30" ht="15.75" x14ac:dyDescent="0.25">
      <c r="A184" s="16">
        <v>46508</v>
      </c>
      <c r="B184" s="91">
        <v>31</v>
      </c>
      <c r="C184" s="78">
        <f>194.205</f>
        <v>194.20500000000001</v>
      </c>
      <c r="D184" s="78">
        <f>267.466</f>
        <v>267.46600000000001</v>
      </c>
      <c r="E184" s="86">
        <f>133.845</f>
        <v>133.845</v>
      </c>
      <c r="F184" s="78">
        <f>278.484-40-25-60</f>
        <v>153.48399999999998</v>
      </c>
      <c r="G184" s="80">
        <v>40</v>
      </c>
      <c r="H184" s="78">
        <f t="shared" si="30"/>
        <v>85</v>
      </c>
      <c r="I184" s="78">
        <f t="shared" si="29"/>
        <v>0</v>
      </c>
      <c r="J184" s="80">
        <v>100</v>
      </c>
      <c r="K184" s="80">
        <v>300</v>
      </c>
      <c r="L184" s="78">
        <f t="shared" si="22"/>
        <v>1274</v>
      </c>
      <c r="M184" s="88">
        <v>600</v>
      </c>
      <c r="N184" s="78">
        <f>75</f>
        <v>75</v>
      </c>
      <c r="O184" s="80">
        <v>240</v>
      </c>
      <c r="P184" s="80">
        <v>160</v>
      </c>
      <c r="Q184" s="80">
        <f t="shared" si="23"/>
        <v>195</v>
      </c>
      <c r="R184" s="80">
        <f t="shared" si="24"/>
        <v>100</v>
      </c>
      <c r="S184" s="78">
        <f t="shared" si="25"/>
        <v>695</v>
      </c>
      <c r="T184" s="78">
        <f>50</f>
        <v>50</v>
      </c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</row>
    <row r="185" spans="1:30" ht="15.75" x14ac:dyDescent="0.25">
      <c r="A185" s="16">
        <v>46539</v>
      </c>
      <c r="B185" s="91">
        <v>30</v>
      </c>
      <c r="C185" s="78">
        <f>194.205</f>
        <v>194.20500000000001</v>
      </c>
      <c r="D185" s="78">
        <f>267.466</f>
        <v>267.46600000000001</v>
      </c>
      <c r="E185" s="86">
        <f>133.845</f>
        <v>133.845</v>
      </c>
      <c r="F185" s="78">
        <f>278.484-40-25-60</f>
        <v>153.48399999999998</v>
      </c>
      <c r="G185" s="80">
        <v>40</v>
      </c>
      <c r="H185" s="78">
        <f t="shared" si="30"/>
        <v>85</v>
      </c>
      <c r="I185" s="78">
        <f t="shared" si="29"/>
        <v>0</v>
      </c>
      <c r="J185" s="80">
        <v>100</v>
      </c>
      <c r="K185" s="80">
        <v>300</v>
      </c>
      <c r="L185" s="78">
        <f t="shared" si="22"/>
        <v>1274</v>
      </c>
      <c r="M185" s="88">
        <v>600</v>
      </c>
      <c r="N185" s="78">
        <f>30</f>
        <v>30</v>
      </c>
      <c r="O185" s="80">
        <v>240</v>
      </c>
      <c r="P185" s="80">
        <v>160</v>
      </c>
      <c r="Q185" s="80">
        <f t="shared" si="23"/>
        <v>195</v>
      </c>
      <c r="R185" s="80">
        <f t="shared" si="24"/>
        <v>100</v>
      </c>
      <c r="S185" s="78">
        <f t="shared" si="25"/>
        <v>695</v>
      </c>
      <c r="T185" s="78">
        <f>50</f>
        <v>50</v>
      </c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</row>
    <row r="186" spans="1:30" ht="15.75" x14ac:dyDescent="0.25">
      <c r="A186" s="16">
        <v>46569</v>
      </c>
      <c r="B186" s="91">
        <v>31</v>
      </c>
      <c r="C186" s="78">
        <f>194.205</f>
        <v>194.20500000000001</v>
      </c>
      <c r="D186" s="78">
        <f>267.466</f>
        <v>267.46600000000001</v>
      </c>
      <c r="E186" s="86">
        <f>133.845</f>
        <v>133.845</v>
      </c>
      <c r="F186" s="78">
        <f>278.484-40-25-60</f>
        <v>153.48399999999998</v>
      </c>
      <c r="G186" s="80">
        <v>40</v>
      </c>
      <c r="H186" s="78">
        <f t="shared" si="30"/>
        <v>85</v>
      </c>
      <c r="I186" s="78">
        <f t="shared" si="29"/>
        <v>0</v>
      </c>
      <c r="J186" s="80">
        <v>100</v>
      </c>
      <c r="K186" s="80">
        <v>300</v>
      </c>
      <c r="L186" s="78">
        <f t="shared" si="22"/>
        <v>1274</v>
      </c>
      <c r="M186" s="88">
        <v>600</v>
      </c>
      <c r="N186" s="78">
        <f>30</f>
        <v>30</v>
      </c>
      <c r="O186" s="80">
        <v>240</v>
      </c>
      <c r="P186" s="80">
        <v>160</v>
      </c>
      <c r="Q186" s="80">
        <f t="shared" si="23"/>
        <v>195</v>
      </c>
      <c r="R186" s="80">
        <f t="shared" si="24"/>
        <v>100</v>
      </c>
      <c r="S186" s="78">
        <f t="shared" si="25"/>
        <v>695</v>
      </c>
      <c r="T186" s="78">
        <f>0</f>
        <v>0</v>
      </c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</row>
    <row r="187" spans="1:30" ht="15.75" x14ac:dyDescent="0.25">
      <c r="A187" s="16">
        <v>46600</v>
      </c>
      <c r="B187" s="91">
        <v>31</v>
      </c>
      <c r="C187" s="78">
        <f>194.205</f>
        <v>194.20500000000001</v>
      </c>
      <c r="D187" s="78">
        <f>267.466</f>
        <v>267.46600000000001</v>
      </c>
      <c r="E187" s="86">
        <f>133.845</f>
        <v>133.845</v>
      </c>
      <c r="F187" s="78">
        <f>278.484-40-25-60</f>
        <v>153.48399999999998</v>
      </c>
      <c r="G187" s="80">
        <v>40</v>
      </c>
      <c r="H187" s="78">
        <f t="shared" si="30"/>
        <v>85</v>
      </c>
      <c r="I187" s="78">
        <f t="shared" si="29"/>
        <v>0</v>
      </c>
      <c r="J187" s="80">
        <v>100</v>
      </c>
      <c r="K187" s="80">
        <v>300</v>
      </c>
      <c r="L187" s="78">
        <f t="shared" si="22"/>
        <v>1274</v>
      </c>
      <c r="M187" s="88">
        <v>600</v>
      </c>
      <c r="N187" s="78">
        <f>30</f>
        <v>30</v>
      </c>
      <c r="O187" s="80">
        <v>240</v>
      </c>
      <c r="P187" s="80">
        <v>160</v>
      </c>
      <c r="Q187" s="80">
        <f t="shared" si="23"/>
        <v>195</v>
      </c>
      <c r="R187" s="80">
        <f t="shared" si="24"/>
        <v>100</v>
      </c>
      <c r="S187" s="78">
        <f t="shared" si="25"/>
        <v>695</v>
      </c>
      <c r="T187" s="78">
        <f>0</f>
        <v>0</v>
      </c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</row>
    <row r="188" spans="1:30" ht="15.75" x14ac:dyDescent="0.25">
      <c r="A188" s="16">
        <v>46631</v>
      </c>
      <c r="B188" s="91">
        <v>30</v>
      </c>
      <c r="C188" s="78">
        <f>194.205</f>
        <v>194.20500000000001</v>
      </c>
      <c r="D188" s="78">
        <f>267.466</f>
        <v>267.46600000000001</v>
      </c>
      <c r="E188" s="86">
        <f>133.845</f>
        <v>133.845</v>
      </c>
      <c r="F188" s="78">
        <f>278.484-40-25-60</f>
        <v>153.48399999999998</v>
      </c>
      <c r="G188" s="80">
        <v>40</v>
      </c>
      <c r="H188" s="78">
        <f t="shared" si="30"/>
        <v>85</v>
      </c>
      <c r="I188" s="78">
        <f t="shared" si="29"/>
        <v>0</v>
      </c>
      <c r="J188" s="80">
        <v>100</v>
      </c>
      <c r="K188" s="80">
        <v>300</v>
      </c>
      <c r="L188" s="78">
        <f t="shared" si="22"/>
        <v>1274</v>
      </c>
      <c r="M188" s="88">
        <v>600</v>
      </c>
      <c r="N188" s="78">
        <f>30</f>
        <v>30</v>
      </c>
      <c r="O188" s="80">
        <v>240</v>
      </c>
      <c r="P188" s="80">
        <v>160</v>
      </c>
      <c r="Q188" s="80">
        <f t="shared" si="23"/>
        <v>195</v>
      </c>
      <c r="R188" s="80">
        <f t="shared" si="24"/>
        <v>100</v>
      </c>
      <c r="S188" s="78">
        <f t="shared" si="25"/>
        <v>695</v>
      </c>
      <c r="T188" s="78">
        <f>0</f>
        <v>0</v>
      </c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</row>
    <row r="189" spans="1:30" ht="15.75" x14ac:dyDescent="0.25">
      <c r="A189" s="16">
        <v>46661</v>
      </c>
      <c r="B189" s="91">
        <v>31</v>
      </c>
      <c r="C189" s="78">
        <f>131.881</f>
        <v>131.881</v>
      </c>
      <c r="D189" s="78">
        <f>277.167</f>
        <v>277.16699999999997</v>
      </c>
      <c r="E189" s="86">
        <f>79.08</f>
        <v>79.08</v>
      </c>
      <c r="F189" s="78">
        <f>350.872-40-25-60</f>
        <v>225.87200000000001</v>
      </c>
      <c r="G189" s="80">
        <v>40</v>
      </c>
      <c r="H189" s="78">
        <f t="shared" si="30"/>
        <v>85</v>
      </c>
      <c r="I189" s="78">
        <f t="shared" si="29"/>
        <v>0</v>
      </c>
      <c r="J189" s="80">
        <v>100</v>
      </c>
      <c r="K189" s="80">
        <v>300</v>
      </c>
      <c r="L189" s="78">
        <f t="shared" si="22"/>
        <v>1239</v>
      </c>
      <c r="M189" s="88">
        <v>600</v>
      </c>
      <c r="N189" s="78">
        <f>75</f>
        <v>75</v>
      </c>
      <c r="O189" s="80">
        <v>240</v>
      </c>
      <c r="P189" s="80">
        <v>160</v>
      </c>
      <c r="Q189" s="80">
        <f t="shared" si="23"/>
        <v>195</v>
      </c>
      <c r="R189" s="80">
        <f t="shared" si="24"/>
        <v>100</v>
      </c>
      <c r="S189" s="78">
        <f t="shared" si="25"/>
        <v>695</v>
      </c>
      <c r="T189" s="78">
        <f>0</f>
        <v>0</v>
      </c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</row>
    <row r="190" spans="1:30" ht="15.75" x14ac:dyDescent="0.25">
      <c r="A190" s="16">
        <v>46692</v>
      </c>
      <c r="B190" s="91">
        <v>30</v>
      </c>
      <c r="C190" s="78">
        <f>122.58</f>
        <v>122.58</v>
      </c>
      <c r="D190" s="78">
        <f>297.941</f>
        <v>297.94099999999997</v>
      </c>
      <c r="E190" s="86">
        <f>89.177</f>
        <v>89.177000000000007</v>
      </c>
      <c r="F190" s="78">
        <f>240.302-40-60</f>
        <v>140.30199999999999</v>
      </c>
      <c r="G190" s="80">
        <v>40</v>
      </c>
      <c r="H190" s="78">
        <v>60</v>
      </c>
      <c r="I190" s="78">
        <f t="shared" si="29"/>
        <v>0</v>
      </c>
      <c r="J190" s="80">
        <v>100</v>
      </c>
      <c r="K190" s="80">
        <v>300</v>
      </c>
      <c r="L190" s="78">
        <f t="shared" si="22"/>
        <v>1150</v>
      </c>
      <c r="M190" s="88">
        <v>600</v>
      </c>
      <c r="N190" s="78">
        <f>100</f>
        <v>100</v>
      </c>
      <c r="O190" s="80">
        <v>240</v>
      </c>
      <c r="P190" s="80">
        <v>40</v>
      </c>
      <c r="Q190" s="80">
        <f t="shared" si="23"/>
        <v>315</v>
      </c>
      <c r="R190" s="80">
        <f t="shared" si="24"/>
        <v>100</v>
      </c>
      <c r="S190" s="78">
        <f t="shared" si="25"/>
        <v>695</v>
      </c>
      <c r="T190" s="78">
        <f>50</f>
        <v>50</v>
      </c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</row>
    <row r="191" spans="1:30" ht="15.75" x14ac:dyDescent="0.25">
      <c r="A191" s="16">
        <v>46722</v>
      </c>
      <c r="B191" s="91">
        <v>31</v>
      </c>
      <c r="C191" s="78">
        <f>122.58</f>
        <v>122.58</v>
      </c>
      <c r="D191" s="78">
        <f>297.941</f>
        <v>297.94099999999997</v>
      </c>
      <c r="E191" s="86">
        <f>89.177</f>
        <v>89.177000000000007</v>
      </c>
      <c r="F191" s="78">
        <f>240.302-40-60</f>
        <v>140.30199999999999</v>
      </c>
      <c r="G191" s="80">
        <v>40</v>
      </c>
      <c r="H191" s="78">
        <v>60</v>
      </c>
      <c r="I191" s="78">
        <f t="shared" si="29"/>
        <v>0</v>
      </c>
      <c r="J191" s="80">
        <v>100</v>
      </c>
      <c r="K191" s="80">
        <v>300</v>
      </c>
      <c r="L191" s="78">
        <f t="shared" si="22"/>
        <v>1150</v>
      </c>
      <c r="M191" s="88">
        <v>600</v>
      </c>
      <c r="N191" s="78">
        <f>100</f>
        <v>100</v>
      </c>
      <c r="O191" s="80">
        <v>240</v>
      </c>
      <c r="P191" s="80">
        <v>40</v>
      </c>
      <c r="Q191" s="80">
        <f t="shared" si="23"/>
        <v>315</v>
      </c>
      <c r="R191" s="80">
        <f t="shared" si="24"/>
        <v>100</v>
      </c>
      <c r="S191" s="78">
        <f t="shared" si="25"/>
        <v>695</v>
      </c>
      <c r="T191" s="78">
        <f>50</f>
        <v>50</v>
      </c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</row>
    <row r="192" spans="1:30" ht="15.75" x14ac:dyDescent="0.25">
      <c r="A192" s="16">
        <v>46753</v>
      </c>
      <c r="B192" s="91">
        <v>31</v>
      </c>
      <c r="C192" s="78">
        <f>122.58</f>
        <v>122.58</v>
      </c>
      <c r="D192" s="78">
        <f>297.941</f>
        <v>297.94099999999997</v>
      </c>
      <c r="E192" s="86">
        <f>89.177</f>
        <v>89.177000000000007</v>
      </c>
      <c r="F192" s="78">
        <f>240.302-40-60</f>
        <v>140.30199999999999</v>
      </c>
      <c r="G192" s="80">
        <v>40</v>
      </c>
      <c r="H192" s="78">
        <v>60</v>
      </c>
      <c r="I192" s="78">
        <f t="shared" si="29"/>
        <v>0</v>
      </c>
      <c r="J192" s="80">
        <v>100</v>
      </c>
      <c r="K192" s="80">
        <v>300</v>
      </c>
      <c r="L192" s="78">
        <f t="shared" si="22"/>
        <v>1150</v>
      </c>
      <c r="M192" s="88">
        <v>600</v>
      </c>
      <c r="N192" s="78">
        <f>100</f>
        <v>100</v>
      </c>
      <c r="O192" s="80">
        <v>240</v>
      </c>
      <c r="P192" s="80">
        <v>40</v>
      </c>
      <c r="Q192" s="80">
        <f t="shared" si="23"/>
        <v>315</v>
      </c>
      <c r="R192" s="80">
        <f t="shared" si="24"/>
        <v>100</v>
      </c>
      <c r="S192" s="78">
        <f t="shared" si="25"/>
        <v>695</v>
      </c>
      <c r="T192" s="78">
        <f>50</f>
        <v>50</v>
      </c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</row>
    <row r="193" spans="1:30" ht="15.75" x14ac:dyDescent="0.25">
      <c r="A193" s="16">
        <v>46784</v>
      </c>
      <c r="B193" s="91">
        <v>29</v>
      </c>
      <c r="C193" s="78">
        <f>122.58</f>
        <v>122.58</v>
      </c>
      <c r="D193" s="78">
        <f>297.941</f>
        <v>297.94099999999997</v>
      </c>
      <c r="E193" s="86">
        <f>89.177</f>
        <v>89.177000000000007</v>
      </c>
      <c r="F193" s="78">
        <f>240.302-40-60</f>
        <v>140.30199999999999</v>
      </c>
      <c r="G193" s="80">
        <v>40</v>
      </c>
      <c r="H193" s="78">
        <v>60</v>
      </c>
      <c r="I193" s="78">
        <f t="shared" si="29"/>
        <v>0</v>
      </c>
      <c r="J193" s="80">
        <v>100</v>
      </c>
      <c r="K193" s="80">
        <v>300</v>
      </c>
      <c r="L193" s="78">
        <f t="shared" si="22"/>
        <v>1150</v>
      </c>
      <c r="M193" s="88">
        <v>600</v>
      </c>
      <c r="N193" s="78">
        <f>100</f>
        <v>100</v>
      </c>
      <c r="O193" s="80">
        <v>240</v>
      </c>
      <c r="P193" s="80">
        <v>40</v>
      </c>
      <c r="Q193" s="80">
        <f t="shared" si="23"/>
        <v>315</v>
      </c>
      <c r="R193" s="80">
        <f t="shared" si="24"/>
        <v>100</v>
      </c>
      <c r="S193" s="78">
        <f t="shared" si="25"/>
        <v>695</v>
      </c>
      <c r="T193" s="78">
        <f>50</f>
        <v>50</v>
      </c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</row>
    <row r="194" spans="1:30" ht="15.75" x14ac:dyDescent="0.25">
      <c r="A194" s="16">
        <v>46813</v>
      </c>
      <c r="B194" s="91">
        <v>31</v>
      </c>
      <c r="C194" s="78">
        <f>122.58</f>
        <v>122.58</v>
      </c>
      <c r="D194" s="78">
        <f>297.941</f>
        <v>297.94099999999997</v>
      </c>
      <c r="E194" s="86">
        <f>89.177</f>
        <v>89.177000000000007</v>
      </c>
      <c r="F194" s="78">
        <f>240.302-40-60</f>
        <v>140.30199999999999</v>
      </c>
      <c r="G194" s="80">
        <v>40</v>
      </c>
      <c r="H194" s="78">
        <v>60</v>
      </c>
      <c r="I194" s="78">
        <f t="shared" si="29"/>
        <v>0</v>
      </c>
      <c r="J194" s="80">
        <v>100</v>
      </c>
      <c r="K194" s="80">
        <v>300</v>
      </c>
      <c r="L194" s="78">
        <f t="shared" si="22"/>
        <v>1150</v>
      </c>
      <c r="M194" s="88">
        <v>600</v>
      </c>
      <c r="N194" s="78">
        <f>100</f>
        <v>100</v>
      </c>
      <c r="O194" s="80">
        <v>240</v>
      </c>
      <c r="P194" s="80">
        <v>40</v>
      </c>
      <c r="Q194" s="80">
        <f t="shared" si="23"/>
        <v>315</v>
      </c>
      <c r="R194" s="80">
        <f t="shared" si="24"/>
        <v>100</v>
      </c>
      <c r="S194" s="78">
        <f t="shared" si="25"/>
        <v>695</v>
      </c>
      <c r="T194" s="78">
        <f>50</f>
        <v>50</v>
      </c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</row>
    <row r="195" spans="1:30" ht="15.75" x14ac:dyDescent="0.25">
      <c r="A195" s="16">
        <v>46844</v>
      </c>
      <c r="B195" s="91">
        <v>30</v>
      </c>
      <c r="C195" s="78">
        <f>141.293</f>
        <v>141.29300000000001</v>
      </c>
      <c r="D195" s="78">
        <f>267.993</f>
        <v>267.99299999999999</v>
      </c>
      <c r="E195" s="86">
        <f>115.016</f>
        <v>115.01600000000001</v>
      </c>
      <c r="F195" s="78">
        <f>314.698-40-25-60</f>
        <v>189.69799999999998</v>
      </c>
      <c r="G195" s="80">
        <v>40</v>
      </c>
      <c r="H195" s="78">
        <f t="shared" ref="H195:H201" si="31">25+60</f>
        <v>85</v>
      </c>
      <c r="I195" s="78">
        <f t="shared" si="29"/>
        <v>0</v>
      </c>
      <c r="J195" s="80">
        <v>100</v>
      </c>
      <c r="K195" s="80">
        <v>300</v>
      </c>
      <c r="L195" s="78">
        <f t="shared" si="22"/>
        <v>1239</v>
      </c>
      <c r="M195" s="88">
        <v>600</v>
      </c>
      <c r="N195" s="78">
        <f>100</f>
        <v>100</v>
      </c>
      <c r="O195" s="80">
        <v>240</v>
      </c>
      <c r="P195" s="80">
        <v>160</v>
      </c>
      <c r="Q195" s="80">
        <f t="shared" si="23"/>
        <v>195</v>
      </c>
      <c r="R195" s="80">
        <f t="shared" si="24"/>
        <v>100</v>
      </c>
      <c r="S195" s="78">
        <f t="shared" si="25"/>
        <v>695</v>
      </c>
      <c r="T195" s="78">
        <f>50</f>
        <v>50</v>
      </c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</row>
    <row r="196" spans="1:30" ht="15.75" x14ac:dyDescent="0.25">
      <c r="A196" s="16">
        <v>46874</v>
      </c>
      <c r="B196" s="91">
        <v>31</v>
      </c>
      <c r="C196" s="78">
        <f>194.205</f>
        <v>194.20500000000001</v>
      </c>
      <c r="D196" s="78">
        <f>267.466</f>
        <v>267.46600000000001</v>
      </c>
      <c r="E196" s="86">
        <f>133.845</f>
        <v>133.845</v>
      </c>
      <c r="F196" s="78">
        <f>278.484-40-25-60</f>
        <v>153.48399999999998</v>
      </c>
      <c r="G196" s="80">
        <v>40</v>
      </c>
      <c r="H196" s="78">
        <f t="shared" si="31"/>
        <v>85</v>
      </c>
      <c r="I196" s="78">
        <f t="shared" si="29"/>
        <v>0</v>
      </c>
      <c r="J196" s="80">
        <v>100</v>
      </c>
      <c r="K196" s="80">
        <v>300</v>
      </c>
      <c r="L196" s="78">
        <f t="shared" si="22"/>
        <v>1274</v>
      </c>
      <c r="M196" s="88">
        <v>600</v>
      </c>
      <c r="N196" s="78">
        <f>75</f>
        <v>75</v>
      </c>
      <c r="O196" s="80">
        <v>240</v>
      </c>
      <c r="P196" s="80">
        <v>160</v>
      </c>
      <c r="Q196" s="80">
        <f t="shared" si="23"/>
        <v>195</v>
      </c>
      <c r="R196" s="80">
        <f t="shared" si="24"/>
        <v>100</v>
      </c>
      <c r="S196" s="78">
        <f t="shared" si="25"/>
        <v>695</v>
      </c>
      <c r="T196" s="78">
        <f>50</f>
        <v>50</v>
      </c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</row>
    <row r="197" spans="1:30" ht="15.75" x14ac:dyDescent="0.25">
      <c r="A197" s="16">
        <v>46905</v>
      </c>
      <c r="B197" s="91">
        <v>30</v>
      </c>
      <c r="C197" s="78">
        <f>194.205</f>
        <v>194.20500000000001</v>
      </c>
      <c r="D197" s="78">
        <f>267.466</f>
        <v>267.46600000000001</v>
      </c>
      <c r="E197" s="86">
        <f>133.845</f>
        <v>133.845</v>
      </c>
      <c r="F197" s="78">
        <f>278.484-40-25-60</f>
        <v>153.48399999999998</v>
      </c>
      <c r="G197" s="80">
        <v>40</v>
      </c>
      <c r="H197" s="78">
        <f t="shared" si="31"/>
        <v>85</v>
      </c>
      <c r="I197" s="78">
        <f t="shared" si="29"/>
        <v>0</v>
      </c>
      <c r="J197" s="80">
        <v>100</v>
      </c>
      <c r="K197" s="80">
        <v>300</v>
      </c>
      <c r="L197" s="78">
        <f t="shared" si="22"/>
        <v>1274</v>
      </c>
      <c r="M197" s="88">
        <v>600</v>
      </c>
      <c r="N197" s="78">
        <f>30</f>
        <v>30</v>
      </c>
      <c r="O197" s="80">
        <v>240</v>
      </c>
      <c r="P197" s="80">
        <v>160</v>
      </c>
      <c r="Q197" s="80">
        <f t="shared" si="23"/>
        <v>195</v>
      </c>
      <c r="R197" s="80">
        <f t="shared" si="24"/>
        <v>100</v>
      </c>
      <c r="S197" s="78">
        <f t="shared" si="25"/>
        <v>695</v>
      </c>
      <c r="T197" s="78">
        <f>50</f>
        <v>50</v>
      </c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</row>
    <row r="198" spans="1:30" ht="15.75" x14ac:dyDescent="0.25">
      <c r="A198" s="16">
        <v>46935</v>
      </c>
      <c r="B198" s="91">
        <v>31</v>
      </c>
      <c r="C198" s="78">
        <f>194.205</f>
        <v>194.20500000000001</v>
      </c>
      <c r="D198" s="78">
        <f>267.466</f>
        <v>267.46600000000001</v>
      </c>
      <c r="E198" s="86">
        <f>133.845</f>
        <v>133.845</v>
      </c>
      <c r="F198" s="78">
        <f>278.484-40-25-60</f>
        <v>153.48399999999998</v>
      </c>
      <c r="G198" s="80">
        <v>40</v>
      </c>
      <c r="H198" s="78">
        <f t="shared" si="31"/>
        <v>85</v>
      </c>
      <c r="I198" s="78">
        <f t="shared" si="29"/>
        <v>0</v>
      </c>
      <c r="J198" s="80">
        <v>100</v>
      </c>
      <c r="K198" s="80">
        <v>300</v>
      </c>
      <c r="L198" s="78">
        <f t="shared" si="22"/>
        <v>1274</v>
      </c>
      <c r="M198" s="88">
        <v>600</v>
      </c>
      <c r="N198" s="78">
        <f>30</f>
        <v>30</v>
      </c>
      <c r="O198" s="80">
        <v>240</v>
      </c>
      <c r="P198" s="80">
        <v>160</v>
      </c>
      <c r="Q198" s="80">
        <f t="shared" si="23"/>
        <v>195</v>
      </c>
      <c r="R198" s="80">
        <f t="shared" si="24"/>
        <v>100</v>
      </c>
      <c r="S198" s="78">
        <f t="shared" si="25"/>
        <v>695</v>
      </c>
      <c r="T198" s="78">
        <f>0</f>
        <v>0</v>
      </c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</row>
    <row r="199" spans="1:30" ht="15.75" x14ac:dyDescent="0.25">
      <c r="A199" s="16">
        <v>46966</v>
      </c>
      <c r="B199" s="91">
        <v>31</v>
      </c>
      <c r="C199" s="78">
        <f>194.205</f>
        <v>194.20500000000001</v>
      </c>
      <c r="D199" s="78">
        <f>267.466</f>
        <v>267.46600000000001</v>
      </c>
      <c r="E199" s="86">
        <f>133.845</f>
        <v>133.845</v>
      </c>
      <c r="F199" s="78">
        <f>278.484-40-25-60</f>
        <v>153.48399999999998</v>
      </c>
      <c r="G199" s="80">
        <v>40</v>
      </c>
      <c r="H199" s="78">
        <f t="shared" si="31"/>
        <v>85</v>
      </c>
      <c r="I199" s="78">
        <f t="shared" si="29"/>
        <v>0</v>
      </c>
      <c r="J199" s="80">
        <v>100</v>
      </c>
      <c r="K199" s="80">
        <v>300</v>
      </c>
      <c r="L199" s="78">
        <f t="shared" si="22"/>
        <v>1274</v>
      </c>
      <c r="M199" s="88">
        <v>600</v>
      </c>
      <c r="N199" s="78">
        <f>30</f>
        <v>30</v>
      </c>
      <c r="O199" s="80">
        <v>240</v>
      </c>
      <c r="P199" s="80">
        <v>160</v>
      </c>
      <c r="Q199" s="80">
        <f t="shared" si="23"/>
        <v>195</v>
      </c>
      <c r="R199" s="80">
        <f t="shared" si="24"/>
        <v>100</v>
      </c>
      <c r="S199" s="78">
        <f t="shared" si="25"/>
        <v>695</v>
      </c>
      <c r="T199" s="78">
        <f>0</f>
        <v>0</v>
      </c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</row>
    <row r="200" spans="1:30" ht="15.75" x14ac:dyDescent="0.25">
      <c r="A200" s="16">
        <v>46997</v>
      </c>
      <c r="B200" s="91">
        <v>30</v>
      </c>
      <c r="C200" s="78">
        <f>194.205</f>
        <v>194.20500000000001</v>
      </c>
      <c r="D200" s="78">
        <f>267.466</f>
        <v>267.46600000000001</v>
      </c>
      <c r="E200" s="86">
        <f>133.845</f>
        <v>133.845</v>
      </c>
      <c r="F200" s="78">
        <f>278.484-40-25-60</f>
        <v>153.48399999999998</v>
      </c>
      <c r="G200" s="80">
        <v>40</v>
      </c>
      <c r="H200" s="78">
        <f t="shared" si="31"/>
        <v>85</v>
      </c>
      <c r="I200" s="78">
        <f t="shared" si="29"/>
        <v>0</v>
      </c>
      <c r="J200" s="80">
        <v>100</v>
      </c>
      <c r="K200" s="80">
        <v>300</v>
      </c>
      <c r="L200" s="78">
        <f t="shared" si="22"/>
        <v>1274</v>
      </c>
      <c r="M200" s="88">
        <v>600</v>
      </c>
      <c r="N200" s="78">
        <f>30</f>
        <v>30</v>
      </c>
      <c r="O200" s="80">
        <v>240</v>
      </c>
      <c r="P200" s="80">
        <v>160</v>
      </c>
      <c r="Q200" s="80">
        <f t="shared" si="23"/>
        <v>195</v>
      </c>
      <c r="R200" s="80">
        <f t="shared" si="24"/>
        <v>100</v>
      </c>
      <c r="S200" s="78">
        <f t="shared" si="25"/>
        <v>695</v>
      </c>
      <c r="T200" s="78">
        <f>0</f>
        <v>0</v>
      </c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</row>
    <row r="201" spans="1:30" ht="15.75" x14ac:dyDescent="0.25">
      <c r="A201" s="16">
        <v>47027</v>
      </c>
      <c r="B201" s="91">
        <v>31</v>
      </c>
      <c r="C201" s="78">
        <f>131.881</f>
        <v>131.881</v>
      </c>
      <c r="D201" s="78">
        <f>277.167</f>
        <v>277.16699999999997</v>
      </c>
      <c r="E201" s="86">
        <f>79.08</f>
        <v>79.08</v>
      </c>
      <c r="F201" s="78">
        <f>350.872-40-25-60</f>
        <v>225.87200000000001</v>
      </c>
      <c r="G201" s="80">
        <v>40</v>
      </c>
      <c r="H201" s="78">
        <f t="shared" si="31"/>
        <v>85</v>
      </c>
      <c r="I201" s="78">
        <f t="shared" si="29"/>
        <v>0</v>
      </c>
      <c r="J201" s="80">
        <v>100</v>
      </c>
      <c r="K201" s="80">
        <v>300</v>
      </c>
      <c r="L201" s="78">
        <f t="shared" si="22"/>
        <v>1239</v>
      </c>
      <c r="M201" s="88">
        <v>600</v>
      </c>
      <c r="N201" s="78">
        <f>75</f>
        <v>75</v>
      </c>
      <c r="O201" s="80">
        <v>240</v>
      </c>
      <c r="P201" s="80">
        <v>160</v>
      </c>
      <c r="Q201" s="80">
        <f t="shared" si="23"/>
        <v>195</v>
      </c>
      <c r="R201" s="80">
        <f t="shared" si="24"/>
        <v>100</v>
      </c>
      <c r="S201" s="78">
        <f t="shared" si="25"/>
        <v>695</v>
      </c>
      <c r="T201" s="78">
        <f>0</f>
        <v>0</v>
      </c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</row>
    <row r="202" spans="1:30" ht="15.75" x14ac:dyDescent="0.25">
      <c r="A202" s="16">
        <v>47058</v>
      </c>
      <c r="B202" s="91">
        <v>30</v>
      </c>
      <c r="C202" s="78">
        <f>122.58</f>
        <v>122.58</v>
      </c>
      <c r="D202" s="78">
        <f>297.941</f>
        <v>297.94099999999997</v>
      </c>
      <c r="E202" s="86">
        <f>89.177</f>
        <v>89.177000000000007</v>
      </c>
      <c r="F202" s="78">
        <f>240.302-40-60</f>
        <v>140.30199999999999</v>
      </c>
      <c r="G202" s="80">
        <v>40</v>
      </c>
      <c r="H202" s="78">
        <v>60</v>
      </c>
      <c r="I202" s="78">
        <f t="shared" si="29"/>
        <v>0</v>
      </c>
      <c r="J202" s="80">
        <v>100</v>
      </c>
      <c r="K202" s="80">
        <v>300</v>
      </c>
      <c r="L202" s="78">
        <f t="shared" si="22"/>
        <v>1150</v>
      </c>
      <c r="M202" s="88">
        <v>600</v>
      </c>
      <c r="N202" s="78">
        <f>100</f>
        <v>100</v>
      </c>
      <c r="O202" s="80">
        <v>240</v>
      </c>
      <c r="P202" s="80">
        <v>40</v>
      </c>
      <c r="Q202" s="80">
        <f t="shared" si="23"/>
        <v>315</v>
      </c>
      <c r="R202" s="80">
        <f t="shared" si="24"/>
        <v>100</v>
      </c>
      <c r="S202" s="78">
        <f t="shared" si="25"/>
        <v>695</v>
      </c>
      <c r="T202" s="78">
        <f>50</f>
        <v>50</v>
      </c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</row>
    <row r="203" spans="1:30" ht="15.75" x14ac:dyDescent="0.25">
      <c r="A203" s="16">
        <v>47088</v>
      </c>
      <c r="B203" s="91">
        <v>31</v>
      </c>
      <c r="C203" s="78">
        <f>122.58</f>
        <v>122.58</v>
      </c>
      <c r="D203" s="78">
        <f>297.941</f>
        <v>297.94099999999997</v>
      </c>
      <c r="E203" s="86">
        <f>89.177</f>
        <v>89.177000000000007</v>
      </c>
      <c r="F203" s="78">
        <f>240.302-40-60</f>
        <v>140.30199999999999</v>
      </c>
      <c r="G203" s="80">
        <v>40</v>
      </c>
      <c r="H203" s="78">
        <v>60</v>
      </c>
      <c r="I203" s="78">
        <f t="shared" si="29"/>
        <v>0</v>
      </c>
      <c r="J203" s="80">
        <v>100</v>
      </c>
      <c r="K203" s="80">
        <v>300</v>
      </c>
      <c r="L203" s="78">
        <f t="shared" si="22"/>
        <v>1150</v>
      </c>
      <c r="M203" s="88">
        <v>600</v>
      </c>
      <c r="N203" s="78">
        <f>100</f>
        <v>100</v>
      </c>
      <c r="O203" s="80">
        <v>240</v>
      </c>
      <c r="P203" s="80">
        <v>40</v>
      </c>
      <c r="Q203" s="80">
        <f t="shared" si="23"/>
        <v>315</v>
      </c>
      <c r="R203" s="80">
        <f t="shared" si="24"/>
        <v>100</v>
      </c>
      <c r="S203" s="78">
        <f t="shared" si="25"/>
        <v>695</v>
      </c>
      <c r="T203" s="78">
        <f>50</f>
        <v>50</v>
      </c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</row>
    <row r="204" spans="1:30" ht="15.75" x14ac:dyDescent="0.25">
      <c r="A204" s="16">
        <v>47119</v>
      </c>
      <c r="B204" s="91">
        <v>31</v>
      </c>
      <c r="C204" s="78">
        <f>122.58</f>
        <v>122.58</v>
      </c>
      <c r="D204" s="78">
        <f>297.941</f>
        <v>297.94099999999997</v>
      </c>
      <c r="E204" s="86">
        <f>89.177</f>
        <v>89.177000000000007</v>
      </c>
      <c r="F204" s="78">
        <f>240.302-40-60</f>
        <v>140.30199999999999</v>
      </c>
      <c r="G204" s="80">
        <v>40</v>
      </c>
      <c r="H204" s="78">
        <v>60</v>
      </c>
      <c r="I204" s="78">
        <f t="shared" si="29"/>
        <v>0</v>
      </c>
      <c r="J204" s="80">
        <v>100</v>
      </c>
      <c r="K204" s="80">
        <v>300</v>
      </c>
      <c r="L204" s="78">
        <f t="shared" si="22"/>
        <v>1150</v>
      </c>
      <c r="M204" s="88">
        <v>600</v>
      </c>
      <c r="N204" s="78">
        <f>100</f>
        <v>100</v>
      </c>
      <c r="O204" s="80">
        <v>240</v>
      </c>
      <c r="P204" s="80">
        <v>40</v>
      </c>
      <c r="Q204" s="80">
        <f t="shared" si="23"/>
        <v>315</v>
      </c>
      <c r="R204" s="80">
        <f t="shared" si="24"/>
        <v>100</v>
      </c>
      <c r="S204" s="78">
        <f t="shared" si="25"/>
        <v>695</v>
      </c>
      <c r="T204" s="78">
        <f>50</f>
        <v>50</v>
      </c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</row>
    <row r="205" spans="1:30" ht="15.75" x14ac:dyDescent="0.25">
      <c r="A205" s="16">
        <v>47150</v>
      </c>
      <c r="B205" s="91">
        <v>28</v>
      </c>
      <c r="C205" s="78">
        <f>122.58</f>
        <v>122.58</v>
      </c>
      <c r="D205" s="78">
        <f>297.941</f>
        <v>297.94099999999997</v>
      </c>
      <c r="E205" s="86">
        <f>89.177</f>
        <v>89.177000000000007</v>
      </c>
      <c r="F205" s="78">
        <f>240.302-40-60</f>
        <v>140.30199999999999</v>
      </c>
      <c r="G205" s="80">
        <v>40</v>
      </c>
      <c r="H205" s="78">
        <v>60</v>
      </c>
      <c r="I205" s="78">
        <f t="shared" si="29"/>
        <v>0</v>
      </c>
      <c r="J205" s="80">
        <v>100</v>
      </c>
      <c r="K205" s="80">
        <v>300</v>
      </c>
      <c r="L205" s="78">
        <f t="shared" si="22"/>
        <v>1150</v>
      </c>
      <c r="M205" s="88">
        <v>600</v>
      </c>
      <c r="N205" s="78">
        <f>100</f>
        <v>100</v>
      </c>
      <c r="O205" s="80">
        <v>240</v>
      </c>
      <c r="P205" s="80">
        <v>40</v>
      </c>
      <c r="Q205" s="80">
        <f t="shared" si="23"/>
        <v>315</v>
      </c>
      <c r="R205" s="80">
        <f t="shared" si="24"/>
        <v>100</v>
      </c>
      <c r="S205" s="78">
        <f t="shared" si="25"/>
        <v>695</v>
      </c>
      <c r="T205" s="78">
        <f>50</f>
        <v>50</v>
      </c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</row>
    <row r="206" spans="1:30" ht="15.75" x14ac:dyDescent="0.25">
      <c r="A206" s="16">
        <v>47178</v>
      </c>
      <c r="B206" s="91">
        <v>31</v>
      </c>
      <c r="C206" s="78">
        <f>122.58</f>
        <v>122.58</v>
      </c>
      <c r="D206" s="78">
        <f>297.941</f>
        <v>297.94099999999997</v>
      </c>
      <c r="E206" s="86">
        <f>89.177</f>
        <v>89.177000000000007</v>
      </c>
      <c r="F206" s="78">
        <f>240.302-40-60</f>
        <v>140.30199999999999</v>
      </c>
      <c r="G206" s="80">
        <v>40</v>
      </c>
      <c r="H206" s="78">
        <v>60</v>
      </c>
      <c r="I206" s="78">
        <f t="shared" si="29"/>
        <v>0</v>
      </c>
      <c r="J206" s="80">
        <v>100</v>
      </c>
      <c r="K206" s="80">
        <v>300</v>
      </c>
      <c r="L206" s="78">
        <f t="shared" ref="L206:L269" si="32">SUM(C206:K206)</f>
        <v>1150</v>
      </c>
      <c r="M206" s="88">
        <v>600</v>
      </c>
      <c r="N206" s="78">
        <f>100</f>
        <v>100</v>
      </c>
      <c r="O206" s="80">
        <v>240</v>
      </c>
      <c r="P206" s="80">
        <v>40</v>
      </c>
      <c r="Q206" s="80">
        <f t="shared" ref="Q206:Q269" si="33">695-R206-O206-P206</f>
        <v>315</v>
      </c>
      <c r="R206" s="80">
        <f t="shared" ref="R206:R269" si="34">200-J206</f>
        <v>100</v>
      </c>
      <c r="S206" s="78">
        <f t="shared" ref="S206:S269" si="35">SUM(O206:R206)</f>
        <v>695</v>
      </c>
      <c r="T206" s="78">
        <f>50</f>
        <v>50</v>
      </c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</row>
    <row r="207" spans="1:30" ht="15.75" x14ac:dyDescent="0.25">
      <c r="A207" s="16">
        <v>47209</v>
      </c>
      <c r="B207" s="91">
        <v>30</v>
      </c>
      <c r="C207" s="78">
        <f>141.293</f>
        <v>141.29300000000001</v>
      </c>
      <c r="D207" s="78">
        <f>267.993</f>
        <v>267.99299999999999</v>
      </c>
      <c r="E207" s="86">
        <f>115.016</f>
        <v>115.01600000000001</v>
      </c>
      <c r="F207" s="78">
        <f>314.698-40-25-60</f>
        <v>189.69799999999998</v>
      </c>
      <c r="G207" s="80">
        <v>40</v>
      </c>
      <c r="H207" s="78">
        <f t="shared" ref="H207:H213" si="36">25+60</f>
        <v>85</v>
      </c>
      <c r="I207" s="78">
        <f t="shared" si="29"/>
        <v>0</v>
      </c>
      <c r="J207" s="80">
        <v>100</v>
      </c>
      <c r="K207" s="80">
        <v>300</v>
      </c>
      <c r="L207" s="78">
        <f t="shared" si="32"/>
        <v>1239</v>
      </c>
      <c r="M207" s="88">
        <v>600</v>
      </c>
      <c r="N207" s="78">
        <f>100</f>
        <v>100</v>
      </c>
      <c r="O207" s="80">
        <v>240</v>
      </c>
      <c r="P207" s="80">
        <v>160</v>
      </c>
      <c r="Q207" s="80">
        <f t="shared" si="33"/>
        <v>195</v>
      </c>
      <c r="R207" s="80">
        <f t="shared" si="34"/>
        <v>100</v>
      </c>
      <c r="S207" s="78">
        <f t="shared" si="35"/>
        <v>695</v>
      </c>
      <c r="T207" s="78">
        <f>50</f>
        <v>50</v>
      </c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</row>
    <row r="208" spans="1:30" ht="15.75" x14ac:dyDescent="0.25">
      <c r="A208" s="16">
        <v>47239</v>
      </c>
      <c r="B208" s="91">
        <v>31</v>
      </c>
      <c r="C208" s="78">
        <f>194.205</f>
        <v>194.20500000000001</v>
      </c>
      <c r="D208" s="78">
        <f>267.466</f>
        <v>267.46600000000001</v>
      </c>
      <c r="E208" s="86">
        <f>133.845</f>
        <v>133.845</v>
      </c>
      <c r="F208" s="78">
        <f>278.484-40-25-60</f>
        <v>153.48399999999998</v>
      </c>
      <c r="G208" s="80">
        <v>40</v>
      </c>
      <c r="H208" s="78">
        <f t="shared" si="36"/>
        <v>85</v>
      </c>
      <c r="I208" s="78">
        <f t="shared" si="29"/>
        <v>0</v>
      </c>
      <c r="J208" s="80">
        <v>100</v>
      </c>
      <c r="K208" s="80">
        <v>300</v>
      </c>
      <c r="L208" s="78">
        <f t="shared" si="32"/>
        <v>1274</v>
      </c>
      <c r="M208" s="88">
        <v>600</v>
      </c>
      <c r="N208" s="78">
        <f>75</f>
        <v>75</v>
      </c>
      <c r="O208" s="80">
        <v>240</v>
      </c>
      <c r="P208" s="80">
        <v>160</v>
      </c>
      <c r="Q208" s="80">
        <f t="shared" si="33"/>
        <v>195</v>
      </c>
      <c r="R208" s="80">
        <f t="shared" si="34"/>
        <v>100</v>
      </c>
      <c r="S208" s="78">
        <f t="shared" si="35"/>
        <v>695</v>
      </c>
      <c r="T208" s="78">
        <f>50</f>
        <v>50</v>
      </c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</row>
    <row r="209" spans="1:30" ht="15.75" x14ac:dyDescent="0.25">
      <c r="A209" s="16">
        <v>47270</v>
      </c>
      <c r="B209" s="91">
        <v>30</v>
      </c>
      <c r="C209" s="78">
        <f>194.205</f>
        <v>194.20500000000001</v>
      </c>
      <c r="D209" s="78">
        <f>267.466</f>
        <v>267.46600000000001</v>
      </c>
      <c r="E209" s="86">
        <f>133.845</f>
        <v>133.845</v>
      </c>
      <c r="F209" s="78">
        <f>278.484-40-25-60</f>
        <v>153.48399999999998</v>
      </c>
      <c r="G209" s="80">
        <v>40</v>
      </c>
      <c r="H209" s="78">
        <f t="shared" si="36"/>
        <v>85</v>
      </c>
      <c r="I209" s="78">
        <f t="shared" si="29"/>
        <v>0</v>
      </c>
      <c r="J209" s="80">
        <v>100</v>
      </c>
      <c r="K209" s="80">
        <v>300</v>
      </c>
      <c r="L209" s="78">
        <f t="shared" si="32"/>
        <v>1274</v>
      </c>
      <c r="M209" s="88">
        <v>600</v>
      </c>
      <c r="N209" s="78">
        <f>30</f>
        <v>30</v>
      </c>
      <c r="O209" s="80">
        <v>240</v>
      </c>
      <c r="P209" s="80">
        <v>160</v>
      </c>
      <c r="Q209" s="80">
        <f t="shared" si="33"/>
        <v>195</v>
      </c>
      <c r="R209" s="80">
        <f t="shared" si="34"/>
        <v>100</v>
      </c>
      <c r="S209" s="78">
        <f t="shared" si="35"/>
        <v>695</v>
      </c>
      <c r="T209" s="78">
        <f>50</f>
        <v>50</v>
      </c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</row>
    <row r="210" spans="1:30" ht="15.75" x14ac:dyDescent="0.25">
      <c r="A210" s="16">
        <v>47300</v>
      </c>
      <c r="B210" s="91">
        <v>31</v>
      </c>
      <c r="C210" s="78">
        <f>194.205</f>
        <v>194.20500000000001</v>
      </c>
      <c r="D210" s="78">
        <f>267.466</f>
        <v>267.46600000000001</v>
      </c>
      <c r="E210" s="86">
        <f>133.845</f>
        <v>133.845</v>
      </c>
      <c r="F210" s="78">
        <f>278.484-40-25-60</f>
        <v>153.48399999999998</v>
      </c>
      <c r="G210" s="80">
        <v>40</v>
      </c>
      <c r="H210" s="78">
        <f t="shared" si="36"/>
        <v>85</v>
      </c>
      <c r="I210" s="78">
        <f t="shared" si="29"/>
        <v>0</v>
      </c>
      <c r="J210" s="80">
        <v>100</v>
      </c>
      <c r="K210" s="80">
        <v>300</v>
      </c>
      <c r="L210" s="78">
        <f t="shared" si="32"/>
        <v>1274</v>
      </c>
      <c r="M210" s="88">
        <v>600</v>
      </c>
      <c r="N210" s="78">
        <f>30</f>
        <v>30</v>
      </c>
      <c r="O210" s="80">
        <v>240</v>
      </c>
      <c r="P210" s="80">
        <v>160</v>
      </c>
      <c r="Q210" s="80">
        <f t="shared" si="33"/>
        <v>195</v>
      </c>
      <c r="R210" s="80">
        <f t="shared" si="34"/>
        <v>100</v>
      </c>
      <c r="S210" s="78">
        <f t="shared" si="35"/>
        <v>695</v>
      </c>
      <c r="T210" s="78">
        <f>0</f>
        <v>0</v>
      </c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</row>
    <row r="211" spans="1:30" ht="15.75" x14ac:dyDescent="0.25">
      <c r="A211" s="16">
        <v>47331</v>
      </c>
      <c r="B211" s="91">
        <v>31</v>
      </c>
      <c r="C211" s="78">
        <f>194.205</f>
        <v>194.20500000000001</v>
      </c>
      <c r="D211" s="78">
        <f>267.466</f>
        <v>267.46600000000001</v>
      </c>
      <c r="E211" s="86">
        <f>133.845</f>
        <v>133.845</v>
      </c>
      <c r="F211" s="78">
        <f>278.484-40-25-60</f>
        <v>153.48399999999998</v>
      </c>
      <c r="G211" s="80">
        <v>40</v>
      </c>
      <c r="H211" s="78">
        <f t="shared" si="36"/>
        <v>85</v>
      </c>
      <c r="I211" s="78">
        <f t="shared" si="29"/>
        <v>0</v>
      </c>
      <c r="J211" s="80">
        <v>100</v>
      </c>
      <c r="K211" s="80">
        <v>300</v>
      </c>
      <c r="L211" s="78">
        <f t="shared" si="32"/>
        <v>1274</v>
      </c>
      <c r="M211" s="88">
        <v>600</v>
      </c>
      <c r="N211" s="78">
        <f>30</f>
        <v>30</v>
      </c>
      <c r="O211" s="80">
        <v>240</v>
      </c>
      <c r="P211" s="80">
        <v>160</v>
      </c>
      <c r="Q211" s="80">
        <f t="shared" si="33"/>
        <v>195</v>
      </c>
      <c r="R211" s="80">
        <f t="shared" si="34"/>
        <v>100</v>
      </c>
      <c r="S211" s="78">
        <f t="shared" si="35"/>
        <v>695</v>
      </c>
      <c r="T211" s="78">
        <f>0</f>
        <v>0</v>
      </c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</row>
    <row r="212" spans="1:30" ht="15.75" x14ac:dyDescent="0.25">
      <c r="A212" s="16">
        <v>47362</v>
      </c>
      <c r="B212" s="91">
        <v>30</v>
      </c>
      <c r="C212" s="78">
        <f>194.205</f>
        <v>194.20500000000001</v>
      </c>
      <c r="D212" s="78">
        <f>267.466</f>
        <v>267.46600000000001</v>
      </c>
      <c r="E212" s="86">
        <f>133.845</f>
        <v>133.845</v>
      </c>
      <c r="F212" s="78">
        <f>278.484-40-25-60</f>
        <v>153.48399999999998</v>
      </c>
      <c r="G212" s="80">
        <v>40</v>
      </c>
      <c r="H212" s="78">
        <f t="shared" si="36"/>
        <v>85</v>
      </c>
      <c r="I212" s="78">
        <f t="shared" si="29"/>
        <v>0</v>
      </c>
      <c r="J212" s="80">
        <v>100</v>
      </c>
      <c r="K212" s="80">
        <v>300</v>
      </c>
      <c r="L212" s="78">
        <f t="shared" si="32"/>
        <v>1274</v>
      </c>
      <c r="M212" s="88">
        <v>600</v>
      </c>
      <c r="N212" s="78">
        <f>30</f>
        <v>30</v>
      </c>
      <c r="O212" s="80">
        <v>240</v>
      </c>
      <c r="P212" s="80">
        <v>160</v>
      </c>
      <c r="Q212" s="80">
        <f t="shared" si="33"/>
        <v>195</v>
      </c>
      <c r="R212" s="80">
        <f t="shared" si="34"/>
        <v>100</v>
      </c>
      <c r="S212" s="78">
        <f t="shared" si="35"/>
        <v>695</v>
      </c>
      <c r="T212" s="78">
        <f>0</f>
        <v>0</v>
      </c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</row>
    <row r="213" spans="1:30" ht="15.75" x14ac:dyDescent="0.25">
      <c r="A213" s="16">
        <v>47392</v>
      </c>
      <c r="B213" s="91">
        <v>31</v>
      </c>
      <c r="C213" s="78">
        <f>131.881</f>
        <v>131.881</v>
      </c>
      <c r="D213" s="78">
        <f>277.167</f>
        <v>277.16699999999997</v>
      </c>
      <c r="E213" s="86">
        <f>79.08</f>
        <v>79.08</v>
      </c>
      <c r="F213" s="78">
        <f>350.872-40-25-60</f>
        <v>225.87200000000001</v>
      </c>
      <c r="G213" s="80">
        <v>40</v>
      </c>
      <c r="H213" s="78">
        <f t="shared" si="36"/>
        <v>85</v>
      </c>
      <c r="I213" s="78">
        <f t="shared" si="29"/>
        <v>0</v>
      </c>
      <c r="J213" s="80">
        <v>100</v>
      </c>
      <c r="K213" s="80">
        <v>300</v>
      </c>
      <c r="L213" s="78">
        <f t="shared" si="32"/>
        <v>1239</v>
      </c>
      <c r="M213" s="88">
        <v>600</v>
      </c>
      <c r="N213" s="78">
        <f>75</f>
        <v>75</v>
      </c>
      <c r="O213" s="80">
        <v>240</v>
      </c>
      <c r="P213" s="80">
        <v>160</v>
      </c>
      <c r="Q213" s="80">
        <f t="shared" si="33"/>
        <v>195</v>
      </c>
      <c r="R213" s="80">
        <f t="shared" si="34"/>
        <v>100</v>
      </c>
      <c r="S213" s="78">
        <f t="shared" si="35"/>
        <v>695</v>
      </c>
      <c r="T213" s="78">
        <f>0</f>
        <v>0</v>
      </c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</row>
    <row r="214" spans="1:30" ht="15.75" x14ac:dyDescent="0.25">
      <c r="A214" s="16">
        <v>47423</v>
      </c>
      <c r="B214" s="91">
        <v>30</v>
      </c>
      <c r="C214" s="78">
        <f>122.58</f>
        <v>122.58</v>
      </c>
      <c r="D214" s="78">
        <f>297.941</f>
        <v>297.94099999999997</v>
      </c>
      <c r="E214" s="86">
        <f>89.177</f>
        <v>89.177000000000007</v>
      </c>
      <c r="F214" s="78">
        <f>240.302-40-60</f>
        <v>140.30199999999999</v>
      </c>
      <c r="G214" s="80">
        <v>40</v>
      </c>
      <c r="H214" s="78">
        <v>60</v>
      </c>
      <c r="I214" s="78">
        <f t="shared" si="29"/>
        <v>0</v>
      </c>
      <c r="J214" s="80">
        <v>100</v>
      </c>
      <c r="K214" s="80">
        <v>300</v>
      </c>
      <c r="L214" s="78">
        <f t="shared" si="32"/>
        <v>1150</v>
      </c>
      <c r="M214" s="88">
        <v>600</v>
      </c>
      <c r="N214" s="78">
        <f>100</f>
        <v>100</v>
      </c>
      <c r="O214" s="80">
        <v>240</v>
      </c>
      <c r="P214" s="80">
        <v>40</v>
      </c>
      <c r="Q214" s="80">
        <f t="shared" si="33"/>
        <v>315</v>
      </c>
      <c r="R214" s="80">
        <f t="shared" si="34"/>
        <v>100</v>
      </c>
      <c r="S214" s="78">
        <f t="shared" si="35"/>
        <v>695</v>
      </c>
      <c r="T214" s="78">
        <f>50</f>
        <v>50</v>
      </c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</row>
    <row r="215" spans="1:30" ht="15.75" x14ac:dyDescent="0.25">
      <c r="A215" s="16">
        <v>47453</v>
      </c>
      <c r="B215" s="91">
        <v>31</v>
      </c>
      <c r="C215" s="78">
        <f>122.58</f>
        <v>122.58</v>
      </c>
      <c r="D215" s="78">
        <f>297.941</f>
        <v>297.94099999999997</v>
      </c>
      <c r="E215" s="86">
        <f>89.177</f>
        <v>89.177000000000007</v>
      </c>
      <c r="F215" s="78">
        <f>240.302-40-60</f>
        <v>140.30199999999999</v>
      </c>
      <c r="G215" s="80">
        <v>40</v>
      </c>
      <c r="H215" s="78">
        <v>60</v>
      </c>
      <c r="I215" s="78">
        <f t="shared" si="29"/>
        <v>0</v>
      </c>
      <c r="J215" s="80">
        <v>100</v>
      </c>
      <c r="K215" s="80">
        <v>300</v>
      </c>
      <c r="L215" s="78">
        <f t="shared" si="32"/>
        <v>1150</v>
      </c>
      <c r="M215" s="88">
        <v>600</v>
      </c>
      <c r="N215" s="78">
        <f>100</f>
        <v>100</v>
      </c>
      <c r="O215" s="80">
        <v>240</v>
      </c>
      <c r="P215" s="80">
        <v>40</v>
      </c>
      <c r="Q215" s="80">
        <f t="shared" si="33"/>
        <v>315</v>
      </c>
      <c r="R215" s="80">
        <f t="shared" si="34"/>
        <v>100</v>
      </c>
      <c r="S215" s="78">
        <f t="shared" si="35"/>
        <v>695</v>
      </c>
      <c r="T215" s="78">
        <f>50</f>
        <v>50</v>
      </c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</row>
    <row r="216" spans="1:30" ht="15.75" x14ac:dyDescent="0.25">
      <c r="A216" s="16">
        <v>47484</v>
      </c>
      <c r="B216" s="91">
        <v>31</v>
      </c>
      <c r="C216" s="78">
        <f>122.58</f>
        <v>122.58</v>
      </c>
      <c r="D216" s="78">
        <f>297.941</f>
        <v>297.94099999999997</v>
      </c>
      <c r="E216" s="86">
        <f>89.177</f>
        <v>89.177000000000007</v>
      </c>
      <c r="F216" s="78">
        <f>240.302-40-60</f>
        <v>140.30199999999999</v>
      </c>
      <c r="G216" s="80">
        <v>40</v>
      </c>
      <c r="H216" s="78">
        <v>60</v>
      </c>
      <c r="I216" s="78">
        <f t="shared" si="29"/>
        <v>0</v>
      </c>
      <c r="J216" s="80">
        <v>100</v>
      </c>
      <c r="K216" s="80">
        <v>300</v>
      </c>
      <c r="L216" s="78">
        <f t="shared" si="32"/>
        <v>1150</v>
      </c>
      <c r="M216" s="88">
        <v>600</v>
      </c>
      <c r="N216" s="78">
        <f>100</f>
        <v>100</v>
      </c>
      <c r="O216" s="80">
        <v>240</v>
      </c>
      <c r="P216" s="80">
        <v>40</v>
      </c>
      <c r="Q216" s="80">
        <f t="shared" si="33"/>
        <v>315</v>
      </c>
      <c r="R216" s="80">
        <f t="shared" si="34"/>
        <v>100</v>
      </c>
      <c r="S216" s="78">
        <f t="shared" si="35"/>
        <v>695</v>
      </c>
      <c r="T216" s="78">
        <f>50</f>
        <v>50</v>
      </c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</row>
    <row r="217" spans="1:30" ht="15.75" x14ac:dyDescent="0.25">
      <c r="A217" s="16">
        <v>47515</v>
      </c>
      <c r="B217" s="91">
        <v>28</v>
      </c>
      <c r="C217" s="78">
        <f>122.58</f>
        <v>122.58</v>
      </c>
      <c r="D217" s="78">
        <f>297.941</f>
        <v>297.94099999999997</v>
      </c>
      <c r="E217" s="86">
        <f>89.177</f>
        <v>89.177000000000007</v>
      </c>
      <c r="F217" s="78">
        <f>240.302-40-60</f>
        <v>140.30199999999999</v>
      </c>
      <c r="G217" s="80">
        <v>40</v>
      </c>
      <c r="H217" s="78">
        <v>60</v>
      </c>
      <c r="I217" s="78">
        <f t="shared" si="29"/>
        <v>0</v>
      </c>
      <c r="J217" s="80">
        <v>100</v>
      </c>
      <c r="K217" s="80">
        <v>300</v>
      </c>
      <c r="L217" s="78">
        <f t="shared" si="32"/>
        <v>1150</v>
      </c>
      <c r="M217" s="88">
        <v>600</v>
      </c>
      <c r="N217" s="78">
        <f>100</f>
        <v>100</v>
      </c>
      <c r="O217" s="80">
        <v>240</v>
      </c>
      <c r="P217" s="80">
        <v>40</v>
      </c>
      <c r="Q217" s="80">
        <f t="shared" si="33"/>
        <v>315</v>
      </c>
      <c r="R217" s="80">
        <f t="shared" si="34"/>
        <v>100</v>
      </c>
      <c r="S217" s="78">
        <f t="shared" si="35"/>
        <v>695</v>
      </c>
      <c r="T217" s="78">
        <f>50</f>
        <v>50</v>
      </c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</row>
    <row r="218" spans="1:30" ht="15.75" x14ac:dyDescent="0.25">
      <c r="A218" s="16">
        <v>47543</v>
      </c>
      <c r="B218" s="91">
        <v>31</v>
      </c>
      <c r="C218" s="78">
        <f>122.58</f>
        <v>122.58</v>
      </c>
      <c r="D218" s="78">
        <f>297.941</f>
        <v>297.94099999999997</v>
      </c>
      <c r="E218" s="86">
        <f>89.177</f>
        <v>89.177000000000007</v>
      </c>
      <c r="F218" s="78">
        <f>240.302-40-60</f>
        <v>140.30199999999999</v>
      </c>
      <c r="G218" s="80">
        <v>40</v>
      </c>
      <c r="H218" s="78">
        <v>60</v>
      </c>
      <c r="I218" s="78">
        <f t="shared" si="29"/>
        <v>0</v>
      </c>
      <c r="J218" s="80">
        <v>100</v>
      </c>
      <c r="K218" s="80">
        <v>300</v>
      </c>
      <c r="L218" s="78">
        <f t="shared" si="32"/>
        <v>1150</v>
      </c>
      <c r="M218" s="88">
        <v>600</v>
      </c>
      <c r="N218" s="78">
        <f>100</f>
        <v>100</v>
      </c>
      <c r="O218" s="80">
        <v>240</v>
      </c>
      <c r="P218" s="80">
        <v>40</v>
      </c>
      <c r="Q218" s="80">
        <f t="shared" si="33"/>
        <v>315</v>
      </c>
      <c r="R218" s="80">
        <f t="shared" si="34"/>
        <v>100</v>
      </c>
      <c r="S218" s="78">
        <f t="shared" si="35"/>
        <v>695</v>
      </c>
      <c r="T218" s="78">
        <f>50</f>
        <v>50</v>
      </c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</row>
    <row r="219" spans="1:30" ht="15.75" x14ac:dyDescent="0.25">
      <c r="A219" s="16">
        <v>47574</v>
      </c>
      <c r="B219" s="91">
        <v>30</v>
      </c>
      <c r="C219" s="78">
        <f>141.293</f>
        <v>141.29300000000001</v>
      </c>
      <c r="D219" s="78">
        <f>267.993</f>
        <v>267.99299999999999</v>
      </c>
      <c r="E219" s="86">
        <f>115.016</f>
        <v>115.01600000000001</v>
      </c>
      <c r="F219" s="78">
        <f>314.698-40-25-60</f>
        <v>189.69799999999998</v>
      </c>
      <c r="G219" s="80">
        <v>40</v>
      </c>
      <c r="H219" s="78">
        <f t="shared" ref="H219:H225" si="37">25+60</f>
        <v>85</v>
      </c>
      <c r="I219" s="78">
        <f t="shared" si="29"/>
        <v>0</v>
      </c>
      <c r="J219" s="80">
        <v>100</v>
      </c>
      <c r="K219" s="80">
        <v>300</v>
      </c>
      <c r="L219" s="78">
        <f t="shared" si="32"/>
        <v>1239</v>
      </c>
      <c r="M219" s="88">
        <v>600</v>
      </c>
      <c r="N219" s="78">
        <f>100</f>
        <v>100</v>
      </c>
      <c r="O219" s="80">
        <v>240</v>
      </c>
      <c r="P219" s="80">
        <v>160</v>
      </c>
      <c r="Q219" s="80">
        <f t="shared" si="33"/>
        <v>195</v>
      </c>
      <c r="R219" s="80">
        <f t="shared" si="34"/>
        <v>100</v>
      </c>
      <c r="S219" s="78">
        <f t="shared" si="35"/>
        <v>695</v>
      </c>
      <c r="T219" s="78">
        <f>50</f>
        <v>50</v>
      </c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</row>
    <row r="220" spans="1:30" ht="15.75" x14ac:dyDescent="0.25">
      <c r="A220" s="16">
        <v>47604</v>
      </c>
      <c r="B220" s="91">
        <v>31</v>
      </c>
      <c r="C220" s="78">
        <f>194.205</f>
        <v>194.20500000000001</v>
      </c>
      <c r="D220" s="78">
        <f>267.466</f>
        <v>267.46600000000001</v>
      </c>
      <c r="E220" s="86">
        <f>133.845</f>
        <v>133.845</v>
      </c>
      <c r="F220" s="78">
        <f>278.484-40-25-60</f>
        <v>153.48399999999998</v>
      </c>
      <c r="G220" s="80">
        <v>40</v>
      </c>
      <c r="H220" s="78">
        <f t="shared" si="37"/>
        <v>85</v>
      </c>
      <c r="I220" s="78">
        <f t="shared" si="29"/>
        <v>0</v>
      </c>
      <c r="J220" s="80">
        <v>100</v>
      </c>
      <c r="K220" s="80">
        <v>300</v>
      </c>
      <c r="L220" s="78">
        <f t="shared" si="32"/>
        <v>1274</v>
      </c>
      <c r="M220" s="88">
        <v>600</v>
      </c>
      <c r="N220" s="78">
        <f>75</f>
        <v>75</v>
      </c>
      <c r="O220" s="80">
        <v>240</v>
      </c>
      <c r="P220" s="80">
        <v>160</v>
      </c>
      <c r="Q220" s="80">
        <f t="shared" si="33"/>
        <v>195</v>
      </c>
      <c r="R220" s="80">
        <f t="shared" si="34"/>
        <v>100</v>
      </c>
      <c r="S220" s="78">
        <f t="shared" si="35"/>
        <v>695</v>
      </c>
      <c r="T220" s="78">
        <f>50</f>
        <v>50</v>
      </c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</row>
    <row r="221" spans="1:30" ht="15.75" x14ac:dyDescent="0.25">
      <c r="A221" s="16">
        <v>47635</v>
      </c>
      <c r="B221" s="91">
        <v>30</v>
      </c>
      <c r="C221" s="78">
        <f>194.205</f>
        <v>194.20500000000001</v>
      </c>
      <c r="D221" s="78">
        <f>267.466</f>
        <v>267.46600000000001</v>
      </c>
      <c r="E221" s="86">
        <f>133.845</f>
        <v>133.845</v>
      </c>
      <c r="F221" s="78">
        <f>278.484-40-25-60</f>
        <v>153.48399999999998</v>
      </c>
      <c r="G221" s="80">
        <v>40</v>
      </c>
      <c r="H221" s="78">
        <f t="shared" si="37"/>
        <v>85</v>
      </c>
      <c r="I221" s="78">
        <f t="shared" si="29"/>
        <v>0</v>
      </c>
      <c r="J221" s="80">
        <v>100</v>
      </c>
      <c r="K221" s="80">
        <v>300</v>
      </c>
      <c r="L221" s="78">
        <f t="shared" si="32"/>
        <v>1274</v>
      </c>
      <c r="M221" s="88">
        <v>600</v>
      </c>
      <c r="N221" s="78">
        <f>30</f>
        <v>30</v>
      </c>
      <c r="O221" s="80">
        <v>240</v>
      </c>
      <c r="P221" s="80">
        <v>160</v>
      </c>
      <c r="Q221" s="80">
        <f t="shared" si="33"/>
        <v>195</v>
      </c>
      <c r="R221" s="80">
        <f t="shared" si="34"/>
        <v>100</v>
      </c>
      <c r="S221" s="78">
        <f t="shared" si="35"/>
        <v>695</v>
      </c>
      <c r="T221" s="78">
        <f>50</f>
        <v>50</v>
      </c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</row>
    <row r="222" spans="1:30" ht="15.75" x14ac:dyDescent="0.25">
      <c r="A222" s="16">
        <v>47665</v>
      </c>
      <c r="B222" s="91">
        <v>31</v>
      </c>
      <c r="C222" s="78">
        <f>194.205</f>
        <v>194.20500000000001</v>
      </c>
      <c r="D222" s="78">
        <f>267.466</f>
        <v>267.46600000000001</v>
      </c>
      <c r="E222" s="86">
        <f>133.845</f>
        <v>133.845</v>
      </c>
      <c r="F222" s="78">
        <f>278.484-40-25-60</f>
        <v>153.48399999999998</v>
      </c>
      <c r="G222" s="80">
        <v>40</v>
      </c>
      <c r="H222" s="78">
        <f t="shared" si="37"/>
        <v>85</v>
      </c>
      <c r="I222" s="78">
        <f t="shared" si="29"/>
        <v>0</v>
      </c>
      <c r="J222" s="80">
        <v>100</v>
      </c>
      <c r="K222" s="80">
        <v>300</v>
      </c>
      <c r="L222" s="78">
        <f t="shared" si="32"/>
        <v>1274</v>
      </c>
      <c r="M222" s="88">
        <v>600</v>
      </c>
      <c r="N222" s="78">
        <f>30</f>
        <v>30</v>
      </c>
      <c r="O222" s="80">
        <v>240</v>
      </c>
      <c r="P222" s="80">
        <v>160</v>
      </c>
      <c r="Q222" s="80">
        <f t="shared" si="33"/>
        <v>195</v>
      </c>
      <c r="R222" s="80">
        <f t="shared" si="34"/>
        <v>100</v>
      </c>
      <c r="S222" s="78">
        <f t="shared" si="35"/>
        <v>695</v>
      </c>
      <c r="T222" s="78">
        <f>0</f>
        <v>0</v>
      </c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</row>
    <row r="223" spans="1:30" ht="15.75" x14ac:dyDescent="0.25">
      <c r="A223" s="16">
        <v>47696</v>
      </c>
      <c r="B223" s="91">
        <v>31</v>
      </c>
      <c r="C223" s="78">
        <f>194.205</f>
        <v>194.20500000000001</v>
      </c>
      <c r="D223" s="78">
        <f>267.466</f>
        <v>267.46600000000001</v>
      </c>
      <c r="E223" s="86">
        <f>133.845</f>
        <v>133.845</v>
      </c>
      <c r="F223" s="78">
        <f>278.484-40-25-60</f>
        <v>153.48399999999998</v>
      </c>
      <c r="G223" s="80">
        <v>40</v>
      </c>
      <c r="H223" s="78">
        <f t="shared" si="37"/>
        <v>85</v>
      </c>
      <c r="I223" s="78">
        <f t="shared" si="29"/>
        <v>0</v>
      </c>
      <c r="J223" s="80">
        <v>100</v>
      </c>
      <c r="K223" s="80">
        <v>300</v>
      </c>
      <c r="L223" s="78">
        <f t="shared" si="32"/>
        <v>1274</v>
      </c>
      <c r="M223" s="88">
        <v>600</v>
      </c>
      <c r="N223" s="78">
        <f>30</f>
        <v>30</v>
      </c>
      <c r="O223" s="80">
        <v>240</v>
      </c>
      <c r="P223" s="80">
        <v>160</v>
      </c>
      <c r="Q223" s="80">
        <f t="shared" si="33"/>
        <v>195</v>
      </c>
      <c r="R223" s="80">
        <f t="shared" si="34"/>
        <v>100</v>
      </c>
      <c r="S223" s="78">
        <f t="shared" si="35"/>
        <v>695</v>
      </c>
      <c r="T223" s="78">
        <f>0</f>
        <v>0</v>
      </c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</row>
    <row r="224" spans="1:30" ht="15.75" x14ac:dyDescent="0.25">
      <c r="A224" s="16">
        <v>47727</v>
      </c>
      <c r="B224" s="91">
        <v>30</v>
      </c>
      <c r="C224" s="78">
        <f>194.205</f>
        <v>194.20500000000001</v>
      </c>
      <c r="D224" s="78">
        <f>267.466</f>
        <v>267.46600000000001</v>
      </c>
      <c r="E224" s="86">
        <f>133.845</f>
        <v>133.845</v>
      </c>
      <c r="F224" s="78">
        <f>278.484-40-25-60</f>
        <v>153.48399999999998</v>
      </c>
      <c r="G224" s="80">
        <v>40</v>
      </c>
      <c r="H224" s="78">
        <f t="shared" si="37"/>
        <v>85</v>
      </c>
      <c r="I224" s="78">
        <f t="shared" si="29"/>
        <v>0</v>
      </c>
      <c r="J224" s="80">
        <v>100</v>
      </c>
      <c r="K224" s="80">
        <v>300</v>
      </c>
      <c r="L224" s="78">
        <f t="shared" si="32"/>
        <v>1274</v>
      </c>
      <c r="M224" s="88">
        <v>600</v>
      </c>
      <c r="N224" s="78">
        <f>30</f>
        <v>30</v>
      </c>
      <c r="O224" s="80">
        <v>240</v>
      </c>
      <c r="P224" s="80">
        <v>160</v>
      </c>
      <c r="Q224" s="80">
        <f t="shared" si="33"/>
        <v>195</v>
      </c>
      <c r="R224" s="80">
        <f t="shared" si="34"/>
        <v>100</v>
      </c>
      <c r="S224" s="78">
        <f t="shared" si="35"/>
        <v>695</v>
      </c>
      <c r="T224" s="78">
        <f>0</f>
        <v>0</v>
      </c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</row>
    <row r="225" spans="1:30" ht="15.75" x14ac:dyDescent="0.25">
      <c r="A225" s="16">
        <v>47757</v>
      </c>
      <c r="B225" s="91">
        <v>31</v>
      </c>
      <c r="C225" s="78">
        <f>131.881</f>
        <v>131.881</v>
      </c>
      <c r="D225" s="78">
        <f>277.167</f>
        <v>277.16699999999997</v>
      </c>
      <c r="E225" s="86">
        <f>79.08</f>
        <v>79.08</v>
      </c>
      <c r="F225" s="78">
        <f>350.872-40-25-60</f>
        <v>225.87200000000001</v>
      </c>
      <c r="G225" s="80">
        <v>40</v>
      </c>
      <c r="H225" s="78">
        <f t="shared" si="37"/>
        <v>85</v>
      </c>
      <c r="I225" s="78">
        <f t="shared" si="29"/>
        <v>0</v>
      </c>
      <c r="J225" s="80">
        <v>100</v>
      </c>
      <c r="K225" s="80">
        <v>300</v>
      </c>
      <c r="L225" s="78">
        <f t="shared" si="32"/>
        <v>1239</v>
      </c>
      <c r="M225" s="88">
        <v>600</v>
      </c>
      <c r="N225" s="78">
        <f>75</f>
        <v>75</v>
      </c>
      <c r="O225" s="80">
        <v>240</v>
      </c>
      <c r="P225" s="80">
        <v>160</v>
      </c>
      <c r="Q225" s="80">
        <f t="shared" si="33"/>
        <v>195</v>
      </c>
      <c r="R225" s="80">
        <f t="shared" si="34"/>
        <v>100</v>
      </c>
      <c r="S225" s="78">
        <f t="shared" si="35"/>
        <v>695</v>
      </c>
      <c r="T225" s="78">
        <f>0</f>
        <v>0</v>
      </c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</row>
    <row r="226" spans="1:30" ht="15.75" x14ac:dyDescent="0.25">
      <c r="A226" s="16">
        <v>47788</v>
      </c>
      <c r="B226" s="91">
        <v>30</v>
      </c>
      <c r="C226" s="78">
        <f>122.58</f>
        <v>122.58</v>
      </c>
      <c r="D226" s="78">
        <f>297.941</f>
        <v>297.94099999999997</v>
      </c>
      <c r="E226" s="86">
        <f>89.177</f>
        <v>89.177000000000007</v>
      </c>
      <c r="F226" s="78">
        <f>240.302-40-60</f>
        <v>140.30199999999999</v>
      </c>
      <c r="G226" s="80">
        <v>40</v>
      </c>
      <c r="H226" s="78">
        <v>60</v>
      </c>
      <c r="I226" s="78">
        <f t="shared" si="29"/>
        <v>0</v>
      </c>
      <c r="J226" s="80">
        <v>100</v>
      </c>
      <c r="K226" s="80">
        <v>300</v>
      </c>
      <c r="L226" s="78">
        <f t="shared" si="32"/>
        <v>1150</v>
      </c>
      <c r="M226" s="88">
        <v>600</v>
      </c>
      <c r="N226" s="78">
        <f>100</f>
        <v>100</v>
      </c>
      <c r="O226" s="80">
        <v>240</v>
      </c>
      <c r="P226" s="80">
        <v>40</v>
      </c>
      <c r="Q226" s="80">
        <f t="shared" si="33"/>
        <v>315</v>
      </c>
      <c r="R226" s="80">
        <f t="shared" si="34"/>
        <v>100</v>
      </c>
      <c r="S226" s="78">
        <f t="shared" si="35"/>
        <v>695</v>
      </c>
      <c r="T226" s="78">
        <f>50</f>
        <v>50</v>
      </c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</row>
    <row r="227" spans="1:30" ht="15.75" x14ac:dyDescent="0.25">
      <c r="A227" s="16">
        <v>47818</v>
      </c>
      <c r="B227" s="91">
        <v>31</v>
      </c>
      <c r="C227" s="78">
        <f>122.58</f>
        <v>122.58</v>
      </c>
      <c r="D227" s="78">
        <f>297.941</f>
        <v>297.94099999999997</v>
      </c>
      <c r="E227" s="86">
        <f>89.177</f>
        <v>89.177000000000007</v>
      </c>
      <c r="F227" s="78">
        <f>240.302-40-60</f>
        <v>140.30199999999999</v>
      </c>
      <c r="G227" s="80">
        <v>40</v>
      </c>
      <c r="H227" s="78">
        <v>60</v>
      </c>
      <c r="I227" s="78">
        <f t="shared" si="29"/>
        <v>0</v>
      </c>
      <c r="J227" s="80">
        <v>100</v>
      </c>
      <c r="K227" s="80">
        <v>300</v>
      </c>
      <c r="L227" s="78">
        <f t="shared" si="32"/>
        <v>1150</v>
      </c>
      <c r="M227" s="88">
        <v>600</v>
      </c>
      <c r="N227" s="78">
        <f>100</f>
        <v>100</v>
      </c>
      <c r="O227" s="80">
        <v>240</v>
      </c>
      <c r="P227" s="80">
        <v>40</v>
      </c>
      <c r="Q227" s="80">
        <f t="shared" si="33"/>
        <v>315</v>
      </c>
      <c r="R227" s="80">
        <f t="shared" si="34"/>
        <v>100</v>
      </c>
      <c r="S227" s="78">
        <f t="shared" si="35"/>
        <v>695</v>
      </c>
      <c r="T227" s="78">
        <f>50</f>
        <v>50</v>
      </c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</row>
    <row r="228" spans="1:30" ht="15.75" x14ac:dyDescent="0.25">
      <c r="A228" s="16">
        <v>47849</v>
      </c>
      <c r="B228" s="91">
        <v>31</v>
      </c>
      <c r="C228" s="78">
        <f>122.58</f>
        <v>122.58</v>
      </c>
      <c r="D228" s="78">
        <f>297.941</f>
        <v>297.94099999999997</v>
      </c>
      <c r="E228" s="86">
        <f>89.177</f>
        <v>89.177000000000007</v>
      </c>
      <c r="F228" s="78">
        <f>240.302-40-60</f>
        <v>140.30199999999999</v>
      </c>
      <c r="G228" s="80">
        <v>40</v>
      </c>
      <c r="H228" s="78">
        <v>60</v>
      </c>
      <c r="I228" s="78">
        <f t="shared" si="29"/>
        <v>0</v>
      </c>
      <c r="J228" s="80">
        <v>100</v>
      </c>
      <c r="K228" s="80">
        <v>300</v>
      </c>
      <c r="L228" s="78">
        <f t="shared" si="32"/>
        <v>1150</v>
      </c>
      <c r="M228" s="88">
        <v>600</v>
      </c>
      <c r="N228" s="78">
        <f>100</f>
        <v>100</v>
      </c>
      <c r="O228" s="80">
        <v>240</v>
      </c>
      <c r="P228" s="80">
        <v>40</v>
      </c>
      <c r="Q228" s="80">
        <f t="shared" si="33"/>
        <v>315</v>
      </c>
      <c r="R228" s="80">
        <f t="shared" si="34"/>
        <v>100</v>
      </c>
      <c r="S228" s="78">
        <f t="shared" si="35"/>
        <v>695</v>
      </c>
      <c r="T228" s="78">
        <f>50</f>
        <v>50</v>
      </c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</row>
    <row r="229" spans="1:30" ht="15.75" x14ac:dyDescent="0.25">
      <c r="A229" s="16">
        <v>47880</v>
      </c>
      <c r="B229" s="91">
        <v>28</v>
      </c>
      <c r="C229" s="78">
        <f>122.58</f>
        <v>122.58</v>
      </c>
      <c r="D229" s="78">
        <f>297.941</f>
        <v>297.94099999999997</v>
      </c>
      <c r="E229" s="86">
        <f>89.177</f>
        <v>89.177000000000007</v>
      </c>
      <c r="F229" s="78">
        <f>240.302-40-60</f>
        <v>140.30199999999999</v>
      </c>
      <c r="G229" s="80">
        <v>40</v>
      </c>
      <c r="H229" s="78">
        <v>60</v>
      </c>
      <c r="I229" s="78">
        <f t="shared" si="29"/>
        <v>0</v>
      </c>
      <c r="J229" s="80">
        <v>100</v>
      </c>
      <c r="K229" s="80">
        <v>300</v>
      </c>
      <c r="L229" s="78">
        <f t="shared" si="32"/>
        <v>1150</v>
      </c>
      <c r="M229" s="88">
        <v>600</v>
      </c>
      <c r="N229" s="78">
        <f>100</f>
        <v>100</v>
      </c>
      <c r="O229" s="80">
        <v>240</v>
      </c>
      <c r="P229" s="80">
        <v>40</v>
      </c>
      <c r="Q229" s="80">
        <f t="shared" si="33"/>
        <v>315</v>
      </c>
      <c r="R229" s="80">
        <f t="shared" si="34"/>
        <v>100</v>
      </c>
      <c r="S229" s="78">
        <f t="shared" si="35"/>
        <v>695</v>
      </c>
      <c r="T229" s="78">
        <f>50</f>
        <v>50</v>
      </c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</row>
    <row r="230" spans="1:30" ht="15.75" x14ac:dyDescent="0.25">
      <c r="A230" s="16">
        <v>47908</v>
      </c>
      <c r="B230" s="91">
        <v>31</v>
      </c>
      <c r="C230" s="78">
        <f>122.58</f>
        <v>122.58</v>
      </c>
      <c r="D230" s="78">
        <f>297.941</f>
        <v>297.94099999999997</v>
      </c>
      <c r="E230" s="86">
        <f>89.177</f>
        <v>89.177000000000007</v>
      </c>
      <c r="F230" s="78">
        <f>240.302-40-60</f>
        <v>140.30199999999999</v>
      </c>
      <c r="G230" s="80">
        <v>40</v>
      </c>
      <c r="H230" s="78">
        <v>60</v>
      </c>
      <c r="I230" s="78">
        <f t="shared" si="29"/>
        <v>0</v>
      </c>
      <c r="J230" s="80">
        <v>100</v>
      </c>
      <c r="K230" s="80">
        <v>300</v>
      </c>
      <c r="L230" s="78">
        <f t="shared" si="32"/>
        <v>1150</v>
      </c>
      <c r="M230" s="88">
        <v>600</v>
      </c>
      <c r="N230" s="78">
        <f>100</f>
        <v>100</v>
      </c>
      <c r="O230" s="80">
        <v>240</v>
      </c>
      <c r="P230" s="80">
        <v>40</v>
      </c>
      <c r="Q230" s="80">
        <f t="shared" si="33"/>
        <v>315</v>
      </c>
      <c r="R230" s="80">
        <f t="shared" si="34"/>
        <v>100</v>
      </c>
      <c r="S230" s="78">
        <f t="shared" si="35"/>
        <v>695</v>
      </c>
      <c r="T230" s="78">
        <f>50</f>
        <v>50</v>
      </c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</row>
    <row r="231" spans="1:30" ht="15.75" x14ac:dyDescent="0.25">
      <c r="A231" s="16">
        <v>47939</v>
      </c>
      <c r="B231" s="91">
        <v>30</v>
      </c>
      <c r="C231" s="78">
        <f>141.293</f>
        <v>141.29300000000001</v>
      </c>
      <c r="D231" s="78">
        <f>267.993</f>
        <v>267.99299999999999</v>
      </c>
      <c r="E231" s="86">
        <f>115.016</f>
        <v>115.01600000000001</v>
      </c>
      <c r="F231" s="78">
        <f>314.698-40-25-60</f>
        <v>189.69799999999998</v>
      </c>
      <c r="G231" s="80">
        <v>40</v>
      </c>
      <c r="H231" s="78">
        <f t="shared" ref="H231:H237" si="38">25+60</f>
        <v>85</v>
      </c>
      <c r="I231" s="78">
        <f t="shared" si="29"/>
        <v>0</v>
      </c>
      <c r="J231" s="80">
        <v>100</v>
      </c>
      <c r="K231" s="80">
        <v>300</v>
      </c>
      <c r="L231" s="78">
        <f t="shared" si="32"/>
        <v>1239</v>
      </c>
      <c r="M231" s="88">
        <v>600</v>
      </c>
      <c r="N231" s="78">
        <f>100</f>
        <v>100</v>
      </c>
      <c r="O231" s="80">
        <v>240</v>
      </c>
      <c r="P231" s="80">
        <v>160</v>
      </c>
      <c r="Q231" s="80">
        <f t="shared" si="33"/>
        <v>195</v>
      </c>
      <c r="R231" s="80">
        <f t="shared" si="34"/>
        <v>100</v>
      </c>
      <c r="S231" s="78">
        <f t="shared" si="35"/>
        <v>695</v>
      </c>
      <c r="T231" s="78">
        <f>50</f>
        <v>50</v>
      </c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</row>
    <row r="232" spans="1:30" ht="15.75" x14ac:dyDescent="0.25">
      <c r="A232" s="16">
        <v>47969</v>
      </c>
      <c r="B232" s="91">
        <v>31</v>
      </c>
      <c r="C232" s="78">
        <f>194.205</f>
        <v>194.20500000000001</v>
      </c>
      <c r="D232" s="78">
        <f>267.466</f>
        <v>267.46600000000001</v>
      </c>
      <c r="E232" s="86">
        <f>133.845</f>
        <v>133.845</v>
      </c>
      <c r="F232" s="78">
        <f>278.484-40-25-60</f>
        <v>153.48399999999998</v>
      </c>
      <c r="G232" s="80">
        <v>40</v>
      </c>
      <c r="H232" s="78">
        <f t="shared" si="38"/>
        <v>85</v>
      </c>
      <c r="I232" s="78">
        <f t="shared" si="29"/>
        <v>0</v>
      </c>
      <c r="J232" s="80">
        <v>100</v>
      </c>
      <c r="K232" s="80">
        <v>300</v>
      </c>
      <c r="L232" s="78">
        <f t="shared" si="32"/>
        <v>1274</v>
      </c>
      <c r="M232" s="88">
        <v>600</v>
      </c>
      <c r="N232" s="78">
        <f>75</f>
        <v>75</v>
      </c>
      <c r="O232" s="80">
        <v>240</v>
      </c>
      <c r="P232" s="80">
        <v>160</v>
      </c>
      <c r="Q232" s="80">
        <f t="shared" si="33"/>
        <v>195</v>
      </c>
      <c r="R232" s="80">
        <f t="shared" si="34"/>
        <v>100</v>
      </c>
      <c r="S232" s="78">
        <f t="shared" si="35"/>
        <v>695</v>
      </c>
      <c r="T232" s="78">
        <f>50</f>
        <v>50</v>
      </c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</row>
    <row r="233" spans="1:30" ht="15.75" x14ac:dyDescent="0.25">
      <c r="A233" s="16">
        <v>48000</v>
      </c>
      <c r="B233" s="91">
        <v>30</v>
      </c>
      <c r="C233" s="78">
        <f>194.205</f>
        <v>194.20500000000001</v>
      </c>
      <c r="D233" s="78">
        <f>267.466</f>
        <v>267.46600000000001</v>
      </c>
      <c r="E233" s="86">
        <f>133.845</f>
        <v>133.845</v>
      </c>
      <c r="F233" s="78">
        <f>278.484-40-25-60</f>
        <v>153.48399999999998</v>
      </c>
      <c r="G233" s="80">
        <v>40</v>
      </c>
      <c r="H233" s="78">
        <f t="shared" si="38"/>
        <v>85</v>
      </c>
      <c r="I233" s="78">
        <f t="shared" si="29"/>
        <v>0</v>
      </c>
      <c r="J233" s="80">
        <v>100</v>
      </c>
      <c r="K233" s="80">
        <v>300</v>
      </c>
      <c r="L233" s="78">
        <f t="shared" si="32"/>
        <v>1274</v>
      </c>
      <c r="M233" s="88">
        <v>600</v>
      </c>
      <c r="N233" s="78">
        <f>30</f>
        <v>30</v>
      </c>
      <c r="O233" s="80">
        <v>240</v>
      </c>
      <c r="P233" s="80">
        <v>160</v>
      </c>
      <c r="Q233" s="80">
        <f t="shared" si="33"/>
        <v>195</v>
      </c>
      <c r="R233" s="80">
        <f t="shared" si="34"/>
        <v>100</v>
      </c>
      <c r="S233" s="78">
        <f t="shared" si="35"/>
        <v>695</v>
      </c>
      <c r="T233" s="78">
        <f>50</f>
        <v>50</v>
      </c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</row>
    <row r="234" spans="1:30" ht="15.75" x14ac:dyDescent="0.25">
      <c r="A234" s="16">
        <v>48030</v>
      </c>
      <c r="B234" s="91">
        <v>31</v>
      </c>
      <c r="C234" s="78">
        <f>194.205</f>
        <v>194.20500000000001</v>
      </c>
      <c r="D234" s="78">
        <f>267.466</f>
        <v>267.46600000000001</v>
      </c>
      <c r="E234" s="86">
        <f>133.845</f>
        <v>133.845</v>
      </c>
      <c r="F234" s="78">
        <f>278.484-40-25-60</f>
        <v>153.48399999999998</v>
      </c>
      <c r="G234" s="80">
        <v>40</v>
      </c>
      <c r="H234" s="78">
        <f t="shared" si="38"/>
        <v>85</v>
      </c>
      <c r="I234" s="78">
        <f t="shared" si="29"/>
        <v>0</v>
      </c>
      <c r="J234" s="80">
        <v>100</v>
      </c>
      <c r="K234" s="80">
        <v>300</v>
      </c>
      <c r="L234" s="78">
        <f t="shared" si="32"/>
        <v>1274</v>
      </c>
      <c r="M234" s="88">
        <v>600</v>
      </c>
      <c r="N234" s="78">
        <f>30</f>
        <v>30</v>
      </c>
      <c r="O234" s="80">
        <v>240</v>
      </c>
      <c r="P234" s="80">
        <v>160</v>
      </c>
      <c r="Q234" s="80">
        <f t="shared" si="33"/>
        <v>195</v>
      </c>
      <c r="R234" s="80">
        <f t="shared" si="34"/>
        <v>100</v>
      </c>
      <c r="S234" s="78">
        <f t="shared" si="35"/>
        <v>695</v>
      </c>
      <c r="T234" s="78">
        <f>0</f>
        <v>0</v>
      </c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</row>
    <row r="235" spans="1:30" ht="15.75" x14ac:dyDescent="0.25">
      <c r="A235" s="16">
        <v>48061</v>
      </c>
      <c r="B235" s="91">
        <v>31</v>
      </c>
      <c r="C235" s="78">
        <f>194.205</f>
        <v>194.20500000000001</v>
      </c>
      <c r="D235" s="78">
        <f>267.466</f>
        <v>267.46600000000001</v>
      </c>
      <c r="E235" s="86">
        <f>133.845</f>
        <v>133.845</v>
      </c>
      <c r="F235" s="78">
        <f>278.484-40-25-60</f>
        <v>153.48399999999998</v>
      </c>
      <c r="G235" s="80">
        <v>40</v>
      </c>
      <c r="H235" s="78">
        <f t="shared" si="38"/>
        <v>85</v>
      </c>
      <c r="I235" s="78">
        <f t="shared" si="29"/>
        <v>0</v>
      </c>
      <c r="J235" s="80">
        <v>100</v>
      </c>
      <c r="K235" s="80">
        <v>300</v>
      </c>
      <c r="L235" s="78">
        <f t="shared" si="32"/>
        <v>1274</v>
      </c>
      <c r="M235" s="88">
        <v>600</v>
      </c>
      <c r="N235" s="78">
        <f>30</f>
        <v>30</v>
      </c>
      <c r="O235" s="80">
        <v>240</v>
      </c>
      <c r="P235" s="80">
        <v>160</v>
      </c>
      <c r="Q235" s="80">
        <f t="shared" si="33"/>
        <v>195</v>
      </c>
      <c r="R235" s="80">
        <f t="shared" si="34"/>
        <v>100</v>
      </c>
      <c r="S235" s="78">
        <f t="shared" si="35"/>
        <v>695</v>
      </c>
      <c r="T235" s="78">
        <f>0</f>
        <v>0</v>
      </c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</row>
    <row r="236" spans="1:30" ht="15.75" x14ac:dyDescent="0.25">
      <c r="A236" s="16">
        <v>48092</v>
      </c>
      <c r="B236" s="91">
        <v>30</v>
      </c>
      <c r="C236" s="78">
        <f>194.205</f>
        <v>194.20500000000001</v>
      </c>
      <c r="D236" s="78">
        <f>267.466</f>
        <v>267.46600000000001</v>
      </c>
      <c r="E236" s="86">
        <f>133.845</f>
        <v>133.845</v>
      </c>
      <c r="F236" s="78">
        <f>278.484-40-25-60</f>
        <v>153.48399999999998</v>
      </c>
      <c r="G236" s="80">
        <v>40</v>
      </c>
      <c r="H236" s="78">
        <f t="shared" si="38"/>
        <v>85</v>
      </c>
      <c r="I236" s="78">
        <f t="shared" si="29"/>
        <v>0</v>
      </c>
      <c r="J236" s="80">
        <v>100</v>
      </c>
      <c r="K236" s="80">
        <v>300</v>
      </c>
      <c r="L236" s="78">
        <f t="shared" si="32"/>
        <v>1274</v>
      </c>
      <c r="M236" s="88">
        <v>600</v>
      </c>
      <c r="N236" s="78">
        <f>30</f>
        <v>30</v>
      </c>
      <c r="O236" s="80">
        <v>240</v>
      </c>
      <c r="P236" s="80">
        <v>160</v>
      </c>
      <c r="Q236" s="80">
        <f t="shared" si="33"/>
        <v>195</v>
      </c>
      <c r="R236" s="80">
        <f t="shared" si="34"/>
        <v>100</v>
      </c>
      <c r="S236" s="78">
        <f t="shared" si="35"/>
        <v>695</v>
      </c>
      <c r="T236" s="78">
        <f>0</f>
        <v>0</v>
      </c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</row>
    <row r="237" spans="1:30" ht="15.75" x14ac:dyDescent="0.25">
      <c r="A237" s="16">
        <v>48122</v>
      </c>
      <c r="B237" s="91">
        <v>31</v>
      </c>
      <c r="C237" s="78">
        <f>131.881</f>
        <v>131.881</v>
      </c>
      <c r="D237" s="78">
        <f>277.167</f>
        <v>277.16699999999997</v>
      </c>
      <c r="E237" s="86">
        <f>79.08</f>
        <v>79.08</v>
      </c>
      <c r="F237" s="78">
        <f>350.872-40-25-60</f>
        <v>225.87200000000001</v>
      </c>
      <c r="G237" s="80">
        <v>40</v>
      </c>
      <c r="H237" s="78">
        <f t="shared" si="38"/>
        <v>85</v>
      </c>
      <c r="I237" s="78">
        <f t="shared" si="29"/>
        <v>0</v>
      </c>
      <c r="J237" s="80">
        <v>100</v>
      </c>
      <c r="K237" s="80">
        <v>300</v>
      </c>
      <c r="L237" s="78">
        <f t="shared" si="32"/>
        <v>1239</v>
      </c>
      <c r="M237" s="88">
        <v>600</v>
      </c>
      <c r="N237" s="78">
        <f>75</f>
        <v>75</v>
      </c>
      <c r="O237" s="80">
        <v>240</v>
      </c>
      <c r="P237" s="80">
        <v>160</v>
      </c>
      <c r="Q237" s="80">
        <f t="shared" si="33"/>
        <v>195</v>
      </c>
      <c r="R237" s="80">
        <f t="shared" si="34"/>
        <v>100</v>
      </c>
      <c r="S237" s="78">
        <f t="shared" si="35"/>
        <v>695</v>
      </c>
      <c r="T237" s="78">
        <f>0</f>
        <v>0</v>
      </c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</row>
    <row r="238" spans="1:30" ht="15.75" x14ac:dyDescent="0.25">
      <c r="A238" s="16">
        <v>48153</v>
      </c>
      <c r="B238" s="91">
        <v>30</v>
      </c>
      <c r="C238" s="78">
        <f>122.58</f>
        <v>122.58</v>
      </c>
      <c r="D238" s="78">
        <f>297.941</f>
        <v>297.94099999999997</v>
      </c>
      <c r="E238" s="86">
        <f>89.177</f>
        <v>89.177000000000007</v>
      </c>
      <c r="F238" s="78">
        <f>240.302-40-60</f>
        <v>140.30199999999999</v>
      </c>
      <c r="G238" s="80">
        <v>40</v>
      </c>
      <c r="H238" s="78">
        <v>60</v>
      </c>
      <c r="I238" s="78">
        <f t="shared" si="29"/>
        <v>0</v>
      </c>
      <c r="J238" s="80">
        <v>100</v>
      </c>
      <c r="K238" s="80">
        <v>300</v>
      </c>
      <c r="L238" s="78">
        <f t="shared" si="32"/>
        <v>1150</v>
      </c>
      <c r="M238" s="88">
        <v>600</v>
      </c>
      <c r="N238" s="78">
        <f>100</f>
        <v>100</v>
      </c>
      <c r="O238" s="80">
        <v>240</v>
      </c>
      <c r="P238" s="80">
        <v>40</v>
      </c>
      <c r="Q238" s="80">
        <f t="shared" si="33"/>
        <v>315</v>
      </c>
      <c r="R238" s="80">
        <f t="shared" si="34"/>
        <v>100</v>
      </c>
      <c r="S238" s="78">
        <f t="shared" si="35"/>
        <v>695</v>
      </c>
      <c r="T238" s="78">
        <f>50</f>
        <v>50</v>
      </c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</row>
    <row r="239" spans="1:30" ht="15.75" x14ac:dyDescent="0.25">
      <c r="A239" s="16">
        <v>48183</v>
      </c>
      <c r="B239" s="91">
        <v>31</v>
      </c>
      <c r="C239" s="78">
        <f>122.58</f>
        <v>122.58</v>
      </c>
      <c r="D239" s="78">
        <f>297.941</f>
        <v>297.94099999999997</v>
      </c>
      <c r="E239" s="86">
        <f>89.177</f>
        <v>89.177000000000007</v>
      </c>
      <c r="F239" s="78">
        <f>240.302-40-60</f>
        <v>140.30199999999999</v>
      </c>
      <c r="G239" s="80">
        <v>40</v>
      </c>
      <c r="H239" s="78">
        <v>60</v>
      </c>
      <c r="I239" s="78">
        <f t="shared" si="29"/>
        <v>0</v>
      </c>
      <c r="J239" s="80">
        <v>100</v>
      </c>
      <c r="K239" s="80">
        <v>300</v>
      </c>
      <c r="L239" s="78">
        <f t="shared" si="32"/>
        <v>1150</v>
      </c>
      <c r="M239" s="88">
        <v>600</v>
      </c>
      <c r="N239" s="78">
        <f>100</f>
        <v>100</v>
      </c>
      <c r="O239" s="80">
        <v>240</v>
      </c>
      <c r="P239" s="80">
        <v>40</v>
      </c>
      <c r="Q239" s="80">
        <f t="shared" si="33"/>
        <v>315</v>
      </c>
      <c r="R239" s="80">
        <f t="shared" si="34"/>
        <v>100</v>
      </c>
      <c r="S239" s="78">
        <f t="shared" si="35"/>
        <v>695</v>
      </c>
      <c r="T239" s="78">
        <f>50</f>
        <v>50</v>
      </c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</row>
    <row r="240" spans="1:30" ht="15.75" x14ac:dyDescent="0.25">
      <c r="A240" s="16">
        <v>48214</v>
      </c>
      <c r="B240" s="91">
        <v>31</v>
      </c>
      <c r="C240" s="78">
        <f>122.58</f>
        <v>122.58</v>
      </c>
      <c r="D240" s="78">
        <f>297.941</f>
        <v>297.94099999999997</v>
      </c>
      <c r="E240" s="86">
        <f>89.177</f>
        <v>89.177000000000007</v>
      </c>
      <c r="F240" s="78">
        <f>240.302-40-60</f>
        <v>140.30199999999999</v>
      </c>
      <c r="G240" s="80">
        <v>40</v>
      </c>
      <c r="H240" s="78">
        <v>60</v>
      </c>
      <c r="I240" s="78">
        <f t="shared" si="29"/>
        <v>0</v>
      </c>
      <c r="J240" s="80">
        <v>100</v>
      </c>
      <c r="K240" s="80">
        <v>300</v>
      </c>
      <c r="L240" s="78">
        <f t="shared" si="32"/>
        <v>1150</v>
      </c>
      <c r="M240" s="88">
        <v>600</v>
      </c>
      <c r="N240" s="78">
        <f>100</f>
        <v>100</v>
      </c>
      <c r="O240" s="80">
        <v>240</v>
      </c>
      <c r="P240" s="80">
        <v>40</v>
      </c>
      <c r="Q240" s="80">
        <f t="shared" si="33"/>
        <v>315</v>
      </c>
      <c r="R240" s="80">
        <f t="shared" si="34"/>
        <v>100</v>
      </c>
      <c r="S240" s="78">
        <f t="shared" si="35"/>
        <v>695</v>
      </c>
      <c r="T240" s="78">
        <f>50</f>
        <v>50</v>
      </c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</row>
    <row r="241" spans="1:30" ht="15.75" x14ac:dyDescent="0.25">
      <c r="A241" s="16">
        <v>48245</v>
      </c>
      <c r="B241" s="91">
        <v>29</v>
      </c>
      <c r="C241" s="78">
        <f>122.58</f>
        <v>122.58</v>
      </c>
      <c r="D241" s="78">
        <f>297.941</f>
        <v>297.94099999999997</v>
      </c>
      <c r="E241" s="86">
        <f>89.177</f>
        <v>89.177000000000007</v>
      </c>
      <c r="F241" s="78">
        <f>240.302-40-60</f>
        <v>140.30199999999999</v>
      </c>
      <c r="G241" s="80">
        <v>40</v>
      </c>
      <c r="H241" s="78">
        <v>60</v>
      </c>
      <c r="I241" s="78">
        <f t="shared" si="29"/>
        <v>0</v>
      </c>
      <c r="J241" s="80">
        <v>100</v>
      </c>
      <c r="K241" s="80">
        <v>300</v>
      </c>
      <c r="L241" s="78">
        <f t="shared" si="32"/>
        <v>1150</v>
      </c>
      <c r="M241" s="88">
        <v>600</v>
      </c>
      <c r="N241" s="78">
        <f>100</f>
        <v>100</v>
      </c>
      <c r="O241" s="80">
        <v>240</v>
      </c>
      <c r="P241" s="80">
        <v>40</v>
      </c>
      <c r="Q241" s="80">
        <f t="shared" si="33"/>
        <v>315</v>
      </c>
      <c r="R241" s="80">
        <f t="shared" si="34"/>
        <v>100</v>
      </c>
      <c r="S241" s="78">
        <f t="shared" si="35"/>
        <v>695</v>
      </c>
      <c r="T241" s="78">
        <f>50</f>
        <v>50</v>
      </c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</row>
    <row r="242" spans="1:30" ht="15.75" x14ac:dyDescent="0.25">
      <c r="A242" s="16">
        <v>48274</v>
      </c>
      <c r="B242" s="91">
        <v>31</v>
      </c>
      <c r="C242" s="78">
        <f>122.58</f>
        <v>122.58</v>
      </c>
      <c r="D242" s="78">
        <f>297.941</f>
        <v>297.94099999999997</v>
      </c>
      <c r="E242" s="86">
        <f>89.177</f>
        <v>89.177000000000007</v>
      </c>
      <c r="F242" s="78">
        <f>240.302-40-60</f>
        <v>140.30199999999999</v>
      </c>
      <c r="G242" s="80">
        <v>40</v>
      </c>
      <c r="H242" s="78">
        <v>60</v>
      </c>
      <c r="I242" s="78">
        <f t="shared" si="29"/>
        <v>0</v>
      </c>
      <c r="J242" s="80">
        <v>100</v>
      </c>
      <c r="K242" s="80">
        <v>300</v>
      </c>
      <c r="L242" s="78">
        <f t="shared" si="32"/>
        <v>1150</v>
      </c>
      <c r="M242" s="88">
        <v>600</v>
      </c>
      <c r="N242" s="78">
        <f>100</f>
        <v>100</v>
      </c>
      <c r="O242" s="80">
        <v>240</v>
      </c>
      <c r="P242" s="80">
        <v>40</v>
      </c>
      <c r="Q242" s="80">
        <f t="shared" si="33"/>
        <v>315</v>
      </c>
      <c r="R242" s="80">
        <f t="shared" si="34"/>
        <v>100</v>
      </c>
      <c r="S242" s="78">
        <f t="shared" si="35"/>
        <v>695</v>
      </c>
      <c r="T242" s="78">
        <f>50</f>
        <v>50</v>
      </c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</row>
    <row r="243" spans="1:30" ht="15.75" x14ac:dyDescent="0.25">
      <c r="A243" s="16">
        <v>48305</v>
      </c>
      <c r="B243" s="91">
        <v>30</v>
      </c>
      <c r="C243" s="78">
        <f>141.293</f>
        <v>141.29300000000001</v>
      </c>
      <c r="D243" s="78">
        <f>267.993</f>
        <v>267.99299999999999</v>
      </c>
      <c r="E243" s="86">
        <f>115.016</f>
        <v>115.01600000000001</v>
      </c>
      <c r="F243" s="78">
        <f>314.698-40-25-60</f>
        <v>189.69799999999998</v>
      </c>
      <c r="G243" s="80">
        <v>40</v>
      </c>
      <c r="H243" s="78">
        <f t="shared" ref="H243:H249" si="39">25+60</f>
        <v>85</v>
      </c>
      <c r="I243" s="78">
        <f t="shared" si="29"/>
        <v>0</v>
      </c>
      <c r="J243" s="80">
        <v>100</v>
      </c>
      <c r="K243" s="80">
        <v>300</v>
      </c>
      <c r="L243" s="78">
        <f t="shared" si="32"/>
        <v>1239</v>
      </c>
      <c r="M243" s="88">
        <v>600</v>
      </c>
      <c r="N243" s="78">
        <f>100</f>
        <v>100</v>
      </c>
      <c r="O243" s="80">
        <v>240</v>
      </c>
      <c r="P243" s="80">
        <v>160</v>
      </c>
      <c r="Q243" s="80">
        <f t="shared" si="33"/>
        <v>195</v>
      </c>
      <c r="R243" s="80">
        <f t="shared" si="34"/>
        <v>100</v>
      </c>
      <c r="S243" s="78">
        <f t="shared" si="35"/>
        <v>695</v>
      </c>
      <c r="T243" s="78">
        <f>50</f>
        <v>50</v>
      </c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</row>
    <row r="244" spans="1:30" ht="15.75" x14ac:dyDescent="0.25">
      <c r="A244" s="16">
        <v>48335</v>
      </c>
      <c r="B244" s="91">
        <v>31</v>
      </c>
      <c r="C244" s="78">
        <f>194.205</f>
        <v>194.20500000000001</v>
      </c>
      <c r="D244" s="78">
        <f>267.466</f>
        <v>267.46600000000001</v>
      </c>
      <c r="E244" s="86">
        <f>133.845</f>
        <v>133.845</v>
      </c>
      <c r="F244" s="78">
        <f>278.484-40-25-60</f>
        <v>153.48399999999998</v>
      </c>
      <c r="G244" s="80">
        <v>40</v>
      </c>
      <c r="H244" s="78">
        <f t="shared" si="39"/>
        <v>85</v>
      </c>
      <c r="I244" s="78">
        <f t="shared" ref="I244:I307" si="40">400-J244-K244</f>
        <v>0</v>
      </c>
      <c r="J244" s="80">
        <v>100</v>
      </c>
      <c r="K244" s="80">
        <v>300</v>
      </c>
      <c r="L244" s="78">
        <f t="shared" si="32"/>
        <v>1274</v>
      </c>
      <c r="M244" s="88">
        <v>600</v>
      </c>
      <c r="N244" s="78">
        <f>75</f>
        <v>75</v>
      </c>
      <c r="O244" s="80">
        <v>240</v>
      </c>
      <c r="P244" s="80">
        <v>160</v>
      </c>
      <c r="Q244" s="80">
        <f t="shared" si="33"/>
        <v>195</v>
      </c>
      <c r="R244" s="80">
        <f t="shared" si="34"/>
        <v>100</v>
      </c>
      <c r="S244" s="78">
        <f t="shared" si="35"/>
        <v>695</v>
      </c>
      <c r="T244" s="78">
        <f>50</f>
        <v>50</v>
      </c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</row>
    <row r="245" spans="1:30" ht="15.75" x14ac:dyDescent="0.25">
      <c r="A245" s="16">
        <v>48366</v>
      </c>
      <c r="B245" s="91">
        <v>30</v>
      </c>
      <c r="C245" s="78">
        <f>194.205</f>
        <v>194.20500000000001</v>
      </c>
      <c r="D245" s="78">
        <f>267.466</f>
        <v>267.46600000000001</v>
      </c>
      <c r="E245" s="86">
        <f>133.845</f>
        <v>133.845</v>
      </c>
      <c r="F245" s="78">
        <f>278.484-40-25-60</f>
        <v>153.48399999999998</v>
      </c>
      <c r="G245" s="80">
        <v>40</v>
      </c>
      <c r="H245" s="78">
        <f t="shared" si="39"/>
        <v>85</v>
      </c>
      <c r="I245" s="78">
        <f t="shared" si="40"/>
        <v>0</v>
      </c>
      <c r="J245" s="80">
        <v>100</v>
      </c>
      <c r="K245" s="80">
        <v>300</v>
      </c>
      <c r="L245" s="78">
        <f t="shared" si="32"/>
        <v>1274</v>
      </c>
      <c r="M245" s="88">
        <v>600</v>
      </c>
      <c r="N245" s="78">
        <f>30</f>
        <v>30</v>
      </c>
      <c r="O245" s="80">
        <v>240</v>
      </c>
      <c r="P245" s="80">
        <v>160</v>
      </c>
      <c r="Q245" s="80">
        <f t="shared" si="33"/>
        <v>195</v>
      </c>
      <c r="R245" s="80">
        <f t="shared" si="34"/>
        <v>100</v>
      </c>
      <c r="S245" s="78">
        <f t="shared" si="35"/>
        <v>695</v>
      </c>
      <c r="T245" s="78">
        <f>50</f>
        <v>50</v>
      </c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</row>
    <row r="246" spans="1:30" ht="15.75" x14ac:dyDescent="0.25">
      <c r="A246" s="16">
        <v>48396</v>
      </c>
      <c r="B246" s="91">
        <v>31</v>
      </c>
      <c r="C246" s="78">
        <f>194.205</f>
        <v>194.20500000000001</v>
      </c>
      <c r="D246" s="78">
        <f>267.466</f>
        <v>267.46600000000001</v>
      </c>
      <c r="E246" s="86">
        <f>133.845</f>
        <v>133.845</v>
      </c>
      <c r="F246" s="78">
        <f>278.484-40-25-60</f>
        <v>153.48399999999998</v>
      </c>
      <c r="G246" s="80">
        <v>40</v>
      </c>
      <c r="H246" s="78">
        <f t="shared" si="39"/>
        <v>85</v>
      </c>
      <c r="I246" s="78">
        <f t="shared" si="40"/>
        <v>0</v>
      </c>
      <c r="J246" s="80">
        <v>100</v>
      </c>
      <c r="K246" s="80">
        <v>300</v>
      </c>
      <c r="L246" s="78">
        <f t="shared" si="32"/>
        <v>1274</v>
      </c>
      <c r="M246" s="88">
        <v>600</v>
      </c>
      <c r="N246" s="78">
        <f>30</f>
        <v>30</v>
      </c>
      <c r="O246" s="80">
        <v>240</v>
      </c>
      <c r="P246" s="80">
        <v>160</v>
      </c>
      <c r="Q246" s="80">
        <f t="shared" si="33"/>
        <v>195</v>
      </c>
      <c r="R246" s="80">
        <f t="shared" si="34"/>
        <v>100</v>
      </c>
      <c r="S246" s="78">
        <f t="shared" si="35"/>
        <v>695</v>
      </c>
      <c r="T246" s="78">
        <f>0</f>
        <v>0</v>
      </c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</row>
    <row r="247" spans="1:30" ht="15.75" x14ac:dyDescent="0.25">
      <c r="A247" s="16">
        <v>48427</v>
      </c>
      <c r="B247" s="91">
        <v>31</v>
      </c>
      <c r="C247" s="78">
        <f>194.205</f>
        <v>194.20500000000001</v>
      </c>
      <c r="D247" s="78">
        <f>267.466</f>
        <v>267.46600000000001</v>
      </c>
      <c r="E247" s="86">
        <f>133.845</f>
        <v>133.845</v>
      </c>
      <c r="F247" s="78">
        <f>278.484-40-25-60</f>
        <v>153.48399999999998</v>
      </c>
      <c r="G247" s="80">
        <v>40</v>
      </c>
      <c r="H247" s="78">
        <f t="shared" si="39"/>
        <v>85</v>
      </c>
      <c r="I247" s="78">
        <f t="shared" si="40"/>
        <v>0</v>
      </c>
      <c r="J247" s="80">
        <v>100</v>
      </c>
      <c r="K247" s="80">
        <v>300</v>
      </c>
      <c r="L247" s="78">
        <f t="shared" si="32"/>
        <v>1274</v>
      </c>
      <c r="M247" s="88">
        <v>600</v>
      </c>
      <c r="N247" s="78">
        <f>30</f>
        <v>30</v>
      </c>
      <c r="O247" s="80">
        <v>240</v>
      </c>
      <c r="P247" s="80">
        <v>160</v>
      </c>
      <c r="Q247" s="80">
        <f t="shared" si="33"/>
        <v>195</v>
      </c>
      <c r="R247" s="80">
        <f t="shared" si="34"/>
        <v>100</v>
      </c>
      <c r="S247" s="78">
        <f t="shared" si="35"/>
        <v>695</v>
      </c>
      <c r="T247" s="78">
        <f>0</f>
        <v>0</v>
      </c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</row>
    <row r="248" spans="1:30" ht="15.75" x14ac:dyDescent="0.25">
      <c r="A248" s="16">
        <v>48458</v>
      </c>
      <c r="B248" s="91">
        <v>30</v>
      </c>
      <c r="C248" s="78">
        <f>194.205</f>
        <v>194.20500000000001</v>
      </c>
      <c r="D248" s="78">
        <f>267.466</f>
        <v>267.46600000000001</v>
      </c>
      <c r="E248" s="86">
        <f>133.845</f>
        <v>133.845</v>
      </c>
      <c r="F248" s="78">
        <f>278.484-40-25-60</f>
        <v>153.48399999999998</v>
      </c>
      <c r="G248" s="80">
        <v>40</v>
      </c>
      <c r="H248" s="78">
        <f t="shared" si="39"/>
        <v>85</v>
      </c>
      <c r="I248" s="78">
        <f t="shared" si="40"/>
        <v>0</v>
      </c>
      <c r="J248" s="80">
        <v>100</v>
      </c>
      <c r="K248" s="80">
        <v>300</v>
      </c>
      <c r="L248" s="78">
        <f t="shared" si="32"/>
        <v>1274</v>
      </c>
      <c r="M248" s="88">
        <v>600</v>
      </c>
      <c r="N248" s="78">
        <f>30</f>
        <v>30</v>
      </c>
      <c r="O248" s="80">
        <v>240</v>
      </c>
      <c r="P248" s="80">
        <v>160</v>
      </c>
      <c r="Q248" s="80">
        <f t="shared" si="33"/>
        <v>195</v>
      </c>
      <c r="R248" s="80">
        <f t="shared" si="34"/>
        <v>100</v>
      </c>
      <c r="S248" s="78">
        <f t="shared" si="35"/>
        <v>695</v>
      </c>
      <c r="T248" s="78">
        <f>0</f>
        <v>0</v>
      </c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</row>
    <row r="249" spans="1:30" ht="15.75" x14ac:dyDescent="0.25">
      <c r="A249" s="16">
        <v>48488</v>
      </c>
      <c r="B249" s="91">
        <v>31</v>
      </c>
      <c r="C249" s="78">
        <f>131.881</f>
        <v>131.881</v>
      </c>
      <c r="D249" s="78">
        <f>277.167</f>
        <v>277.16699999999997</v>
      </c>
      <c r="E249" s="86">
        <f>79.08</f>
        <v>79.08</v>
      </c>
      <c r="F249" s="78">
        <f>350.872-40-25-60</f>
        <v>225.87200000000001</v>
      </c>
      <c r="G249" s="80">
        <v>40</v>
      </c>
      <c r="H249" s="78">
        <f t="shared" si="39"/>
        <v>85</v>
      </c>
      <c r="I249" s="78">
        <f t="shared" si="40"/>
        <v>0</v>
      </c>
      <c r="J249" s="80">
        <v>100</v>
      </c>
      <c r="K249" s="80">
        <v>300</v>
      </c>
      <c r="L249" s="78">
        <f t="shared" si="32"/>
        <v>1239</v>
      </c>
      <c r="M249" s="88">
        <v>600</v>
      </c>
      <c r="N249" s="78">
        <f>75</f>
        <v>75</v>
      </c>
      <c r="O249" s="80">
        <v>240</v>
      </c>
      <c r="P249" s="80">
        <v>160</v>
      </c>
      <c r="Q249" s="80">
        <f t="shared" si="33"/>
        <v>195</v>
      </c>
      <c r="R249" s="80">
        <f t="shared" si="34"/>
        <v>100</v>
      </c>
      <c r="S249" s="78">
        <f t="shared" si="35"/>
        <v>695</v>
      </c>
      <c r="T249" s="78">
        <f>0</f>
        <v>0</v>
      </c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</row>
    <row r="250" spans="1:30" ht="15.75" x14ac:dyDescent="0.25">
      <c r="A250" s="16">
        <v>48519</v>
      </c>
      <c r="B250" s="91">
        <v>30</v>
      </c>
      <c r="C250" s="78">
        <f>122.58</f>
        <v>122.58</v>
      </c>
      <c r="D250" s="78">
        <f>297.941</f>
        <v>297.94099999999997</v>
      </c>
      <c r="E250" s="86">
        <f>89.177</f>
        <v>89.177000000000007</v>
      </c>
      <c r="F250" s="78">
        <f>240.302-40-60</f>
        <v>140.30199999999999</v>
      </c>
      <c r="G250" s="80">
        <v>40</v>
      </c>
      <c r="H250" s="78">
        <v>60</v>
      </c>
      <c r="I250" s="78">
        <f t="shared" si="40"/>
        <v>0</v>
      </c>
      <c r="J250" s="80">
        <v>100</v>
      </c>
      <c r="K250" s="80">
        <v>300</v>
      </c>
      <c r="L250" s="78">
        <f t="shared" si="32"/>
        <v>1150</v>
      </c>
      <c r="M250" s="88">
        <v>600</v>
      </c>
      <c r="N250" s="78">
        <f>100</f>
        <v>100</v>
      </c>
      <c r="O250" s="80">
        <v>240</v>
      </c>
      <c r="P250" s="80">
        <v>40</v>
      </c>
      <c r="Q250" s="80">
        <f t="shared" si="33"/>
        <v>315</v>
      </c>
      <c r="R250" s="80">
        <f t="shared" si="34"/>
        <v>100</v>
      </c>
      <c r="S250" s="78">
        <f t="shared" si="35"/>
        <v>695</v>
      </c>
      <c r="T250" s="78">
        <f>50</f>
        <v>50</v>
      </c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</row>
    <row r="251" spans="1:30" ht="15.75" x14ac:dyDescent="0.25">
      <c r="A251" s="16">
        <v>48549</v>
      </c>
      <c r="B251" s="91">
        <v>31</v>
      </c>
      <c r="C251" s="78">
        <f>122.58</f>
        <v>122.58</v>
      </c>
      <c r="D251" s="78">
        <f>297.941</f>
        <v>297.94099999999997</v>
      </c>
      <c r="E251" s="86">
        <f>89.177</f>
        <v>89.177000000000007</v>
      </c>
      <c r="F251" s="78">
        <f>240.302-40-60</f>
        <v>140.30199999999999</v>
      </c>
      <c r="G251" s="80">
        <v>40</v>
      </c>
      <c r="H251" s="78">
        <v>60</v>
      </c>
      <c r="I251" s="78">
        <f t="shared" si="40"/>
        <v>0</v>
      </c>
      <c r="J251" s="80">
        <v>100</v>
      </c>
      <c r="K251" s="80">
        <v>300</v>
      </c>
      <c r="L251" s="78">
        <f t="shared" si="32"/>
        <v>1150</v>
      </c>
      <c r="M251" s="88">
        <v>600</v>
      </c>
      <c r="N251" s="78">
        <f>100</f>
        <v>100</v>
      </c>
      <c r="O251" s="80">
        <v>240</v>
      </c>
      <c r="P251" s="80">
        <v>40</v>
      </c>
      <c r="Q251" s="80">
        <f t="shared" si="33"/>
        <v>315</v>
      </c>
      <c r="R251" s="80">
        <f t="shared" si="34"/>
        <v>100</v>
      </c>
      <c r="S251" s="78">
        <f t="shared" si="35"/>
        <v>695</v>
      </c>
      <c r="T251" s="78">
        <f>50</f>
        <v>50</v>
      </c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</row>
    <row r="252" spans="1:30" ht="15.75" x14ac:dyDescent="0.25">
      <c r="A252" s="16">
        <v>48580</v>
      </c>
      <c r="B252" s="91">
        <v>31</v>
      </c>
      <c r="C252" s="78">
        <f>122.58</f>
        <v>122.58</v>
      </c>
      <c r="D252" s="78">
        <f>297.941</f>
        <v>297.94099999999997</v>
      </c>
      <c r="E252" s="86">
        <f>89.177</f>
        <v>89.177000000000007</v>
      </c>
      <c r="F252" s="78">
        <f>240.302-40-60</f>
        <v>140.30199999999999</v>
      </c>
      <c r="G252" s="80">
        <v>40</v>
      </c>
      <c r="H252" s="78">
        <v>60</v>
      </c>
      <c r="I252" s="78">
        <f t="shared" si="40"/>
        <v>0</v>
      </c>
      <c r="J252" s="80">
        <v>100</v>
      </c>
      <c r="K252" s="80">
        <v>300</v>
      </c>
      <c r="L252" s="78">
        <f t="shared" si="32"/>
        <v>1150</v>
      </c>
      <c r="M252" s="88">
        <v>600</v>
      </c>
      <c r="N252" s="78">
        <f>100</f>
        <v>100</v>
      </c>
      <c r="O252" s="80">
        <v>240</v>
      </c>
      <c r="P252" s="80">
        <v>40</v>
      </c>
      <c r="Q252" s="80">
        <f t="shared" si="33"/>
        <v>315</v>
      </c>
      <c r="R252" s="80">
        <f t="shared" si="34"/>
        <v>100</v>
      </c>
      <c r="S252" s="78">
        <f t="shared" si="35"/>
        <v>695</v>
      </c>
      <c r="T252" s="78">
        <f>50</f>
        <v>50</v>
      </c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</row>
    <row r="253" spans="1:30" ht="15.75" x14ac:dyDescent="0.25">
      <c r="A253" s="16">
        <v>48611</v>
      </c>
      <c r="B253" s="91">
        <v>28</v>
      </c>
      <c r="C253" s="78">
        <f>122.58</f>
        <v>122.58</v>
      </c>
      <c r="D253" s="78">
        <f>297.941</f>
        <v>297.94099999999997</v>
      </c>
      <c r="E253" s="86">
        <f>89.177</f>
        <v>89.177000000000007</v>
      </c>
      <c r="F253" s="78">
        <f>240.302-40-60</f>
        <v>140.30199999999999</v>
      </c>
      <c r="G253" s="80">
        <v>40</v>
      </c>
      <c r="H253" s="78">
        <v>60</v>
      </c>
      <c r="I253" s="78">
        <f t="shared" si="40"/>
        <v>0</v>
      </c>
      <c r="J253" s="80">
        <v>100</v>
      </c>
      <c r="K253" s="80">
        <v>300</v>
      </c>
      <c r="L253" s="78">
        <f t="shared" si="32"/>
        <v>1150</v>
      </c>
      <c r="M253" s="88">
        <v>600</v>
      </c>
      <c r="N253" s="78">
        <f>100</f>
        <v>100</v>
      </c>
      <c r="O253" s="80">
        <v>240</v>
      </c>
      <c r="P253" s="80">
        <v>40</v>
      </c>
      <c r="Q253" s="80">
        <f t="shared" si="33"/>
        <v>315</v>
      </c>
      <c r="R253" s="80">
        <f t="shared" si="34"/>
        <v>100</v>
      </c>
      <c r="S253" s="78">
        <f t="shared" si="35"/>
        <v>695</v>
      </c>
      <c r="T253" s="78">
        <f>50</f>
        <v>50</v>
      </c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</row>
    <row r="254" spans="1:30" ht="15.75" x14ac:dyDescent="0.25">
      <c r="A254" s="16">
        <v>48639</v>
      </c>
      <c r="B254" s="91">
        <v>31</v>
      </c>
      <c r="C254" s="78">
        <f>122.58</f>
        <v>122.58</v>
      </c>
      <c r="D254" s="78">
        <f>297.941</f>
        <v>297.94099999999997</v>
      </c>
      <c r="E254" s="86">
        <f>89.177</f>
        <v>89.177000000000007</v>
      </c>
      <c r="F254" s="78">
        <f>240.302-40-60</f>
        <v>140.30199999999999</v>
      </c>
      <c r="G254" s="80">
        <v>40</v>
      </c>
      <c r="H254" s="78">
        <v>60</v>
      </c>
      <c r="I254" s="78">
        <f t="shared" si="40"/>
        <v>0</v>
      </c>
      <c r="J254" s="80">
        <v>100</v>
      </c>
      <c r="K254" s="80">
        <v>300</v>
      </c>
      <c r="L254" s="78">
        <f t="shared" si="32"/>
        <v>1150</v>
      </c>
      <c r="M254" s="88">
        <v>600</v>
      </c>
      <c r="N254" s="78">
        <f>100</f>
        <v>100</v>
      </c>
      <c r="O254" s="80">
        <v>240</v>
      </c>
      <c r="P254" s="80">
        <v>40</v>
      </c>
      <c r="Q254" s="80">
        <f t="shared" si="33"/>
        <v>315</v>
      </c>
      <c r="R254" s="80">
        <f t="shared" si="34"/>
        <v>100</v>
      </c>
      <c r="S254" s="78">
        <f t="shared" si="35"/>
        <v>695</v>
      </c>
      <c r="T254" s="78">
        <f>50</f>
        <v>50</v>
      </c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</row>
    <row r="255" spans="1:30" ht="15.75" x14ac:dyDescent="0.25">
      <c r="A255" s="16">
        <v>48670</v>
      </c>
      <c r="B255" s="91">
        <v>30</v>
      </c>
      <c r="C255" s="78">
        <f>141.293</f>
        <v>141.29300000000001</v>
      </c>
      <c r="D255" s="78">
        <f>267.993</f>
        <v>267.99299999999999</v>
      </c>
      <c r="E255" s="86">
        <f>115.016</f>
        <v>115.01600000000001</v>
      </c>
      <c r="F255" s="78">
        <f>314.698-40-25-60</f>
        <v>189.69799999999998</v>
      </c>
      <c r="G255" s="80">
        <v>40</v>
      </c>
      <c r="H255" s="78">
        <f t="shared" ref="H255:H261" si="41">25+60</f>
        <v>85</v>
      </c>
      <c r="I255" s="78">
        <f t="shared" si="40"/>
        <v>0</v>
      </c>
      <c r="J255" s="80">
        <v>100</v>
      </c>
      <c r="K255" s="80">
        <v>300</v>
      </c>
      <c r="L255" s="78">
        <f t="shared" si="32"/>
        <v>1239</v>
      </c>
      <c r="M255" s="88">
        <v>600</v>
      </c>
      <c r="N255" s="78">
        <f>100</f>
        <v>100</v>
      </c>
      <c r="O255" s="80">
        <v>240</v>
      </c>
      <c r="P255" s="80">
        <v>160</v>
      </c>
      <c r="Q255" s="80">
        <f t="shared" si="33"/>
        <v>195</v>
      </c>
      <c r="R255" s="80">
        <f t="shared" si="34"/>
        <v>100</v>
      </c>
      <c r="S255" s="78">
        <f t="shared" si="35"/>
        <v>695</v>
      </c>
      <c r="T255" s="78">
        <f>50</f>
        <v>50</v>
      </c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</row>
    <row r="256" spans="1:30" ht="15.75" x14ac:dyDescent="0.25">
      <c r="A256" s="16">
        <v>48700</v>
      </c>
      <c r="B256" s="91">
        <v>31</v>
      </c>
      <c r="C256" s="78">
        <f>194.205</f>
        <v>194.20500000000001</v>
      </c>
      <c r="D256" s="78">
        <f>267.466</f>
        <v>267.46600000000001</v>
      </c>
      <c r="E256" s="86">
        <f>133.845</f>
        <v>133.845</v>
      </c>
      <c r="F256" s="78">
        <f>278.484-40-25-60</f>
        <v>153.48399999999998</v>
      </c>
      <c r="G256" s="80">
        <v>40</v>
      </c>
      <c r="H256" s="78">
        <f t="shared" si="41"/>
        <v>85</v>
      </c>
      <c r="I256" s="78">
        <f t="shared" si="40"/>
        <v>0</v>
      </c>
      <c r="J256" s="80">
        <v>100</v>
      </c>
      <c r="K256" s="80">
        <v>300</v>
      </c>
      <c r="L256" s="78">
        <f t="shared" si="32"/>
        <v>1274</v>
      </c>
      <c r="M256" s="88">
        <v>600</v>
      </c>
      <c r="N256" s="78">
        <f>75</f>
        <v>75</v>
      </c>
      <c r="O256" s="80">
        <v>240</v>
      </c>
      <c r="P256" s="80">
        <v>160</v>
      </c>
      <c r="Q256" s="80">
        <f t="shared" si="33"/>
        <v>195</v>
      </c>
      <c r="R256" s="80">
        <f t="shared" si="34"/>
        <v>100</v>
      </c>
      <c r="S256" s="78">
        <f t="shared" si="35"/>
        <v>695</v>
      </c>
      <c r="T256" s="78">
        <f>50</f>
        <v>50</v>
      </c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</row>
    <row r="257" spans="1:30" ht="15.75" x14ac:dyDescent="0.25">
      <c r="A257" s="16">
        <v>48731</v>
      </c>
      <c r="B257" s="91">
        <v>30</v>
      </c>
      <c r="C257" s="78">
        <f>194.205</f>
        <v>194.20500000000001</v>
      </c>
      <c r="D257" s="78">
        <f>267.466</f>
        <v>267.46600000000001</v>
      </c>
      <c r="E257" s="86">
        <f>133.845</f>
        <v>133.845</v>
      </c>
      <c r="F257" s="78">
        <f>278.484-40-25-60</f>
        <v>153.48399999999998</v>
      </c>
      <c r="G257" s="80">
        <v>40</v>
      </c>
      <c r="H257" s="78">
        <f t="shared" si="41"/>
        <v>85</v>
      </c>
      <c r="I257" s="78">
        <f t="shared" si="40"/>
        <v>0</v>
      </c>
      <c r="J257" s="80">
        <v>100</v>
      </c>
      <c r="K257" s="80">
        <v>300</v>
      </c>
      <c r="L257" s="78">
        <f t="shared" si="32"/>
        <v>1274</v>
      </c>
      <c r="M257" s="88">
        <v>600</v>
      </c>
      <c r="N257" s="78">
        <f>30</f>
        <v>30</v>
      </c>
      <c r="O257" s="80">
        <v>240</v>
      </c>
      <c r="P257" s="80">
        <v>160</v>
      </c>
      <c r="Q257" s="80">
        <f t="shared" si="33"/>
        <v>195</v>
      </c>
      <c r="R257" s="80">
        <f t="shared" si="34"/>
        <v>100</v>
      </c>
      <c r="S257" s="78">
        <f t="shared" si="35"/>
        <v>695</v>
      </c>
      <c r="T257" s="78">
        <f>50</f>
        <v>50</v>
      </c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</row>
    <row r="258" spans="1:30" ht="15.75" x14ac:dyDescent="0.25">
      <c r="A258" s="16">
        <v>48761</v>
      </c>
      <c r="B258" s="91">
        <v>31</v>
      </c>
      <c r="C258" s="78">
        <f>194.205</f>
        <v>194.20500000000001</v>
      </c>
      <c r="D258" s="78">
        <f>267.466</f>
        <v>267.46600000000001</v>
      </c>
      <c r="E258" s="86">
        <f>133.845</f>
        <v>133.845</v>
      </c>
      <c r="F258" s="78">
        <f>278.484-40-25-60</f>
        <v>153.48399999999998</v>
      </c>
      <c r="G258" s="80">
        <v>40</v>
      </c>
      <c r="H258" s="78">
        <f t="shared" si="41"/>
        <v>85</v>
      </c>
      <c r="I258" s="78">
        <f t="shared" si="40"/>
        <v>0</v>
      </c>
      <c r="J258" s="80">
        <v>100</v>
      </c>
      <c r="K258" s="80">
        <v>300</v>
      </c>
      <c r="L258" s="78">
        <f t="shared" si="32"/>
        <v>1274</v>
      </c>
      <c r="M258" s="88">
        <v>600</v>
      </c>
      <c r="N258" s="78">
        <f>30</f>
        <v>30</v>
      </c>
      <c r="O258" s="80">
        <v>240</v>
      </c>
      <c r="P258" s="80">
        <v>160</v>
      </c>
      <c r="Q258" s="80">
        <f t="shared" si="33"/>
        <v>195</v>
      </c>
      <c r="R258" s="80">
        <f t="shared" si="34"/>
        <v>100</v>
      </c>
      <c r="S258" s="78">
        <f t="shared" si="35"/>
        <v>695</v>
      </c>
      <c r="T258" s="78">
        <f>0</f>
        <v>0</v>
      </c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</row>
    <row r="259" spans="1:30" ht="15.75" x14ac:dyDescent="0.25">
      <c r="A259" s="16">
        <v>48792</v>
      </c>
      <c r="B259" s="91">
        <v>31</v>
      </c>
      <c r="C259" s="78">
        <f>194.205</f>
        <v>194.20500000000001</v>
      </c>
      <c r="D259" s="78">
        <f>267.466</f>
        <v>267.46600000000001</v>
      </c>
      <c r="E259" s="86">
        <f>133.845</f>
        <v>133.845</v>
      </c>
      <c r="F259" s="78">
        <f>278.484-40-25-60</f>
        <v>153.48399999999998</v>
      </c>
      <c r="G259" s="80">
        <v>40</v>
      </c>
      <c r="H259" s="78">
        <f t="shared" si="41"/>
        <v>85</v>
      </c>
      <c r="I259" s="78">
        <f t="shared" si="40"/>
        <v>0</v>
      </c>
      <c r="J259" s="80">
        <v>100</v>
      </c>
      <c r="K259" s="80">
        <v>300</v>
      </c>
      <c r="L259" s="78">
        <f t="shared" si="32"/>
        <v>1274</v>
      </c>
      <c r="M259" s="88">
        <v>600</v>
      </c>
      <c r="N259" s="78">
        <f>30</f>
        <v>30</v>
      </c>
      <c r="O259" s="80">
        <v>240</v>
      </c>
      <c r="P259" s="80">
        <v>160</v>
      </c>
      <c r="Q259" s="80">
        <f t="shared" si="33"/>
        <v>195</v>
      </c>
      <c r="R259" s="80">
        <f t="shared" si="34"/>
        <v>100</v>
      </c>
      <c r="S259" s="78">
        <f t="shared" si="35"/>
        <v>695</v>
      </c>
      <c r="T259" s="78">
        <f>0</f>
        <v>0</v>
      </c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</row>
    <row r="260" spans="1:30" ht="15.75" x14ac:dyDescent="0.25">
      <c r="A260" s="16">
        <v>48823</v>
      </c>
      <c r="B260" s="91">
        <v>30</v>
      </c>
      <c r="C260" s="78">
        <f>194.205</f>
        <v>194.20500000000001</v>
      </c>
      <c r="D260" s="78">
        <f>267.466</f>
        <v>267.46600000000001</v>
      </c>
      <c r="E260" s="86">
        <f>133.845</f>
        <v>133.845</v>
      </c>
      <c r="F260" s="78">
        <f>278.484-40-25-60</f>
        <v>153.48399999999998</v>
      </c>
      <c r="G260" s="80">
        <v>40</v>
      </c>
      <c r="H260" s="78">
        <f t="shared" si="41"/>
        <v>85</v>
      </c>
      <c r="I260" s="78">
        <f t="shared" si="40"/>
        <v>0</v>
      </c>
      <c r="J260" s="80">
        <v>100</v>
      </c>
      <c r="K260" s="80">
        <v>300</v>
      </c>
      <c r="L260" s="78">
        <f t="shared" si="32"/>
        <v>1274</v>
      </c>
      <c r="M260" s="88">
        <v>600</v>
      </c>
      <c r="N260" s="78">
        <f>30</f>
        <v>30</v>
      </c>
      <c r="O260" s="80">
        <v>240</v>
      </c>
      <c r="P260" s="80">
        <v>160</v>
      </c>
      <c r="Q260" s="80">
        <f t="shared" si="33"/>
        <v>195</v>
      </c>
      <c r="R260" s="80">
        <f t="shared" si="34"/>
        <v>100</v>
      </c>
      <c r="S260" s="78">
        <f t="shared" si="35"/>
        <v>695</v>
      </c>
      <c r="T260" s="78">
        <f>0</f>
        <v>0</v>
      </c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</row>
    <row r="261" spans="1:30" ht="15.75" x14ac:dyDescent="0.25">
      <c r="A261" s="16">
        <v>48853</v>
      </c>
      <c r="B261" s="91">
        <v>31</v>
      </c>
      <c r="C261" s="78">
        <f>131.881</f>
        <v>131.881</v>
      </c>
      <c r="D261" s="78">
        <f>277.167</f>
        <v>277.16699999999997</v>
      </c>
      <c r="E261" s="86">
        <f>79.08</f>
        <v>79.08</v>
      </c>
      <c r="F261" s="78">
        <f>350.872-40-25-60</f>
        <v>225.87200000000001</v>
      </c>
      <c r="G261" s="80">
        <v>40</v>
      </c>
      <c r="H261" s="78">
        <f t="shared" si="41"/>
        <v>85</v>
      </c>
      <c r="I261" s="78">
        <f t="shared" si="40"/>
        <v>0</v>
      </c>
      <c r="J261" s="80">
        <v>100</v>
      </c>
      <c r="K261" s="80">
        <v>300</v>
      </c>
      <c r="L261" s="78">
        <f t="shared" si="32"/>
        <v>1239</v>
      </c>
      <c r="M261" s="88">
        <v>600</v>
      </c>
      <c r="N261" s="78">
        <f>75</f>
        <v>75</v>
      </c>
      <c r="O261" s="80">
        <v>240</v>
      </c>
      <c r="P261" s="80">
        <v>160</v>
      </c>
      <c r="Q261" s="80">
        <f t="shared" si="33"/>
        <v>195</v>
      </c>
      <c r="R261" s="80">
        <f t="shared" si="34"/>
        <v>100</v>
      </c>
      <c r="S261" s="78">
        <f t="shared" si="35"/>
        <v>695</v>
      </c>
      <c r="T261" s="78">
        <f>0</f>
        <v>0</v>
      </c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</row>
    <row r="262" spans="1:30" ht="15.75" x14ac:dyDescent="0.25">
      <c r="A262" s="16">
        <v>48884</v>
      </c>
      <c r="B262" s="91">
        <v>30</v>
      </c>
      <c r="C262" s="78">
        <f>122.58</f>
        <v>122.58</v>
      </c>
      <c r="D262" s="78">
        <f>297.941</f>
        <v>297.94099999999997</v>
      </c>
      <c r="E262" s="86">
        <f>89.177</f>
        <v>89.177000000000007</v>
      </c>
      <c r="F262" s="78">
        <f>240.302-40-60</f>
        <v>140.30199999999999</v>
      </c>
      <c r="G262" s="80">
        <v>40</v>
      </c>
      <c r="H262" s="78">
        <v>60</v>
      </c>
      <c r="I262" s="78">
        <f t="shared" si="40"/>
        <v>0</v>
      </c>
      <c r="J262" s="80">
        <v>100</v>
      </c>
      <c r="K262" s="80">
        <v>300</v>
      </c>
      <c r="L262" s="78">
        <f t="shared" si="32"/>
        <v>1150</v>
      </c>
      <c r="M262" s="88">
        <v>600</v>
      </c>
      <c r="N262" s="78">
        <f>100</f>
        <v>100</v>
      </c>
      <c r="O262" s="80">
        <v>240</v>
      </c>
      <c r="P262" s="80">
        <v>40</v>
      </c>
      <c r="Q262" s="80">
        <f t="shared" si="33"/>
        <v>315</v>
      </c>
      <c r="R262" s="80">
        <f t="shared" si="34"/>
        <v>100</v>
      </c>
      <c r="S262" s="78">
        <f t="shared" si="35"/>
        <v>695</v>
      </c>
      <c r="T262" s="78">
        <f>50</f>
        <v>50</v>
      </c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</row>
    <row r="263" spans="1:30" ht="15.75" x14ac:dyDescent="0.25">
      <c r="A263" s="16">
        <v>48914</v>
      </c>
      <c r="B263" s="91">
        <v>31</v>
      </c>
      <c r="C263" s="78">
        <f>122.58</f>
        <v>122.58</v>
      </c>
      <c r="D263" s="78">
        <f>297.941</f>
        <v>297.94099999999997</v>
      </c>
      <c r="E263" s="86">
        <f>89.177</f>
        <v>89.177000000000007</v>
      </c>
      <c r="F263" s="78">
        <f>240.302-40-60</f>
        <v>140.30199999999999</v>
      </c>
      <c r="G263" s="80">
        <v>40</v>
      </c>
      <c r="H263" s="78">
        <v>60</v>
      </c>
      <c r="I263" s="78">
        <f t="shared" si="40"/>
        <v>0</v>
      </c>
      <c r="J263" s="80">
        <v>100</v>
      </c>
      <c r="K263" s="80">
        <v>300</v>
      </c>
      <c r="L263" s="78">
        <f t="shared" si="32"/>
        <v>1150</v>
      </c>
      <c r="M263" s="88">
        <v>600</v>
      </c>
      <c r="N263" s="78">
        <f>100</f>
        <v>100</v>
      </c>
      <c r="O263" s="80">
        <v>240</v>
      </c>
      <c r="P263" s="80">
        <v>40</v>
      </c>
      <c r="Q263" s="80">
        <f t="shared" si="33"/>
        <v>315</v>
      </c>
      <c r="R263" s="80">
        <f t="shared" si="34"/>
        <v>100</v>
      </c>
      <c r="S263" s="78">
        <f t="shared" si="35"/>
        <v>695</v>
      </c>
      <c r="T263" s="78">
        <f>50</f>
        <v>50</v>
      </c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</row>
    <row r="264" spans="1:30" ht="15.75" x14ac:dyDescent="0.25">
      <c r="A264" s="16">
        <v>48945</v>
      </c>
      <c r="B264" s="91">
        <v>31</v>
      </c>
      <c r="C264" s="78">
        <f>122.58</f>
        <v>122.58</v>
      </c>
      <c r="D264" s="78">
        <f>297.941</f>
        <v>297.94099999999997</v>
      </c>
      <c r="E264" s="86">
        <f>89.177</f>
        <v>89.177000000000007</v>
      </c>
      <c r="F264" s="78">
        <f>240.302-40-60</f>
        <v>140.30199999999999</v>
      </c>
      <c r="G264" s="80">
        <v>40</v>
      </c>
      <c r="H264" s="78">
        <v>60</v>
      </c>
      <c r="I264" s="78">
        <f t="shared" si="40"/>
        <v>0</v>
      </c>
      <c r="J264" s="80">
        <v>100</v>
      </c>
      <c r="K264" s="80">
        <v>300</v>
      </c>
      <c r="L264" s="78">
        <f t="shared" si="32"/>
        <v>1150</v>
      </c>
      <c r="M264" s="88">
        <v>600</v>
      </c>
      <c r="N264" s="78">
        <f>100</f>
        <v>100</v>
      </c>
      <c r="O264" s="80">
        <v>240</v>
      </c>
      <c r="P264" s="80">
        <v>40</v>
      </c>
      <c r="Q264" s="80">
        <f t="shared" si="33"/>
        <v>315</v>
      </c>
      <c r="R264" s="80">
        <f t="shared" si="34"/>
        <v>100</v>
      </c>
      <c r="S264" s="78">
        <f t="shared" si="35"/>
        <v>695</v>
      </c>
      <c r="T264" s="78">
        <f>50</f>
        <v>50</v>
      </c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</row>
    <row r="265" spans="1:30" ht="15.75" x14ac:dyDescent="0.25">
      <c r="A265" s="16">
        <v>48976</v>
      </c>
      <c r="B265" s="91">
        <v>28</v>
      </c>
      <c r="C265" s="78">
        <f>122.58</f>
        <v>122.58</v>
      </c>
      <c r="D265" s="78">
        <f>297.941</f>
        <v>297.94099999999997</v>
      </c>
      <c r="E265" s="86">
        <f>89.177</f>
        <v>89.177000000000007</v>
      </c>
      <c r="F265" s="78">
        <f>240.302-40-60</f>
        <v>140.30199999999999</v>
      </c>
      <c r="G265" s="80">
        <v>40</v>
      </c>
      <c r="H265" s="78">
        <v>60</v>
      </c>
      <c r="I265" s="78">
        <f t="shared" si="40"/>
        <v>0</v>
      </c>
      <c r="J265" s="80">
        <v>100</v>
      </c>
      <c r="K265" s="80">
        <v>300</v>
      </c>
      <c r="L265" s="78">
        <f t="shared" si="32"/>
        <v>1150</v>
      </c>
      <c r="M265" s="88">
        <v>600</v>
      </c>
      <c r="N265" s="78">
        <f>100</f>
        <v>100</v>
      </c>
      <c r="O265" s="80">
        <v>240</v>
      </c>
      <c r="P265" s="80">
        <v>40</v>
      </c>
      <c r="Q265" s="80">
        <f t="shared" si="33"/>
        <v>315</v>
      </c>
      <c r="R265" s="80">
        <f t="shared" si="34"/>
        <v>100</v>
      </c>
      <c r="S265" s="78">
        <f t="shared" si="35"/>
        <v>695</v>
      </c>
      <c r="T265" s="78">
        <f>50</f>
        <v>50</v>
      </c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</row>
    <row r="266" spans="1:30" ht="15.75" x14ac:dyDescent="0.25">
      <c r="A266" s="16">
        <v>49004</v>
      </c>
      <c r="B266" s="91">
        <v>31</v>
      </c>
      <c r="C266" s="78">
        <f>122.58</f>
        <v>122.58</v>
      </c>
      <c r="D266" s="78">
        <f>297.941</f>
        <v>297.94099999999997</v>
      </c>
      <c r="E266" s="86">
        <f>89.177</f>
        <v>89.177000000000007</v>
      </c>
      <c r="F266" s="78">
        <f>240.302-40-60</f>
        <v>140.30199999999999</v>
      </c>
      <c r="G266" s="80">
        <v>40</v>
      </c>
      <c r="H266" s="78">
        <v>60</v>
      </c>
      <c r="I266" s="78">
        <f t="shared" si="40"/>
        <v>0</v>
      </c>
      <c r="J266" s="80">
        <v>100</v>
      </c>
      <c r="K266" s="80">
        <v>300</v>
      </c>
      <c r="L266" s="78">
        <f t="shared" si="32"/>
        <v>1150</v>
      </c>
      <c r="M266" s="88">
        <v>600</v>
      </c>
      <c r="N266" s="78">
        <f>100</f>
        <v>100</v>
      </c>
      <c r="O266" s="80">
        <v>240</v>
      </c>
      <c r="P266" s="80">
        <v>40</v>
      </c>
      <c r="Q266" s="80">
        <f t="shared" si="33"/>
        <v>315</v>
      </c>
      <c r="R266" s="80">
        <f t="shared" si="34"/>
        <v>100</v>
      </c>
      <c r="S266" s="78">
        <f t="shared" si="35"/>
        <v>695</v>
      </c>
      <c r="T266" s="78">
        <f>50</f>
        <v>50</v>
      </c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</row>
    <row r="267" spans="1:30" ht="15.75" x14ac:dyDescent="0.25">
      <c r="A267" s="16">
        <v>49035</v>
      </c>
      <c r="B267" s="91">
        <v>30</v>
      </c>
      <c r="C267" s="78">
        <f>141.293</f>
        <v>141.29300000000001</v>
      </c>
      <c r="D267" s="78">
        <f>267.993</f>
        <v>267.99299999999999</v>
      </c>
      <c r="E267" s="86">
        <f>115.016</f>
        <v>115.01600000000001</v>
      </c>
      <c r="F267" s="78">
        <f>314.698-40-25-60</f>
        <v>189.69799999999998</v>
      </c>
      <c r="G267" s="80">
        <v>40</v>
      </c>
      <c r="H267" s="78">
        <f t="shared" ref="H267:H273" si="42">25+60</f>
        <v>85</v>
      </c>
      <c r="I267" s="78">
        <f t="shared" si="40"/>
        <v>0</v>
      </c>
      <c r="J267" s="80">
        <v>100</v>
      </c>
      <c r="K267" s="80">
        <v>300</v>
      </c>
      <c r="L267" s="78">
        <f t="shared" si="32"/>
        <v>1239</v>
      </c>
      <c r="M267" s="88">
        <v>600</v>
      </c>
      <c r="N267" s="78">
        <f>100</f>
        <v>100</v>
      </c>
      <c r="O267" s="80">
        <v>240</v>
      </c>
      <c r="P267" s="80">
        <v>160</v>
      </c>
      <c r="Q267" s="80">
        <f t="shared" si="33"/>
        <v>195</v>
      </c>
      <c r="R267" s="80">
        <f t="shared" si="34"/>
        <v>100</v>
      </c>
      <c r="S267" s="78">
        <f t="shared" si="35"/>
        <v>695</v>
      </c>
      <c r="T267" s="78">
        <f>50</f>
        <v>50</v>
      </c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</row>
    <row r="268" spans="1:30" ht="15.75" x14ac:dyDescent="0.25">
      <c r="A268" s="16">
        <v>49065</v>
      </c>
      <c r="B268" s="91">
        <v>31</v>
      </c>
      <c r="C268" s="78">
        <f>194.205</f>
        <v>194.20500000000001</v>
      </c>
      <c r="D268" s="78">
        <f>267.466</f>
        <v>267.46600000000001</v>
      </c>
      <c r="E268" s="86">
        <f>133.845</f>
        <v>133.845</v>
      </c>
      <c r="F268" s="78">
        <f>278.484-40-25-60</f>
        <v>153.48399999999998</v>
      </c>
      <c r="G268" s="80">
        <v>40</v>
      </c>
      <c r="H268" s="78">
        <f t="shared" si="42"/>
        <v>85</v>
      </c>
      <c r="I268" s="78">
        <f t="shared" si="40"/>
        <v>0</v>
      </c>
      <c r="J268" s="80">
        <v>100</v>
      </c>
      <c r="K268" s="80">
        <v>300</v>
      </c>
      <c r="L268" s="78">
        <f t="shared" si="32"/>
        <v>1274</v>
      </c>
      <c r="M268" s="88">
        <v>600</v>
      </c>
      <c r="N268" s="78">
        <f>75</f>
        <v>75</v>
      </c>
      <c r="O268" s="80">
        <v>240</v>
      </c>
      <c r="P268" s="80">
        <v>160</v>
      </c>
      <c r="Q268" s="80">
        <f t="shared" si="33"/>
        <v>195</v>
      </c>
      <c r="R268" s="80">
        <f t="shared" si="34"/>
        <v>100</v>
      </c>
      <c r="S268" s="78">
        <f t="shared" si="35"/>
        <v>695</v>
      </c>
      <c r="T268" s="78">
        <f>50</f>
        <v>50</v>
      </c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</row>
    <row r="269" spans="1:30" ht="15.75" x14ac:dyDescent="0.25">
      <c r="A269" s="16">
        <v>49096</v>
      </c>
      <c r="B269" s="91">
        <v>30</v>
      </c>
      <c r="C269" s="78">
        <f>194.205</f>
        <v>194.20500000000001</v>
      </c>
      <c r="D269" s="78">
        <f>267.466</f>
        <v>267.46600000000001</v>
      </c>
      <c r="E269" s="86">
        <f>133.845</f>
        <v>133.845</v>
      </c>
      <c r="F269" s="78">
        <f>278.484-40-25-60</f>
        <v>153.48399999999998</v>
      </c>
      <c r="G269" s="80">
        <v>40</v>
      </c>
      <c r="H269" s="78">
        <f t="shared" si="42"/>
        <v>85</v>
      </c>
      <c r="I269" s="78">
        <f t="shared" si="40"/>
        <v>0</v>
      </c>
      <c r="J269" s="80">
        <v>100</v>
      </c>
      <c r="K269" s="80">
        <v>300</v>
      </c>
      <c r="L269" s="78">
        <f t="shared" si="32"/>
        <v>1274</v>
      </c>
      <c r="M269" s="88">
        <v>600</v>
      </c>
      <c r="N269" s="78">
        <f>30</f>
        <v>30</v>
      </c>
      <c r="O269" s="80">
        <v>240</v>
      </c>
      <c r="P269" s="80">
        <v>160</v>
      </c>
      <c r="Q269" s="80">
        <f t="shared" si="33"/>
        <v>195</v>
      </c>
      <c r="R269" s="80">
        <f t="shared" si="34"/>
        <v>100</v>
      </c>
      <c r="S269" s="78">
        <f t="shared" si="35"/>
        <v>695</v>
      </c>
      <c r="T269" s="78">
        <f>50</f>
        <v>50</v>
      </c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</row>
    <row r="270" spans="1:30" ht="15.75" x14ac:dyDescent="0.25">
      <c r="A270" s="16">
        <v>49126</v>
      </c>
      <c r="B270" s="91">
        <v>31</v>
      </c>
      <c r="C270" s="78">
        <f>194.205</f>
        <v>194.20500000000001</v>
      </c>
      <c r="D270" s="78">
        <f>267.466</f>
        <v>267.46600000000001</v>
      </c>
      <c r="E270" s="86">
        <f>133.845</f>
        <v>133.845</v>
      </c>
      <c r="F270" s="78">
        <f>278.484-40-25-60</f>
        <v>153.48399999999998</v>
      </c>
      <c r="G270" s="80">
        <v>40</v>
      </c>
      <c r="H270" s="78">
        <f t="shared" si="42"/>
        <v>85</v>
      </c>
      <c r="I270" s="78">
        <f t="shared" si="40"/>
        <v>0</v>
      </c>
      <c r="J270" s="80">
        <v>100</v>
      </c>
      <c r="K270" s="80">
        <v>300</v>
      </c>
      <c r="L270" s="78">
        <f t="shared" ref="L270:L333" si="43">SUM(C270:K270)</f>
        <v>1274</v>
      </c>
      <c r="M270" s="88">
        <v>600</v>
      </c>
      <c r="N270" s="78">
        <f>30</f>
        <v>30</v>
      </c>
      <c r="O270" s="80">
        <v>240</v>
      </c>
      <c r="P270" s="80">
        <v>160</v>
      </c>
      <c r="Q270" s="80">
        <f t="shared" ref="Q270:Q333" si="44">695-R270-O270-P270</f>
        <v>195</v>
      </c>
      <c r="R270" s="80">
        <f t="shared" ref="R270:R333" si="45">200-J270</f>
        <v>100</v>
      </c>
      <c r="S270" s="78">
        <f t="shared" ref="S270:S333" si="46">SUM(O270:R270)</f>
        <v>695</v>
      </c>
      <c r="T270" s="78">
        <f>0</f>
        <v>0</v>
      </c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</row>
    <row r="271" spans="1:30" ht="15.75" x14ac:dyDescent="0.25">
      <c r="A271" s="16">
        <v>49157</v>
      </c>
      <c r="B271" s="91">
        <v>31</v>
      </c>
      <c r="C271" s="78">
        <f>194.205</f>
        <v>194.20500000000001</v>
      </c>
      <c r="D271" s="78">
        <f>267.466</f>
        <v>267.46600000000001</v>
      </c>
      <c r="E271" s="86">
        <f>133.845</f>
        <v>133.845</v>
      </c>
      <c r="F271" s="78">
        <f>278.484-40-25-60</f>
        <v>153.48399999999998</v>
      </c>
      <c r="G271" s="80">
        <v>40</v>
      </c>
      <c r="H271" s="78">
        <f t="shared" si="42"/>
        <v>85</v>
      </c>
      <c r="I271" s="78">
        <f t="shared" si="40"/>
        <v>0</v>
      </c>
      <c r="J271" s="80">
        <v>100</v>
      </c>
      <c r="K271" s="80">
        <v>300</v>
      </c>
      <c r="L271" s="78">
        <f t="shared" si="43"/>
        <v>1274</v>
      </c>
      <c r="M271" s="88">
        <v>600</v>
      </c>
      <c r="N271" s="78">
        <f>30</f>
        <v>30</v>
      </c>
      <c r="O271" s="80">
        <v>240</v>
      </c>
      <c r="P271" s="80">
        <v>160</v>
      </c>
      <c r="Q271" s="80">
        <f t="shared" si="44"/>
        <v>195</v>
      </c>
      <c r="R271" s="80">
        <f t="shared" si="45"/>
        <v>100</v>
      </c>
      <c r="S271" s="78">
        <f t="shared" si="46"/>
        <v>695</v>
      </c>
      <c r="T271" s="78">
        <f>0</f>
        <v>0</v>
      </c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</row>
    <row r="272" spans="1:30" ht="15.75" x14ac:dyDescent="0.25">
      <c r="A272" s="16">
        <v>49188</v>
      </c>
      <c r="B272" s="91">
        <v>30</v>
      </c>
      <c r="C272" s="78">
        <f>194.205</f>
        <v>194.20500000000001</v>
      </c>
      <c r="D272" s="78">
        <f>267.466</f>
        <v>267.46600000000001</v>
      </c>
      <c r="E272" s="86">
        <f>133.845</f>
        <v>133.845</v>
      </c>
      <c r="F272" s="78">
        <f>278.484-40-25-60</f>
        <v>153.48399999999998</v>
      </c>
      <c r="G272" s="80">
        <v>40</v>
      </c>
      <c r="H272" s="78">
        <f t="shared" si="42"/>
        <v>85</v>
      </c>
      <c r="I272" s="78">
        <f t="shared" si="40"/>
        <v>0</v>
      </c>
      <c r="J272" s="80">
        <v>100</v>
      </c>
      <c r="K272" s="80">
        <v>300</v>
      </c>
      <c r="L272" s="78">
        <f t="shared" si="43"/>
        <v>1274</v>
      </c>
      <c r="M272" s="88">
        <v>600</v>
      </c>
      <c r="N272" s="78">
        <f>30</f>
        <v>30</v>
      </c>
      <c r="O272" s="80">
        <v>240</v>
      </c>
      <c r="P272" s="80">
        <v>160</v>
      </c>
      <c r="Q272" s="80">
        <f t="shared" si="44"/>
        <v>195</v>
      </c>
      <c r="R272" s="80">
        <f t="shared" si="45"/>
        <v>100</v>
      </c>
      <c r="S272" s="78">
        <f t="shared" si="46"/>
        <v>695</v>
      </c>
      <c r="T272" s="78">
        <f>0</f>
        <v>0</v>
      </c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</row>
    <row r="273" spans="1:30" ht="15.75" x14ac:dyDescent="0.25">
      <c r="A273" s="16">
        <v>49218</v>
      </c>
      <c r="B273" s="91">
        <v>31</v>
      </c>
      <c r="C273" s="78">
        <f>131.881</f>
        <v>131.881</v>
      </c>
      <c r="D273" s="78">
        <f>277.167</f>
        <v>277.16699999999997</v>
      </c>
      <c r="E273" s="86">
        <f>79.08</f>
        <v>79.08</v>
      </c>
      <c r="F273" s="78">
        <f>350.872-40-25-60</f>
        <v>225.87200000000001</v>
      </c>
      <c r="G273" s="80">
        <v>40</v>
      </c>
      <c r="H273" s="78">
        <f t="shared" si="42"/>
        <v>85</v>
      </c>
      <c r="I273" s="78">
        <f t="shared" si="40"/>
        <v>0</v>
      </c>
      <c r="J273" s="80">
        <v>100</v>
      </c>
      <c r="K273" s="80">
        <v>300</v>
      </c>
      <c r="L273" s="78">
        <f t="shared" si="43"/>
        <v>1239</v>
      </c>
      <c r="M273" s="88">
        <v>600</v>
      </c>
      <c r="N273" s="78">
        <f>75</f>
        <v>75</v>
      </c>
      <c r="O273" s="80">
        <v>240</v>
      </c>
      <c r="P273" s="80">
        <v>160</v>
      </c>
      <c r="Q273" s="80">
        <f t="shared" si="44"/>
        <v>195</v>
      </c>
      <c r="R273" s="80">
        <f t="shared" si="45"/>
        <v>100</v>
      </c>
      <c r="S273" s="78">
        <f t="shared" si="46"/>
        <v>695</v>
      </c>
      <c r="T273" s="78">
        <f>0</f>
        <v>0</v>
      </c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</row>
    <row r="274" spans="1:30" ht="15.75" x14ac:dyDescent="0.25">
      <c r="A274" s="16">
        <v>49249</v>
      </c>
      <c r="B274" s="91">
        <v>30</v>
      </c>
      <c r="C274" s="78">
        <f>122.58</f>
        <v>122.58</v>
      </c>
      <c r="D274" s="78">
        <f>297.941</f>
        <v>297.94099999999997</v>
      </c>
      <c r="E274" s="86">
        <f>89.177</f>
        <v>89.177000000000007</v>
      </c>
      <c r="F274" s="78">
        <f>240.302-40-60</f>
        <v>140.30199999999999</v>
      </c>
      <c r="G274" s="80">
        <v>40</v>
      </c>
      <c r="H274" s="78">
        <v>60</v>
      </c>
      <c r="I274" s="78">
        <f t="shared" si="40"/>
        <v>0</v>
      </c>
      <c r="J274" s="80">
        <v>100</v>
      </c>
      <c r="K274" s="80">
        <v>300</v>
      </c>
      <c r="L274" s="78">
        <f t="shared" si="43"/>
        <v>1150</v>
      </c>
      <c r="M274" s="88">
        <v>600</v>
      </c>
      <c r="N274" s="78">
        <f>100</f>
        <v>100</v>
      </c>
      <c r="O274" s="80">
        <v>240</v>
      </c>
      <c r="P274" s="80">
        <v>40</v>
      </c>
      <c r="Q274" s="80">
        <f t="shared" si="44"/>
        <v>315</v>
      </c>
      <c r="R274" s="80">
        <f t="shared" si="45"/>
        <v>100</v>
      </c>
      <c r="S274" s="78">
        <f t="shared" si="46"/>
        <v>695</v>
      </c>
      <c r="T274" s="78">
        <f>50</f>
        <v>50</v>
      </c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</row>
    <row r="275" spans="1:30" ht="15.75" x14ac:dyDescent="0.25">
      <c r="A275" s="16">
        <v>49279</v>
      </c>
      <c r="B275" s="91">
        <v>31</v>
      </c>
      <c r="C275" s="78">
        <f>122.58</f>
        <v>122.58</v>
      </c>
      <c r="D275" s="78">
        <f>297.941</f>
        <v>297.94099999999997</v>
      </c>
      <c r="E275" s="86">
        <f>89.177</f>
        <v>89.177000000000007</v>
      </c>
      <c r="F275" s="78">
        <f>240.302-40-60</f>
        <v>140.30199999999999</v>
      </c>
      <c r="G275" s="80">
        <v>40</v>
      </c>
      <c r="H275" s="78">
        <v>60</v>
      </c>
      <c r="I275" s="78">
        <f t="shared" si="40"/>
        <v>0</v>
      </c>
      <c r="J275" s="80">
        <v>100</v>
      </c>
      <c r="K275" s="80">
        <v>300</v>
      </c>
      <c r="L275" s="78">
        <f t="shared" si="43"/>
        <v>1150</v>
      </c>
      <c r="M275" s="88">
        <v>600</v>
      </c>
      <c r="N275" s="78">
        <f>100</f>
        <v>100</v>
      </c>
      <c r="O275" s="80">
        <v>240</v>
      </c>
      <c r="P275" s="80">
        <v>40</v>
      </c>
      <c r="Q275" s="80">
        <f t="shared" si="44"/>
        <v>315</v>
      </c>
      <c r="R275" s="80">
        <f t="shared" si="45"/>
        <v>100</v>
      </c>
      <c r="S275" s="78">
        <f t="shared" si="46"/>
        <v>695</v>
      </c>
      <c r="T275" s="78">
        <f>50</f>
        <v>50</v>
      </c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</row>
    <row r="276" spans="1:30" ht="15.75" x14ac:dyDescent="0.25">
      <c r="A276" s="16">
        <v>49310</v>
      </c>
      <c r="B276" s="91">
        <v>31</v>
      </c>
      <c r="C276" s="78">
        <f>122.58</f>
        <v>122.58</v>
      </c>
      <c r="D276" s="78">
        <f>297.941</f>
        <v>297.94099999999997</v>
      </c>
      <c r="E276" s="86">
        <f>89.177</f>
        <v>89.177000000000007</v>
      </c>
      <c r="F276" s="78">
        <f>240.302-40-60</f>
        <v>140.30199999999999</v>
      </c>
      <c r="G276" s="80">
        <v>40</v>
      </c>
      <c r="H276" s="78">
        <v>60</v>
      </c>
      <c r="I276" s="78">
        <f t="shared" si="40"/>
        <v>0</v>
      </c>
      <c r="J276" s="80">
        <v>100</v>
      </c>
      <c r="K276" s="80">
        <v>300</v>
      </c>
      <c r="L276" s="78">
        <f t="shared" si="43"/>
        <v>1150</v>
      </c>
      <c r="M276" s="88">
        <v>600</v>
      </c>
      <c r="N276" s="78">
        <f>100</f>
        <v>100</v>
      </c>
      <c r="O276" s="80">
        <v>240</v>
      </c>
      <c r="P276" s="80">
        <v>40</v>
      </c>
      <c r="Q276" s="80">
        <f t="shared" si="44"/>
        <v>315</v>
      </c>
      <c r="R276" s="80">
        <f t="shared" si="45"/>
        <v>100</v>
      </c>
      <c r="S276" s="78">
        <f t="shared" si="46"/>
        <v>695</v>
      </c>
      <c r="T276" s="78">
        <f>50</f>
        <v>50</v>
      </c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</row>
    <row r="277" spans="1:30" ht="15.75" x14ac:dyDescent="0.25">
      <c r="A277" s="16">
        <v>49341</v>
      </c>
      <c r="B277" s="91">
        <v>28</v>
      </c>
      <c r="C277" s="78">
        <f>122.58</f>
        <v>122.58</v>
      </c>
      <c r="D277" s="78">
        <f>297.941</f>
        <v>297.94099999999997</v>
      </c>
      <c r="E277" s="86">
        <f>89.177</f>
        <v>89.177000000000007</v>
      </c>
      <c r="F277" s="78">
        <f>240.302-40-60</f>
        <v>140.30199999999999</v>
      </c>
      <c r="G277" s="80">
        <v>40</v>
      </c>
      <c r="H277" s="78">
        <v>60</v>
      </c>
      <c r="I277" s="78">
        <f t="shared" si="40"/>
        <v>0</v>
      </c>
      <c r="J277" s="80">
        <v>100</v>
      </c>
      <c r="K277" s="80">
        <v>300</v>
      </c>
      <c r="L277" s="78">
        <f t="shared" si="43"/>
        <v>1150</v>
      </c>
      <c r="M277" s="88">
        <v>600</v>
      </c>
      <c r="N277" s="78">
        <f>100</f>
        <v>100</v>
      </c>
      <c r="O277" s="80">
        <v>240</v>
      </c>
      <c r="P277" s="80">
        <v>40</v>
      </c>
      <c r="Q277" s="80">
        <f t="shared" si="44"/>
        <v>315</v>
      </c>
      <c r="R277" s="80">
        <f t="shared" si="45"/>
        <v>100</v>
      </c>
      <c r="S277" s="78">
        <f t="shared" si="46"/>
        <v>695</v>
      </c>
      <c r="T277" s="78">
        <f>50</f>
        <v>50</v>
      </c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</row>
    <row r="278" spans="1:30" ht="15.75" x14ac:dyDescent="0.25">
      <c r="A278" s="16">
        <v>49369</v>
      </c>
      <c r="B278" s="91">
        <v>31</v>
      </c>
      <c r="C278" s="78">
        <f>122.58</f>
        <v>122.58</v>
      </c>
      <c r="D278" s="78">
        <f>297.941</f>
        <v>297.94099999999997</v>
      </c>
      <c r="E278" s="86">
        <f>89.177</f>
        <v>89.177000000000007</v>
      </c>
      <c r="F278" s="78">
        <f>240.302-40-60</f>
        <v>140.30199999999999</v>
      </c>
      <c r="G278" s="80">
        <v>40</v>
      </c>
      <c r="H278" s="78">
        <v>60</v>
      </c>
      <c r="I278" s="78">
        <f t="shared" si="40"/>
        <v>0</v>
      </c>
      <c r="J278" s="80">
        <v>100</v>
      </c>
      <c r="K278" s="80">
        <v>300</v>
      </c>
      <c r="L278" s="78">
        <f t="shared" si="43"/>
        <v>1150</v>
      </c>
      <c r="M278" s="88">
        <v>600</v>
      </c>
      <c r="N278" s="78">
        <f>100</f>
        <v>100</v>
      </c>
      <c r="O278" s="80">
        <v>240</v>
      </c>
      <c r="P278" s="80">
        <v>40</v>
      </c>
      <c r="Q278" s="80">
        <f t="shared" si="44"/>
        <v>315</v>
      </c>
      <c r="R278" s="80">
        <f t="shared" si="45"/>
        <v>100</v>
      </c>
      <c r="S278" s="78">
        <f t="shared" si="46"/>
        <v>695</v>
      </c>
      <c r="T278" s="78">
        <f>50</f>
        <v>50</v>
      </c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</row>
    <row r="279" spans="1:30" ht="15.75" x14ac:dyDescent="0.25">
      <c r="A279" s="16">
        <v>49400</v>
      </c>
      <c r="B279" s="91">
        <v>30</v>
      </c>
      <c r="C279" s="78">
        <f>141.293</f>
        <v>141.29300000000001</v>
      </c>
      <c r="D279" s="78">
        <f>267.993</f>
        <v>267.99299999999999</v>
      </c>
      <c r="E279" s="86">
        <f>115.016</f>
        <v>115.01600000000001</v>
      </c>
      <c r="F279" s="78">
        <f>314.698-40-25-60</f>
        <v>189.69799999999998</v>
      </c>
      <c r="G279" s="80">
        <v>40</v>
      </c>
      <c r="H279" s="78">
        <f t="shared" ref="H279:H285" si="47">25+60</f>
        <v>85</v>
      </c>
      <c r="I279" s="78">
        <f t="shared" si="40"/>
        <v>0</v>
      </c>
      <c r="J279" s="80">
        <v>100</v>
      </c>
      <c r="K279" s="80">
        <v>300</v>
      </c>
      <c r="L279" s="78">
        <f t="shared" si="43"/>
        <v>1239</v>
      </c>
      <c r="M279" s="88">
        <v>600</v>
      </c>
      <c r="N279" s="78">
        <f>100</f>
        <v>100</v>
      </c>
      <c r="O279" s="80">
        <v>240</v>
      </c>
      <c r="P279" s="80">
        <v>160</v>
      </c>
      <c r="Q279" s="80">
        <f t="shared" si="44"/>
        <v>195</v>
      </c>
      <c r="R279" s="80">
        <f t="shared" si="45"/>
        <v>100</v>
      </c>
      <c r="S279" s="78">
        <f t="shared" si="46"/>
        <v>695</v>
      </c>
      <c r="T279" s="78">
        <f>50</f>
        <v>50</v>
      </c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</row>
    <row r="280" spans="1:30" ht="15.75" x14ac:dyDescent="0.25">
      <c r="A280" s="16">
        <v>49430</v>
      </c>
      <c r="B280" s="91">
        <v>31</v>
      </c>
      <c r="C280" s="78">
        <f>194.205</f>
        <v>194.20500000000001</v>
      </c>
      <c r="D280" s="78">
        <f>267.466</f>
        <v>267.46600000000001</v>
      </c>
      <c r="E280" s="86">
        <f>133.845</f>
        <v>133.845</v>
      </c>
      <c r="F280" s="78">
        <f>278.484-40-25-60</f>
        <v>153.48399999999998</v>
      </c>
      <c r="G280" s="80">
        <v>40</v>
      </c>
      <c r="H280" s="78">
        <f t="shared" si="47"/>
        <v>85</v>
      </c>
      <c r="I280" s="78">
        <f t="shared" si="40"/>
        <v>0</v>
      </c>
      <c r="J280" s="80">
        <v>100</v>
      </c>
      <c r="K280" s="80">
        <v>300</v>
      </c>
      <c r="L280" s="78">
        <f t="shared" si="43"/>
        <v>1274</v>
      </c>
      <c r="M280" s="88">
        <v>600</v>
      </c>
      <c r="N280" s="78">
        <f>75</f>
        <v>75</v>
      </c>
      <c r="O280" s="80">
        <v>240</v>
      </c>
      <c r="P280" s="80">
        <v>160</v>
      </c>
      <c r="Q280" s="80">
        <f t="shared" si="44"/>
        <v>195</v>
      </c>
      <c r="R280" s="80">
        <f t="shared" si="45"/>
        <v>100</v>
      </c>
      <c r="S280" s="78">
        <f t="shared" si="46"/>
        <v>695</v>
      </c>
      <c r="T280" s="78">
        <f>50</f>
        <v>50</v>
      </c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</row>
    <row r="281" spans="1:30" ht="15.75" x14ac:dyDescent="0.25">
      <c r="A281" s="15">
        <v>49461</v>
      </c>
      <c r="B281" s="91">
        <v>30</v>
      </c>
      <c r="C281" s="78">
        <f>194.205</f>
        <v>194.20500000000001</v>
      </c>
      <c r="D281" s="78">
        <f>267.466</f>
        <v>267.46600000000001</v>
      </c>
      <c r="E281" s="86">
        <f>133.845</f>
        <v>133.845</v>
      </c>
      <c r="F281" s="78">
        <f>278.484-40-25-60</f>
        <v>153.48399999999998</v>
      </c>
      <c r="G281" s="80">
        <v>40</v>
      </c>
      <c r="H281" s="78">
        <f t="shared" si="47"/>
        <v>85</v>
      </c>
      <c r="I281" s="78">
        <f t="shared" si="40"/>
        <v>0</v>
      </c>
      <c r="J281" s="80">
        <v>100</v>
      </c>
      <c r="K281" s="80">
        <v>300</v>
      </c>
      <c r="L281" s="78">
        <f t="shared" si="43"/>
        <v>1274</v>
      </c>
      <c r="M281" s="88">
        <v>600</v>
      </c>
      <c r="N281" s="78">
        <f>30</f>
        <v>30</v>
      </c>
      <c r="O281" s="80">
        <v>240</v>
      </c>
      <c r="P281" s="80">
        <v>160</v>
      </c>
      <c r="Q281" s="80">
        <f t="shared" si="44"/>
        <v>195</v>
      </c>
      <c r="R281" s="80">
        <f t="shared" si="45"/>
        <v>100</v>
      </c>
      <c r="S281" s="78">
        <f t="shared" si="46"/>
        <v>695</v>
      </c>
      <c r="T281" s="78">
        <f>50</f>
        <v>50</v>
      </c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</row>
    <row r="282" spans="1:30" ht="15.75" x14ac:dyDescent="0.25">
      <c r="A282" s="15">
        <v>49491</v>
      </c>
      <c r="B282" s="91">
        <v>31</v>
      </c>
      <c r="C282" s="78">
        <f>194.205</f>
        <v>194.20500000000001</v>
      </c>
      <c r="D282" s="78">
        <f>267.466</f>
        <v>267.46600000000001</v>
      </c>
      <c r="E282" s="86">
        <f>133.845</f>
        <v>133.845</v>
      </c>
      <c r="F282" s="78">
        <f>278.484-40-25-60</f>
        <v>153.48399999999998</v>
      </c>
      <c r="G282" s="80">
        <v>40</v>
      </c>
      <c r="H282" s="78">
        <f t="shared" si="47"/>
        <v>85</v>
      </c>
      <c r="I282" s="78">
        <f t="shared" si="40"/>
        <v>0</v>
      </c>
      <c r="J282" s="80">
        <v>100</v>
      </c>
      <c r="K282" s="80">
        <v>300</v>
      </c>
      <c r="L282" s="78">
        <f t="shared" si="43"/>
        <v>1274</v>
      </c>
      <c r="M282" s="88">
        <v>600</v>
      </c>
      <c r="N282" s="78">
        <f>30</f>
        <v>30</v>
      </c>
      <c r="O282" s="80">
        <v>240</v>
      </c>
      <c r="P282" s="80">
        <v>160</v>
      </c>
      <c r="Q282" s="80">
        <f t="shared" si="44"/>
        <v>195</v>
      </c>
      <c r="R282" s="80">
        <f t="shared" si="45"/>
        <v>100</v>
      </c>
      <c r="S282" s="78">
        <f t="shared" si="46"/>
        <v>695</v>
      </c>
      <c r="T282" s="78">
        <f>0</f>
        <v>0</v>
      </c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</row>
    <row r="283" spans="1:30" ht="15.75" x14ac:dyDescent="0.25">
      <c r="A283" s="15">
        <v>49522</v>
      </c>
      <c r="B283" s="91">
        <v>31</v>
      </c>
      <c r="C283" s="78">
        <f>194.205</f>
        <v>194.20500000000001</v>
      </c>
      <c r="D283" s="78">
        <f>267.466</f>
        <v>267.46600000000001</v>
      </c>
      <c r="E283" s="86">
        <f>133.845</f>
        <v>133.845</v>
      </c>
      <c r="F283" s="78">
        <f>278.484-40-25-60</f>
        <v>153.48399999999998</v>
      </c>
      <c r="G283" s="80">
        <v>40</v>
      </c>
      <c r="H283" s="78">
        <f t="shared" si="47"/>
        <v>85</v>
      </c>
      <c r="I283" s="78">
        <f t="shared" si="40"/>
        <v>0</v>
      </c>
      <c r="J283" s="80">
        <v>100</v>
      </c>
      <c r="K283" s="80">
        <v>300</v>
      </c>
      <c r="L283" s="78">
        <f t="shared" si="43"/>
        <v>1274</v>
      </c>
      <c r="M283" s="88">
        <v>600</v>
      </c>
      <c r="N283" s="78">
        <f>30</f>
        <v>30</v>
      </c>
      <c r="O283" s="80">
        <v>240</v>
      </c>
      <c r="P283" s="80">
        <v>160</v>
      </c>
      <c r="Q283" s="80">
        <f t="shared" si="44"/>
        <v>195</v>
      </c>
      <c r="R283" s="80">
        <f t="shared" si="45"/>
        <v>100</v>
      </c>
      <c r="S283" s="78">
        <f t="shared" si="46"/>
        <v>695</v>
      </c>
      <c r="T283" s="78">
        <f>0</f>
        <v>0</v>
      </c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</row>
    <row r="284" spans="1:30" ht="15.75" x14ac:dyDescent="0.25">
      <c r="A284" s="15">
        <v>49553</v>
      </c>
      <c r="B284" s="91">
        <v>30</v>
      </c>
      <c r="C284" s="78">
        <f>194.205</f>
        <v>194.20500000000001</v>
      </c>
      <c r="D284" s="78">
        <f>267.466</f>
        <v>267.46600000000001</v>
      </c>
      <c r="E284" s="86">
        <f>133.845</f>
        <v>133.845</v>
      </c>
      <c r="F284" s="78">
        <f>278.484-40-25-60</f>
        <v>153.48399999999998</v>
      </c>
      <c r="G284" s="80">
        <v>40</v>
      </c>
      <c r="H284" s="78">
        <f t="shared" si="47"/>
        <v>85</v>
      </c>
      <c r="I284" s="78">
        <f t="shared" si="40"/>
        <v>0</v>
      </c>
      <c r="J284" s="80">
        <v>100</v>
      </c>
      <c r="K284" s="80">
        <v>300</v>
      </c>
      <c r="L284" s="78">
        <f t="shared" si="43"/>
        <v>1274</v>
      </c>
      <c r="M284" s="88">
        <v>600</v>
      </c>
      <c r="N284" s="78">
        <f>30</f>
        <v>30</v>
      </c>
      <c r="O284" s="80">
        <v>240</v>
      </c>
      <c r="P284" s="80">
        <v>160</v>
      </c>
      <c r="Q284" s="80">
        <f t="shared" si="44"/>
        <v>195</v>
      </c>
      <c r="R284" s="80">
        <f t="shared" si="45"/>
        <v>100</v>
      </c>
      <c r="S284" s="78">
        <f t="shared" si="46"/>
        <v>695</v>
      </c>
      <c r="T284" s="78">
        <f>0</f>
        <v>0</v>
      </c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</row>
    <row r="285" spans="1:30" ht="15.75" x14ac:dyDescent="0.25">
      <c r="A285" s="15">
        <v>49583</v>
      </c>
      <c r="B285" s="91">
        <v>31</v>
      </c>
      <c r="C285" s="78">
        <f>131.881</f>
        <v>131.881</v>
      </c>
      <c r="D285" s="78">
        <f>277.167</f>
        <v>277.16699999999997</v>
      </c>
      <c r="E285" s="86">
        <f>79.08</f>
        <v>79.08</v>
      </c>
      <c r="F285" s="78">
        <f>350.872-40-25-60</f>
        <v>225.87200000000001</v>
      </c>
      <c r="G285" s="80">
        <v>40</v>
      </c>
      <c r="H285" s="78">
        <f t="shared" si="47"/>
        <v>85</v>
      </c>
      <c r="I285" s="78">
        <f t="shared" si="40"/>
        <v>0</v>
      </c>
      <c r="J285" s="80">
        <v>100</v>
      </c>
      <c r="K285" s="80">
        <v>300</v>
      </c>
      <c r="L285" s="78">
        <f t="shared" si="43"/>
        <v>1239</v>
      </c>
      <c r="M285" s="88">
        <v>600</v>
      </c>
      <c r="N285" s="78">
        <f>75</f>
        <v>75</v>
      </c>
      <c r="O285" s="80">
        <v>240</v>
      </c>
      <c r="P285" s="80">
        <v>160</v>
      </c>
      <c r="Q285" s="80">
        <f t="shared" si="44"/>
        <v>195</v>
      </c>
      <c r="R285" s="80">
        <f t="shared" si="45"/>
        <v>100</v>
      </c>
      <c r="S285" s="78">
        <f t="shared" si="46"/>
        <v>695</v>
      </c>
      <c r="T285" s="78">
        <f>0</f>
        <v>0</v>
      </c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</row>
    <row r="286" spans="1:30" ht="15.75" x14ac:dyDescent="0.25">
      <c r="A286" s="15">
        <v>49614</v>
      </c>
      <c r="B286" s="91">
        <v>30</v>
      </c>
      <c r="C286" s="78">
        <f>122.58</f>
        <v>122.58</v>
      </c>
      <c r="D286" s="78">
        <f>297.941</f>
        <v>297.94099999999997</v>
      </c>
      <c r="E286" s="86">
        <f>89.177</f>
        <v>89.177000000000007</v>
      </c>
      <c r="F286" s="78">
        <f>240.302-40-60</f>
        <v>140.30199999999999</v>
      </c>
      <c r="G286" s="80">
        <v>40</v>
      </c>
      <c r="H286" s="78">
        <v>60</v>
      </c>
      <c r="I286" s="78">
        <f t="shared" si="40"/>
        <v>0</v>
      </c>
      <c r="J286" s="80">
        <v>100</v>
      </c>
      <c r="K286" s="80">
        <v>300</v>
      </c>
      <c r="L286" s="78">
        <f t="shared" si="43"/>
        <v>1150</v>
      </c>
      <c r="M286" s="88">
        <v>600</v>
      </c>
      <c r="N286" s="78">
        <f>100</f>
        <v>100</v>
      </c>
      <c r="O286" s="80">
        <v>240</v>
      </c>
      <c r="P286" s="80">
        <v>40</v>
      </c>
      <c r="Q286" s="80">
        <f t="shared" si="44"/>
        <v>315</v>
      </c>
      <c r="R286" s="80">
        <f t="shared" si="45"/>
        <v>100</v>
      </c>
      <c r="S286" s="78">
        <f t="shared" si="46"/>
        <v>695</v>
      </c>
      <c r="T286" s="78">
        <f>50</f>
        <v>50</v>
      </c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</row>
    <row r="287" spans="1:30" ht="15.75" x14ac:dyDescent="0.25">
      <c r="A287" s="15">
        <v>49644</v>
      </c>
      <c r="B287" s="91">
        <v>31</v>
      </c>
      <c r="C287" s="78">
        <f>122.58</f>
        <v>122.58</v>
      </c>
      <c r="D287" s="78">
        <f>297.941</f>
        <v>297.94099999999997</v>
      </c>
      <c r="E287" s="86">
        <f>89.177</f>
        <v>89.177000000000007</v>
      </c>
      <c r="F287" s="78">
        <f>240.302-40-60</f>
        <v>140.30199999999999</v>
      </c>
      <c r="G287" s="80">
        <v>40</v>
      </c>
      <c r="H287" s="78">
        <v>60</v>
      </c>
      <c r="I287" s="78">
        <f t="shared" si="40"/>
        <v>0</v>
      </c>
      <c r="J287" s="80">
        <v>100</v>
      </c>
      <c r="K287" s="80">
        <v>300</v>
      </c>
      <c r="L287" s="78">
        <f t="shared" si="43"/>
        <v>1150</v>
      </c>
      <c r="M287" s="88">
        <v>600</v>
      </c>
      <c r="N287" s="78">
        <f>100</f>
        <v>100</v>
      </c>
      <c r="O287" s="80">
        <v>240</v>
      </c>
      <c r="P287" s="80">
        <v>40</v>
      </c>
      <c r="Q287" s="80">
        <f t="shared" si="44"/>
        <v>315</v>
      </c>
      <c r="R287" s="80">
        <f t="shared" si="45"/>
        <v>100</v>
      </c>
      <c r="S287" s="78">
        <f t="shared" si="46"/>
        <v>695</v>
      </c>
      <c r="T287" s="78">
        <f>50</f>
        <v>50</v>
      </c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</row>
    <row r="288" spans="1:30" ht="15.75" x14ac:dyDescent="0.25">
      <c r="A288" s="15">
        <v>49675</v>
      </c>
      <c r="B288" s="91">
        <v>31</v>
      </c>
      <c r="C288" s="78">
        <f>122.58</f>
        <v>122.58</v>
      </c>
      <c r="D288" s="78">
        <f>297.941</f>
        <v>297.94099999999997</v>
      </c>
      <c r="E288" s="86">
        <f>89.177</f>
        <v>89.177000000000007</v>
      </c>
      <c r="F288" s="78">
        <f>240.302-40-60</f>
        <v>140.30199999999999</v>
      </c>
      <c r="G288" s="80">
        <v>40</v>
      </c>
      <c r="H288" s="78">
        <v>60</v>
      </c>
      <c r="I288" s="78">
        <f t="shared" si="40"/>
        <v>0</v>
      </c>
      <c r="J288" s="80">
        <v>100</v>
      </c>
      <c r="K288" s="80">
        <v>300</v>
      </c>
      <c r="L288" s="78">
        <f t="shared" si="43"/>
        <v>1150</v>
      </c>
      <c r="M288" s="88">
        <v>600</v>
      </c>
      <c r="N288" s="78">
        <f>100</f>
        <v>100</v>
      </c>
      <c r="O288" s="80">
        <v>240</v>
      </c>
      <c r="P288" s="80">
        <v>40</v>
      </c>
      <c r="Q288" s="80">
        <f t="shared" si="44"/>
        <v>315</v>
      </c>
      <c r="R288" s="80">
        <f t="shared" si="45"/>
        <v>100</v>
      </c>
      <c r="S288" s="78">
        <f t="shared" si="46"/>
        <v>695</v>
      </c>
      <c r="T288" s="78">
        <f>50</f>
        <v>50</v>
      </c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</row>
    <row r="289" spans="1:30" ht="15.75" x14ac:dyDescent="0.25">
      <c r="A289" s="15">
        <v>49706</v>
      </c>
      <c r="B289" s="91">
        <v>29</v>
      </c>
      <c r="C289" s="78">
        <f>122.58</f>
        <v>122.58</v>
      </c>
      <c r="D289" s="78">
        <f>297.941</f>
        <v>297.94099999999997</v>
      </c>
      <c r="E289" s="86">
        <f>89.177</f>
        <v>89.177000000000007</v>
      </c>
      <c r="F289" s="78">
        <f>240.302-40-60</f>
        <v>140.30199999999999</v>
      </c>
      <c r="G289" s="80">
        <v>40</v>
      </c>
      <c r="H289" s="78">
        <v>60</v>
      </c>
      <c r="I289" s="78">
        <f t="shared" si="40"/>
        <v>0</v>
      </c>
      <c r="J289" s="80">
        <v>100</v>
      </c>
      <c r="K289" s="80">
        <v>300</v>
      </c>
      <c r="L289" s="78">
        <f t="shared" si="43"/>
        <v>1150</v>
      </c>
      <c r="M289" s="88">
        <v>600</v>
      </c>
      <c r="N289" s="78">
        <f>100</f>
        <v>100</v>
      </c>
      <c r="O289" s="80">
        <v>240</v>
      </c>
      <c r="P289" s="80">
        <v>40</v>
      </c>
      <c r="Q289" s="80">
        <f t="shared" si="44"/>
        <v>315</v>
      </c>
      <c r="R289" s="80">
        <f t="shared" si="45"/>
        <v>100</v>
      </c>
      <c r="S289" s="78">
        <f t="shared" si="46"/>
        <v>695</v>
      </c>
      <c r="T289" s="78">
        <f>50</f>
        <v>50</v>
      </c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</row>
    <row r="290" spans="1:30" ht="15.75" x14ac:dyDescent="0.25">
      <c r="A290" s="15">
        <v>49735</v>
      </c>
      <c r="B290" s="91">
        <v>31</v>
      </c>
      <c r="C290" s="78">
        <f>122.58</f>
        <v>122.58</v>
      </c>
      <c r="D290" s="78">
        <f>297.941</f>
        <v>297.94099999999997</v>
      </c>
      <c r="E290" s="86">
        <f>89.177</f>
        <v>89.177000000000007</v>
      </c>
      <c r="F290" s="78">
        <f>240.302-40-60</f>
        <v>140.30199999999999</v>
      </c>
      <c r="G290" s="80">
        <v>40</v>
      </c>
      <c r="H290" s="78">
        <v>60</v>
      </c>
      <c r="I290" s="78">
        <f t="shared" si="40"/>
        <v>0</v>
      </c>
      <c r="J290" s="80">
        <v>100</v>
      </c>
      <c r="K290" s="80">
        <v>300</v>
      </c>
      <c r="L290" s="78">
        <f t="shared" si="43"/>
        <v>1150</v>
      </c>
      <c r="M290" s="88">
        <v>600</v>
      </c>
      <c r="N290" s="78">
        <f>100</f>
        <v>100</v>
      </c>
      <c r="O290" s="80">
        <v>240</v>
      </c>
      <c r="P290" s="80">
        <v>40</v>
      </c>
      <c r="Q290" s="80">
        <f t="shared" si="44"/>
        <v>315</v>
      </c>
      <c r="R290" s="80">
        <f t="shared" si="45"/>
        <v>100</v>
      </c>
      <c r="S290" s="78">
        <f t="shared" si="46"/>
        <v>695</v>
      </c>
      <c r="T290" s="78">
        <f>50</f>
        <v>50</v>
      </c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</row>
    <row r="291" spans="1:30" ht="15.75" x14ac:dyDescent="0.25">
      <c r="A291" s="15">
        <v>49766</v>
      </c>
      <c r="B291" s="91">
        <v>30</v>
      </c>
      <c r="C291" s="78">
        <f>141.293</f>
        <v>141.29300000000001</v>
      </c>
      <c r="D291" s="78">
        <f>267.993</f>
        <v>267.99299999999999</v>
      </c>
      <c r="E291" s="86">
        <f>115.016</f>
        <v>115.01600000000001</v>
      </c>
      <c r="F291" s="78">
        <f>314.698-40-25-60</f>
        <v>189.69799999999998</v>
      </c>
      <c r="G291" s="80">
        <v>40</v>
      </c>
      <c r="H291" s="78">
        <f t="shared" ref="H291:H297" si="48">25+60</f>
        <v>85</v>
      </c>
      <c r="I291" s="78">
        <f t="shared" si="40"/>
        <v>0</v>
      </c>
      <c r="J291" s="80">
        <v>100</v>
      </c>
      <c r="K291" s="80">
        <v>300</v>
      </c>
      <c r="L291" s="78">
        <f t="shared" si="43"/>
        <v>1239</v>
      </c>
      <c r="M291" s="88">
        <v>600</v>
      </c>
      <c r="N291" s="78">
        <f>100</f>
        <v>100</v>
      </c>
      <c r="O291" s="80">
        <v>240</v>
      </c>
      <c r="P291" s="80">
        <v>160</v>
      </c>
      <c r="Q291" s="80">
        <f t="shared" si="44"/>
        <v>195</v>
      </c>
      <c r="R291" s="80">
        <f t="shared" si="45"/>
        <v>100</v>
      </c>
      <c r="S291" s="78">
        <f t="shared" si="46"/>
        <v>695</v>
      </c>
      <c r="T291" s="78">
        <f>50</f>
        <v>50</v>
      </c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</row>
    <row r="292" spans="1:30" ht="15.75" x14ac:dyDescent="0.25">
      <c r="A292" s="15">
        <v>49796</v>
      </c>
      <c r="B292" s="91">
        <v>31</v>
      </c>
      <c r="C292" s="78">
        <f>194.205</f>
        <v>194.20500000000001</v>
      </c>
      <c r="D292" s="78">
        <f>267.466</f>
        <v>267.46600000000001</v>
      </c>
      <c r="E292" s="86">
        <f>133.845</f>
        <v>133.845</v>
      </c>
      <c r="F292" s="78">
        <f>278.484-40-25-60</f>
        <v>153.48399999999998</v>
      </c>
      <c r="G292" s="80">
        <v>40</v>
      </c>
      <c r="H292" s="78">
        <f t="shared" si="48"/>
        <v>85</v>
      </c>
      <c r="I292" s="78">
        <f t="shared" si="40"/>
        <v>0</v>
      </c>
      <c r="J292" s="80">
        <v>100</v>
      </c>
      <c r="K292" s="80">
        <v>300</v>
      </c>
      <c r="L292" s="78">
        <f t="shared" si="43"/>
        <v>1274</v>
      </c>
      <c r="M292" s="88">
        <v>600</v>
      </c>
      <c r="N292" s="78">
        <f>75</f>
        <v>75</v>
      </c>
      <c r="O292" s="80">
        <v>240</v>
      </c>
      <c r="P292" s="80">
        <v>160</v>
      </c>
      <c r="Q292" s="80">
        <f t="shared" si="44"/>
        <v>195</v>
      </c>
      <c r="R292" s="80">
        <f t="shared" si="45"/>
        <v>100</v>
      </c>
      <c r="S292" s="78">
        <f t="shared" si="46"/>
        <v>695</v>
      </c>
      <c r="T292" s="78">
        <f>50</f>
        <v>50</v>
      </c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</row>
    <row r="293" spans="1:30" ht="15.75" x14ac:dyDescent="0.25">
      <c r="A293" s="15">
        <v>49827</v>
      </c>
      <c r="B293" s="91">
        <v>30</v>
      </c>
      <c r="C293" s="78">
        <f>194.205</f>
        <v>194.20500000000001</v>
      </c>
      <c r="D293" s="78">
        <f>267.466</f>
        <v>267.46600000000001</v>
      </c>
      <c r="E293" s="86">
        <f>133.845</f>
        <v>133.845</v>
      </c>
      <c r="F293" s="78">
        <f>278.484-40-25-60</f>
        <v>153.48399999999998</v>
      </c>
      <c r="G293" s="80">
        <v>40</v>
      </c>
      <c r="H293" s="78">
        <f t="shared" si="48"/>
        <v>85</v>
      </c>
      <c r="I293" s="78">
        <f t="shared" si="40"/>
        <v>0</v>
      </c>
      <c r="J293" s="80">
        <v>100</v>
      </c>
      <c r="K293" s="80">
        <v>300</v>
      </c>
      <c r="L293" s="78">
        <f t="shared" si="43"/>
        <v>1274</v>
      </c>
      <c r="M293" s="88">
        <v>600</v>
      </c>
      <c r="N293" s="78">
        <f>30</f>
        <v>30</v>
      </c>
      <c r="O293" s="80">
        <v>240</v>
      </c>
      <c r="P293" s="80">
        <v>160</v>
      </c>
      <c r="Q293" s="80">
        <f t="shared" si="44"/>
        <v>195</v>
      </c>
      <c r="R293" s="80">
        <f t="shared" si="45"/>
        <v>100</v>
      </c>
      <c r="S293" s="78">
        <f t="shared" si="46"/>
        <v>695</v>
      </c>
      <c r="T293" s="78">
        <f>50</f>
        <v>50</v>
      </c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</row>
    <row r="294" spans="1:30" ht="15.75" x14ac:dyDescent="0.25">
      <c r="A294" s="15">
        <v>49857</v>
      </c>
      <c r="B294" s="91">
        <v>31</v>
      </c>
      <c r="C294" s="78">
        <f>194.205</f>
        <v>194.20500000000001</v>
      </c>
      <c r="D294" s="78">
        <f>267.466</f>
        <v>267.46600000000001</v>
      </c>
      <c r="E294" s="86">
        <f>133.845</f>
        <v>133.845</v>
      </c>
      <c r="F294" s="78">
        <f>278.484-40-25-60</f>
        <v>153.48399999999998</v>
      </c>
      <c r="G294" s="80">
        <v>40</v>
      </c>
      <c r="H294" s="78">
        <f t="shared" si="48"/>
        <v>85</v>
      </c>
      <c r="I294" s="78">
        <f t="shared" si="40"/>
        <v>0</v>
      </c>
      <c r="J294" s="80">
        <v>100</v>
      </c>
      <c r="K294" s="80">
        <v>300</v>
      </c>
      <c r="L294" s="78">
        <f t="shared" si="43"/>
        <v>1274</v>
      </c>
      <c r="M294" s="88">
        <v>600</v>
      </c>
      <c r="N294" s="78">
        <f>30</f>
        <v>30</v>
      </c>
      <c r="O294" s="80">
        <v>240</v>
      </c>
      <c r="P294" s="80">
        <v>160</v>
      </c>
      <c r="Q294" s="80">
        <f t="shared" si="44"/>
        <v>195</v>
      </c>
      <c r="R294" s="80">
        <f t="shared" si="45"/>
        <v>100</v>
      </c>
      <c r="S294" s="78">
        <f t="shared" si="46"/>
        <v>695</v>
      </c>
      <c r="T294" s="78">
        <f>0</f>
        <v>0</v>
      </c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</row>
    <row r="295" spans="1:30" ht="15.75" x14ac:dyDescent="0.25">
      <c r="A295" s="15">
        <v>49888</v>
      </c>
      <c r="B295" s="91">
        <v>31</v>
      </c>
      <c r="C295" s="78">
        <f>194.205</f>
        <v>194.20500000000001</v>
      </c>
      <c r="D295" s="78">
        <f>267.466</f>
        <v>267.46600000000001</v>
      </c>
      <c r="E295" s="86">
        <f>133.845</f>
        <v>133.845</v>
      </c>
      <c r="F295" s="78">
        <f>278.484-40-25-60</f>
        <v>153.48399999999998</v>
      </c>
      <c r="G295" s="80">
        <v>40</v>
      </c>
      <c r="H295" s="78">
        <f t="shared" si="48"/>
        <v>85</v>
      </c>
      <c r="I295" s="78">
        <f t="shared" si="40"/>
        <v>0</v>
      </c>
      <c r="J295" s="80">
        <v>100</v>
      </c>
      <c r="K295" s="80">
        <v>300</v>
      </c>
      <c r="L295" s="78">
        <f t="shared" si="43"/>
        <v>1274</v>
      </c>
      <c r="M295" s="88">
        <v>600</v>
      </c>
      <c r="N295" s="78">
        <f>30</f>
        <v>30</v>
      </c>
      <c r="O295" s="80">
        <v>240</v>
      </c>
      <c r="P295" s="80">
        <v>160</v>
      </c>
      <c r="Q295" s="80">
        <f t="shared" si="44"/>
        <v>195</v>
      </c>
      <c r="R295" s="80">
        <f t="shared" si="45"/>
        <v>100</v>
      </c>
      <c r="S295" s="78">
        <f t="shared" si="46"/>
        <v>695</v>
      </c>
      <c r="T295" s="78">
        <f>0</f>
        <v>0</v>
      </c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</row>
    <row r="296" spans="1:30" ht="15.75" x14ac:dyDescent="0.25">
      <c r="A296" s="15">
        <v>49919</v>
      </c>
      <c r="B296" s="91">
        <v>30</v>
      </c>
      <c r="C296" s="78">
        <f>194.205</f>
        <v>194.20500000000001</v>
      </c>
      <c r="D296" s="78">
        <f>267.466</f>
        <v>267.46600000000001</v>
      </c>
      <c r="E296" s="86">
        <f>133.845</f>
        <v>133.845</v>
      </c>
      <c r="F296" s="78">
        <f>278.484-40-25-60</f>
        <v>153.48399999999998</v>
      </c>
      <c r="G296" s="80">
        <v>40</v>
      </c>
      <c r="H296" s="78">
        <f t="shared" si="48"/>
        <v>85</v>
      </c>
      <c r="I296" s="78">
        <f t="shared" si="40"/>
        <v>0</v>
      </c>
      <c r="J296" s="80">
        <v>100</v>
      </c>
      <c r="K296" s="80">
        <v>300</v>
      </c>
      <c r="L296" s="78">
        <f t="shared" si="43"/>
        <v>1274</v>
      </c>
      <c r="M296" s="88">
        <v>600</v>
      </c>
      <c r="N296" s="78">
        <f>30</f>
        <v>30</v>
      </c>
      <c r="O296" s="80">
        <v>240</v>
      </c>
      <c r="P296" s="80">
        <v>160</v>
      </c>
      <c r="Q296" s="80">
        <f t="shared" si="44"/>
        <v>195</v>
      </c>
      <c r="R296" s="80">
        <f t="shared" si="45"/>
        <v>100</v>
      </c>
      <c r="S296" s="78">
        <f t="shared" si="46"/>
        <v>695</v>
      </c>
      <c r="T296" s="78">
        <f>0</f>
        <v>0</v>
      </c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</row>
    <row r="297" spans="1:30" ht="15.75" x14ac:dyDescent="0.25">
      <c r="A297" s="15">
        <v>49949</v>
      </c>
      <c r="B297" s="91">
        <v>31</v>
      </c>
      <c r="C297" s="78">
        <f>131.881</f>
        <v>131.881</v>
      </c>
      <c r="D297" s="78">
        <f>277.167</f>
        <v>277.16699999999997</v>
      </c>
      <c r="E297" s="86">
        <f>79.08</f>
        <v>79.08</v>
      </c>
      <c r="F297" s="78">
        <f>350.872-40-25-60</f>
        <v>225.87200000000001</v>
      </c>
      <c r="G297" s="80">
        <v>40</v>
      </c>
      <c r="H297" s="78">
        <f t="shared" si="48"/>
        <v>85</v>
      </c>
      <c r="I297" s="78">
        <f t="shared" si="40"/>
        <v>0</v>
      </c>
      <c r="J297" s="80">
        <v>100</v>
      </c>
      <c r="K297" s="80">
        <v>300</v>
      </c>
      <c r="L297" s="78">
        <f t="shared" si="43"/>
        <v>1239</v>
      </c>
      <c r="M297" s="88">
        <v>600</v>
      </c>
      <c r="N297" s="78">
        <f>75</f>
        <v>75</v>
      </c>
      <c r="O297" s="80">
        <v>240</v>
      </c>
      <c r="P297" s="80">
        <v>160</v>
      </c>
      <c r="Q297" s="80">
        <f t="shared" si="44"/>
        <v>195</v>
      </c>
      <c r="R297" s="80">
        <f t="shared" si="45"/>
        <v>100</v>
      </c>
      <c r="S297" s="78">
        <f t="shared" si="46"/>
        <v>695</v>
      </c>
      <c r="T297" s="78">
        <f>0</f>
        <v>0</v>
      </c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</row>
    <row r="298" spans="1:30" ht="15.75" x14ac:dyDescent="0.25">
      <c r="A298" s="15">
        <v>49980</v>
      </c>
      <c r="B298" s="91">
        <v>30</v>
      </c>
      <c r="C298" s="78">
        <f>122.58</f>
        <v>122.58</v>
      </c>
      <c r="D298" s="78">
        <f>297.941</f>
        <v>297.94099999999997</v>
      </c>
      <c r="E298" s="86">
        <f>89.177</f>
        <v>89.177000000000007</v>
      </c>
      <c r="F298" s="78">
        <f>240.302-40-60</f>
        <v>140.30199999999999</v>
      </c>
      <c r="G298" s="80">
        <v>40</v>
      </c>
      <c r="H298" s="78">
        <v>60</v>
      </c>
      <c r="I298" s="78">
        <f t="shared" si="40"/>
        <v>0</v>
      </c>
      <c r="J298" s="80">
        <v>100</v>
      </c>
      <c r="K298" s="80">
        <v>300</v>
      </c>
      <c r="L298" s="78">
        <f t="shared" si="43"/>
        <v>1150</v>
      </c>
      <c r="M298" s="88">
        <v>600</v>
      </c>
      <c r="N298" s="78">
        <f>100</f>
        <v>100</v>
      </c>
      <c r="O298" s="80">
        <v>240</v>
      </c>
      <c r="P298" s="80">
        <v>40</v>
      </c>
      <c r="Q298" s="80">
        <f t="shared" si="44"/>
        <v>315</v>
      </c>
      <c r="R298" s="80">
        <f t="shared" si="45"/>
        <v>100</v>
      </c>
      <c r="S298" s="78">
        <f t="shared" si="46"/>
        <v>695</v>
      </c>
      <c r="T298" s="78">
        <f>50</f>
        <v>50</v>
      </c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</row>
    <row r="299" spans="1:30" ht="15.75" x14ac:dyDescent="0.25">
      <c r="A299" s="15">
        <v>50010</v>
      </c>
      <c r="B299" s="91">
        <v>31</v>
      </c>
      <c r="C299" s="78">
        <f>122.58</f>
        <v>122.58</v>
      </c>
      <c r="D299" s="78">
        <f>297.941</f>
        <v>297.94099999999997</v>
      </c>
      <c r="E299" s="86">
        <f>89.177</f>
        <v>89.177000000000007</v>
      </c>
      <c r="F299" s="78">
        <f>240.302-40-60</f>
        <v>140.30199999999999</v>
      </c>
      <c r="G299" s="80">
        <v>40</v>
      </c>
      <c r="H299" s="78">
        <v>60</v>
      </c>
      <c r="I299" s="78">
        <f t="shared" si="40"/>
        <v>0</v>
      </c>
      <c r="J299" s="80">
        <v>100</v>
      </c>
      <c r="K299" s="80">
        <v>300</v>
      </c>
      <c r="L299" s="78">
        <f t="shared" si="43"/>
        <v>1150</v>
      </c>
      <c r="M299" s="88">
        <v>600</v>
      </c>
      <c r="N299" s="78">
        <f>100</f>
        <v>100</v>
      </c>
      <c r="O299" s="80">
        <v>240</v>
      </c>
      <c r="P299" s="80">
        <v>40</v>
      </c>
      <c r="Q299" s="80">
        <f t="shared" si="44"/>
        <v>315</v>
      </c>
      <c r="R299" s="80">
        <f t="shared" si="45"/>
        <v>100</v>
      </c>
      <c r="S299" s="78">
        <f t="shared" si="46"/>
        <v>695</v>
      </c>
      <c r="T299" s="78">
        <f>50</f>
        <v>50</v>
      </c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</row>
    <row r="300" spans="1:30" ht="15.75" x14ac:dyDescent="0.25">
      <c r="A300" s="15">
        <v>50041</v>
      </c>
      <c r="B300" s="91">
        <v>31</v>
      </c>
      <c r="C300" s="78">
        <f>122.58</f>
        <v>122.58</v>
      </c>
      <c r="D300" s="78">
        <f>297.941</f>
        <v>297.94099999999997</v>
      </c>
      <c r="E300" s="86">
        <f>89.177</f>
        <v>89.177000000000007</v>
      </c>
      <c r="F300" s="78">
        <f>240.302-40-60</f>
        <v>140.30199999999999</v>
      </c>
      <c r="G300" s="80">
        <v>40</v>
      </c>
      <c r="H300" s="78">
        <v>60</v>
      </c>
      <c r="I300" s="78">
        <f t="shared" si="40"/>
        <v>0</v>
      </c>
      <c r="J300" s="80">
        <v>100</v>
      </c>
      <c r="K300" s="80">
        <v>300</v>
      </c>
      <c r="L300" s="78">
        <f t="shared" si="43"/>
        <v>1150</v>
      </c>
      <c r="M300" s="88">
        <v>600</v>
      </c>
      <c r="N300" s="78">
        <f>100</f>
        <v>100</v>
      </c>
      <c r="O300" s="80">
        <v>240</v>
      </c>
      <c r="P300" s="80">
        <v>40</v>
      </c>
      <c r="Q300" s="80">
        <f t="shared" si="44"/>
        <v>315</v>
      </c>
      <c r="R300" s="80">
        <f t="shared" si="45"/>
        <v>100</v>
      </c>
      <c r="S300" s="78">
        <f t="shared" si="46"/>
        <v>695</v>
      </c>
      <c r="T300" s="78">
        <f>50</f>
        <v>50</v>
      </c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</row>
    <row r="301" spans="1:30" ht="15.75" x14ac:dyDescent="0.25">
      <c r="A301" s="15">
        <v>50072</v>
      </c>
      <c r="B301" s="91">
        <v>28</v>
      </c>
      <c r="C301" s="78">
        <f>122.58</f>
        <v>122.58</v>
      </c>
      <c r="D301" s="78">
        <f>297.941</f>
        <v>297.94099999999997</v>
      </c>
      <c r="E301" s="86">
        <f>89.177</f>
        <v>89.177000000000007</v>
      </c>
      <c r="F301" s="78">
        <f>240.302-40-60</f>
        <v>140.30199999999999</v>
      </c>
      <c r="G301" s="80">
        <v>40</v>
      </c>
      <c r="H301" s="78">
        <v>60</v>
      </c>
      <c r="I301" s="78">
        <f t="shared" si="40"/>
        <v>0</v>
      </c>
      <c r="J301" s="80">
        <v>100</v>
      </c>
      <c r="K301" s="80">
        <v>300</v>
      </c>
      <c r="L301" s="78">
        <f t="shared" si="43"/>
        <v>1150</v>
      </c>
      <c r="M301" s="88">
        <v>600</v>
      </c>
      <c r="N301" s="78">
        <f>100</f>
        <v>100</v>
      </c>
      <c r="O301" s="80">
        <v>240</v>
      </c>
      <c r="P301" s="80">
        <v>40</v>
      </c>
      <c r="Q301" s="80">
        <f t="shared" si="44"/>
        <v>315</v>
      </c>
      <c r="R301" s="80">
        <f t="shared" si="45"/>
        <v>100</v>
      </c>
      <c r="S301" s="78">
        <f t="shared" si="46"/>
        <v>695</v>
      </c>
      <c r="T301" s="78">
        <f>50</f>
        <v>50</v>
      </c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</row>
    <row r="302" spans="1:30" ht="15.75" x14ac:dyDescent="0.25">
      <c r="A302" s="15">
        <v>50100</v>
      </c>
      <c r="B302" s="91">
        <v>31</v>
      </c>
      <c r="C302" s="78">
        <f>122.58</f>
        <v>122.58</v>
      </c>
      <c r="D302" s="78">
        <f>297.941</f>
        <v>297.94099999999997</v>
      </c>
      <c r="E302" s="86">
        <f>89.177</f>
        <v>89.177000000000007</v>
      </c>
      <c r="F302" s="78">
        <f>240.302-40-60</f>
        <v>140.30199999999999</v>
      </c>
      <c r="G302" s="80">
        <v>40</v>
      </c>
      <c r="H302" s="78">
        <v>60</v>
      </c>
      <c r="I302" s="78">
        <f t="shared" si="40"/>
        <v>0</v>
      </c>
      <c r="J302" s="80">
        <v>100</v>
      </c>
      <c r="K302" s="80">
        <v>300</v>
      </c>
      <c r="L302" s="78">
        <f t="shared" si="43"/>
        <v>1150</v>
      </c>
      <c r="M302" s="88">
        <v>600</v>
      </c>
      <c r="N302" s="78">
        <f>100</f>
        <v>100</v>
      </c>
      <c r="O302" s="80">
        <v>240</v>
      </c>
      <c r="P302" s="80">
        <v>40</v>
      </c>
      <c r="Q302" s="80">
        <f t="shared" si="44"/>
        <v>315</v>
      </c>
      <c r="R302" s="80">
        <f t="shared" si="45"/>
        <v>100</v>
      </c>
      <c r="S302" s="78">
        <f t="shared" si="46"/>
        <v>695</v>
      </c>
      <c r="T302" s="78">
        <f>50</f>
        <v>50</v>
      </c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</row>
    <row r="303" spans="1:30" ht="15.75" x14ac:dyDescent="0.25">
      <c r="A303" s="15">
        <v>50131</v>
      </c>
      <c r="B303" s="91">
        <v>30</v>
      </c>
      <c r="C303" s="78">
        <f>141.293</f>
        <v>141.29300000000001</v>
      </c>
      <c r="D303" s="78">
        <f>267.993</f>
        <v>267.99299999999999</v>
      </c>
      <c r="E303" s="86">
        <f>115.016</f>
        <v>115.01600000000001</v>
      </c>
      <c r="F303" s="78">
        <f>314.698-40-25-60</f>
        <v>189.69799999999998</v>
      </c>
      <c r="G303" s="80">
        <v>40</v>
      </c>
      <c r="H303" s="78">
        <f t="shared" ref="H303:H309" si="49">25+60</f>
        <v>85</v>
      </c>
      <c r="I303" s="78">
        <f t="shared" si="40"/>
        <v>0</v>
      </c>
      <c r="J303" s="80">
        <v>100</v>
      </c>
      <c r="K303" s="80">
        <v>300</v>
      </c>
      <c r="L303" s="78">
        <f t="shared" si="43"/>
        <v>1239</v>
      </c>
      <c r="M303" s="88">
        <v>600</v>
      </c>
      <c r="N303" s="78">
        <f>100</f>
        <v>100</v>
      </c>
      <c r="O303" s="80">
        <v>240</v>
      </c>
      <c r="P303" s="80">
        <v>160</v>
      </c>
      <c r="Q303" s="80">
        <f t="shared" si="44"/>
        <v>195</v>
      </c>
      <c r="R303" s="80">
        <f t="shared" si="45"/>
        <v>100</v>
      </c>
      <c r="S303" s="78">
        <f t="shared" si="46"/>
        <v>695</v>
      </c>
      <c r="T303" s="78">
        <f>50</f>
        <v>50</v>
      </c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</row>
    <row r="304" spans="1:30" ht="15.75" x14ac:dyDescent="0.25">
      <c r="A304" s="15">
        <v>50161</v>
      </c>
      <c r="B304" s="91">
        <v>31</v>
      </c>
      <c r="C304" s="78">
        <f>194.205</f>
        <v>194.20500000000001</v>
      </c>
      <c r="D304" s="78">
        <f>267.466</f>
        <v>267.46600000000001</v>
      </c>
      <c r="E304" s="86">
        <f>133.845</f>
        <v>133.845</v>
      </c>
      <c r="F304" s="78">
        <f>278.484-40-25-60</f>
        <v>153.48399999999998</v>
      </c>
      <c r="G304" s="80">
        <v>40</v>
      </c>
      <c r="H304" s="78">
        <f t="shared" si="49"/>
        <v>85</v>
      </c>
      <c r="I304" s="78">
        <f t="shared" si="40"/>
        <v>0</v>
      </c>
      <c r="J304" s="80">
        <v>100</v>
      </c>
      <c r="K304" s="80">
        <v>300</v>
      </c>
      <c r="L304" s="78">
        <f t="shared" si="43"/>
        <v>1274</v>
      </c>
      <c r="M304" s="88">
        <v>600</v>
      </c>
      <c r="N304" s="78">
        <f>75</f>
        <v>75</v>
      </c>
      <c r="O304" s="80">
        <v>240</v>
      </c>
      <c r="P304" s="80">
        <v>160</v>
      </c>
      <c r="Q304" s="80">
        <f t="shared" si="44"/>
        <v>195</v>
      </c>
      <c r="R304" s="80">
        <f t="shared" si="45"/>
        <v>100</v>
      </c>
      <c r="S304" s="78">
        <f t="shared" si="46"/>
        <v>695</v>
      </c>
      <c r="T304" s="78">
        <f>50</f>
        <v>50</v>
      </c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</row>
    <row r="305" spans="1:30" ht="15.75" x14ac:dyDescent="0.25">
      <c r="A305" s="15">
        <v>50192</v>
      </c>
      <c r="B305" s="91">
        <v>30</v>
      </c>
      <c r="C305" s="78">
        <f>194.205</f>
        <v>194.20500000000001</v>
      </c>
      <c r="D305" s="78">
        <f>267.466</f>
        <v>267.46600000000001</v>
      </c>
      <c r="E305" s="86">
        <f>133.845</f>
        <v>133.845</v>
      </c>
      <c r="F305" s="78">
        <f>278.484-40-25-60</f>
        <v>153.48399999999998</v>
      </c>
      <c r="G305" s="80">
        <v>40</v>
      </c>
      <c r="H305" s="78">
        <f t="shared" si="49"/>
        <v>85</v>
      </c>
      <c r="I305" s="78">
        <f t="shared" si="40"/>
        <v>0</v>
      </c>
      <c r="J305" s="80">
        <v>100</v>
      </c>
      <c r="K305" s="80">
        <v>300</v>
      </c>
      <c r="L305" s="78">
        <f t="shared" si="43"/>
        <v>1274</v>
      </c>
      <c r="M305" s="88">
        <v>600</v>
      </c>
      <c r="N305" s="78">
        <f>30</f>
        <v>30</v>
      </c>
      <c r="O305" s="80">
        <v>240</v>
      </c>
      <c r="P305" s="80">
        <v>160</v>
      </c>
      <c r="Q305" s="80">
        <f t="shared" si="44"/>
        <v>195</v>
      </c>
      <c r="R305" s="80">
        <f t="shared" si="45"/>
        <v>100</v>
      </c>
      <c r="S305" s="78">
        <f t="shared" si="46"/>
        <v>695</v>
      </c>
      <c r="T305" s="78">
        <f>50</f>
        <v>50</v>
      </c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</row>
    <row r="306" spans="1:30" ht="15.75" x14ac:dyDescent="0.25">
      <c r="A306" s="15">
        <v>50222</v>
      </c>
      <c r="B306" s="91">
        <v>31</v>
      </c>
      <c r="C306" s="78">
        <f>194.205</f>
        <v>194.20500000000001</v>
      </c>
      <c r="D306" s="78">
        <f>267.466</f>
        <v>267.46600000000001</v>
      </c>
      <c r="E306" s="86">
        <f>133.845</f>
        <v>133.845</v>
      </c>
      <c r="F306" s="78">
        <f>278.484-40-25-60</f>
        <v>153.48399999999998</v>
      </c>
      <c r="G306" s="80">
        <v>40</v>
      </c>
      <c r="H306" s="78">
        <f t="shared" si="49"/>
        <v>85</v>
      </c>
      <c r="I306" s="78">
        <f t="shared" si="40"/>
        <v>0</v>
      </c>
      <c r="J306" s="80">
        <v>100</v>
      </c>
      <c r="K306" s="80">
        <v>300</v>
      </c>
      <c r="L306" s="78">
        <f t="shared" si="43"/>
        <v>1274</v>
      </c>
      <c r="M306" s="88">
        <v>600</v>
      </c>
      <c r="N306" s="78">
        <f>30</f>
        <v>30</v>
      </c>
      <c r="O306" s="80">
        <v>240</v>
      </c>
      <c r="P306" s="80">
        <v>160</v>
      </c>
      <c r="Q306" s="80">
        <f t="shared" si="44"/>
        <v>195</v>
      </c>
      <c r="R306" s="80">
        <f t="shared" si="45"/>
        <v>100</v>
      </c>
      <c r="S306" s="78">
        <f t="shared" si="46"/>
        <v>695</v>
      </c>
      <c r="T306" s="78">
        <f>0</f>
        <v>0</v>
      </c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</row>
    <row r="307" spans="1:30" ht="15.75" x14ac:dyDescent="0.25">
      <c r="A307" s="15">
        <v>50253</v>
      </c>
      <c r="B307" s="91">
        <v>31</v>
      </c>
      <c r="C307" s="78">
        <f>194.205</f>
        <v>194.20500000000001</v>
      </c>
      <c r="D307" s="78">
        <f>267.466</f>
        <v>267.46600000000001</v>
      </c>
      <c r="E307" s="86">
        <f>133.845</f>
        <v>133.845</v>
      </c>
      <c r="F307" s="78">
        <f>278.484-40-25-60</f>
        <v>153.48399999999998</v>
      </c>
      <c r="G307" s="80">
        <v>40</v>
      </c>
      <c r="H307" s="78">
        <f t="shared" si="49"/>
        <v>85</v>
      </c>
      <c r="I307" s="78">
        <f t="shared" si="40"/>
        <v>0</v>
      </c>
      <c r="J307" s="80">
        <v>100</v>
      </c>
      <c r="K307" s="80">
        <v>300</v>
      </c>
      <c r="L307" s="78">
        <f t="shared" si="43"/>
        <v>1274</v>
      </c>
      <c r="M307" s="88">
        <v>600</v>
      </c>
      <c r="N307" s="78">
        <f>30</f>
        <v>30</v>
      </c>
      <c r="O307" s="80">
        <v>240</v>
      </c>
      <c r="P307" s="80">
        <v>160</v>
      </c>
      <c r="Q307" s="80">
        <f t="shared" si="44"/>
        <v>195</v>
      </c>
      <c r="R307" s="80">
        <f t="shared" si="45"/>
        <v>100</v>
      </c>
      <c r="S307" s="78">
        <f t="shared" si="46"/>
        <v>695</v>
      </c>
      <c r="T307" s="78">
        <f>0</f>
        <v>0</v>
      </c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</row>
    <row r="308" spans="1:30" ht="15.75" x14ac:dyDescent="0.25">
      <c r="A308" s="15">
        <v>50284</v>
      </c>
      <c r="B308" s="91">
        <v>30</v>
      </c>
      <c r="C308" s="78">
        <f>194.205</f>
        <v>194.20500000000001</v>
      </c>
      <c r="D308" s="78">
        <f>267.466</f>
        <v>267.46600000000001</v>
      </c>
      <c r="E308" s="86">
        <f>133.845</f>
        <v>133.845</v>
      </c>
      <c r="F308" s="78">
        <f>278.484-40-25-60</f>
        <v>153.48399999999998</v>
      </c>
      <c r="G308" s="80">
        <v>40</v>
      </c>
      <c r="H308" s="78">
        <f t="shared" si="49"/>
        <v>85</v>
      </c>
      <c r="I308" s="78">
        <f t="shared" ref="I308:I371" si="50">400-J308-K308</f>
        <v>0</v>
      </c>
      <c r="J308" s="80">
        <v>100</v>
      </c>
      <c r="K308" s="80">
        <v>300</v>
      </c>
      <c r="L308" s="78">
        <f t="shared" si="43"/>
        <v>1274</v>
      </c>
      <c r="M308" s="88">
        <v>600</v>
      </c>
      <c r="N308" s="78">
        <f>30</f>
        <v>30</v>
      </c>
      <c r="O308" s="80">
        <v>240</v>
      </c>
      <c r="P308" s="80">
        <v>160</v>
      </c>
      <c r="Q308" s="80">
        <f t="shared" si="44"/>
        <v>195</v>
      </c>
      <c r="R308" s="80">
        <f t="shared" si="45"/>
        <v>100</v>
      </c>
      <c r="S308" s="78">
        <f t="shared" si="46"/>
        <v>695</v>
      </c>
      <c r="T308" s="78">
        <f>0</f>
        <v>0</v>
      </c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</row>
    <row r="309" spans="1:30" ht="15.75" x14ac:dyDescent="0.25">
      <c r="A309" s="15">
        <v>50314</v>
      </c>
      <c r="B309" s="91">
        <v>31</v>
      </c>
      <c r="C309" s="78">
        <f>131.881</f>
        <v>131.881</v>
      </c>
      <c r="D309" s="78">
        <f>277.167</f>
        <v>277.16699999999997</v>
      </c>
      <c r="E309" s="86">
        <f>79.08</f>
        <v>79.08</v>
      </c>
      <c r="F309" s="78">
        <f>350.872-40-25-60</f>
        <v>225.87200000000001</v>
      </c>
      <c r="G309" s="80">
        <v>40</v>
      </c>
      <c r="H309" s="78">
        <f t="shared" si="49"/>
        <v>85</v>
      </c>
      <c r="I309" s="78">
        <f t="shared" si="50"/>
        <v>0</v>
      </c>
      <c r="J309" s="80">
        <v>100</v>
      </c>
      <c r="K309" s="80">
        <v>300</v>
      </c>
      <c r="L309" s="78">
        <f t="shared" si="43"/>
        <v>1239</v>
      </c>
      <c r="M309" s="88">
        <v>600</v>
      </c>
      <c r="N309" s="78">
        <f>75</f>
        <v>75</v>
      </c>
      <c r="O309" s="80">
        <v>240</v>
      </c>
      <c r="P309" s="80">
        <v>160</v>
      </c>
      <c r="Q309" s="80">
        <f t="shared" si="44"/>
        <v>195</v>
      </c>
      <c r="R309" s="80">
        <f t="shared" si="45"/>
        <v>100</v>
      </c>
      <c r="S309" s="78">
        <f t="shared" si="46"/>
        <v>695</v>
      </c>
      <c r="T309" s="78">
        <f>0</f>
        <v>0</v>
      </c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</row>
    <row r="310" spans="1:30" ht="15.75" x14ac:dyDescent="0.25">
      <c r="A310" s="15">
        <v>50345</v>
      </c>
      <c r="B310" s="91">
        <v>30</v>
      </c>
      <c r="C310" s="78">
        <f>122.58</f>
        <v>122.58</v>
      </c>
      <c r="D310" s="78">
        <f>297.941</f>
        <v>297.94099999999997</v>
      </c>
      <c r="E310" s="86">
        <f>89.177</f>
        <v>89.177000000000007</v>
      </c>
      <c r="F310" s="78">
        <f>240.302-40-60</f>
        <v>140.30199999999999</v>
      </c>
      <c r="G310" s="80">
        <v>40</v>
      </c>
      <c r="H310" s="78">
        <v>60</v>
      </c>
      <c r="I310" s="78">
        <f t="shared" si="50"/>
        <v>0</v>
      </c>
      <c r="J310" s="80">
        <v>100</v>
      </c>
      <c r="K310" s="80">
        <v>300</v>
      </c>
      <c r="L310" s="78">
        <f t="shared" si="43"/>
        <v>1150</v>
      </c>
      <c r="M310" s="88">
        <v>600</v>
      </c>
      <c r="N310" s="78">
        <f>100</f>
        <v>100</v>
      </c>
      <c r="O310" s="80">
        <v>240</v>
      </c>
      <c r="P310" s="80">
        <v>40</v>
      </c>
      <c r="Q310" s="80">
        <f t="shared" si="44"/>
        <v>315</v>
      </c>
      <c r="R310" s="80">
        <f t="shared" si="45"/>
        <v>100</v>
      </c>
      <c r="S310" s="78">
        <f t="shared" si="46"/>
        <v>695</v>
      </c>
      <c r="T310" s="78">
        <f>50</f>
        <v>50</v>
      </c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</row>
    <row r="311" spans="1:30" ht="15.75" x14ac:dyDescent="0.25">
      <c r="A311" s="15">
        <v>50375</v>
      </c>
      <c r="B311" s="91">
        <v>31</v>
      </c>
      <c r="C311" s="78">
        <f>122.58</f>
        <v>122.58</v>
      </c>
      <c r="D311" s="78">
        <f>297.941</f>
        <v>297.94099999999997</v>
      </c>
      <c r="E311" s="86">
        <f>89.177</f>
        <v>89.177000000000007</v>
      </c>
      <c r="F311" s="78">
        <f>240.302-40-60</f>
        <v>140.30199999999999</v>
      </c>
      <c r="G311" s="80">
        <v>40</v>
      </c>
      <c r="H311" s="78">
        <v>60</v>
      </c>
      <c r="I311" s="78">
        <f t="shared" si="50"/>
        <v>0</v>
      </c>
      <c r="J311" s="80">
        <v>100</v>
      </c>
      <c r="K311" s="80">
        <v>300</v>
      </c>
      <c r="L311" s="78">
        <f t="shared" si="43"/>
        <v>1150</v>
      </c>
      <c r="M311" s="88">
        <v>600</v>
      </c>
      <c r="N311" s="78">
        <f>100</f>
        <v>100</v>
      </c>
      <c r="O311" s="80">
        <v>240</v>
      </c>
      <c r="P311" s="80">
        <v>40</v>
      </c>
      <c r="Q311" s="80">
        <f t="shared" si="44"/>
        <v>315</v>
      </c>
      <c r="R311" s="80">
        <f t="shared" si="45"/>
        <v>100</v>
      </c>
      <c r="S311" s="78">
        <f t="shared" si="46"/>
        <v>695</v>
      </c>
      <c r="T311" s="78">
        <f>50</f>
        <v>50</v>
      </c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</row>
    <row r="312" spans="1:30" ht="15.75" x14ac:dyDescent="0.25">
      <c r="A312" s="14">
        <v>50436</v>
      </c>
      <c r="B312" s="90">
        <v>31</v>
      </c>
      <c r="C312" s="78">
        <f>122.58</f>
        <v>122.58</v>
      </c>
      <c r="D312" s="78">
        <f>297.941</f>
        <v>297.94099999999997</v>
      </c>
      <c r="E312" s="86">
        <f>89.177</f>
        <v>89.177000000000007</v>
      </c>
      <c r="F312" s="78">
        <f>240.302-40-60</f>
        <v>140.30199999999999</v>
      </c>
      <c r="G312" s="80">
        <v>40</v>
      </c>
      <c r="H312" s="78">
        <v>60</v>
      </c>
      <c r="I312" s="78">
        <f t="shared" si="50"/>
        <v>0</v>
      </c>
      <c r="J312" s="80">
        <v>100</v>
      </c>
      <c r="K312" s="80">
        <v>300</v>
      </c>
      <c r="L312" s="78">
        <f t="shared" si="43"/>
        <v>1150</v>
      </c>
      <c r="M312" s="88">
        <v>600</v>
      </c>
      <c r="N312" s="78">
        <f>100</f>
        <v>100</v>
      </c>
      <c r="O312" s="80">
        <v>240</v>
      </c>
      <c r="P312" s="80">
        <v>40</v>
      </c>
      <c r="Q312" s="80">
        <f t="shared" si="44"/>
        <v>315</v>
      </c>
      <c r="R312" s="80">
        <f t="shared" si="45"/>
        <v>100</v>
      </c>
      <c r="S312" s="78">
        <f t="shared" si="46"/>
        <v>695</v>
      </c>
      <c r="T312" s="78">
        <f>50</f>
        <v>50</v>
      </c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</row>
    <row r="313" spans="1:30" ht="15.75" x14ac:dyDescent="0.25">
      <c r="A313" s="14">
        <v>50464</v>
      </c>
      <c r="B313" s="90">
        <v>28</v>
      </c>
      <c r="C313" s="78">
        <f>122.58</f>
        <v>122.58</v>
      </c>
      <c r="D313" s="78">
        <f>297.941</f>
        <v>297.94099999999997</v>
      </c>
      <c r="E313" s="86">
        <f>89.177</f>
        <v>89.177000000000007</v>
      </c>
      <c r="F313" s="78">
        <f>240.302-40-60</f>
        <v>140.30199999999999</v>
      </c>
      <c r="G313" s="80">
        <v>40</v>
      </c>
      <c r="H313" s="78">
        <v>60</v>
      </c>
      <c r="I313" s="78">
        <f t="shared" si="50"/>
        <v>0</v>
      </c>
      <c r="J313" s="80">
        <v>100</v>
      </c>
      <c r="K313" s="80">
        <v>300</v>
      </c>
      <c r="L313" s="78">
        <f t="shared" si="43"/>
        <v>1150</v>
      </c>
      <c r="M313" s="88">
        <v>600</v>
      </c>
      <c r="N313" s="78">
        <f>100</f>
        <v>100</v>
      </c>
      <c r="O313" s="80">
        <v>240</v>
      </c>
      <c r="P313" s="80">
        <v>40</v>
      </c>
      <c r="Q313" s="80">
        <f t="shared" si="44"/>
        <v>315</v>
      </c>
      <c r="R313" s="80">
        <f t="shared" si="45"/>
        <v>100</v>
      </c>
      <c r="S313" s="78">
        <f t="shared" si="46"/>
        <v>695</v>
      </c>
      <c r="T313" s="78">
        <f>50</f>
        <v>50</v>
      </c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</row>
    <row r="314" spans="1:30" ht="15.75" x14ac:dyDescent="0.25">
      <c r="A314" s="14">
        <v>50495</v>
      </c>
      <c r="B314" s="90">
        <v>31</v>
      </c>
      <c r="C314" s="78">
        <f>122.58</f>
        <v>122.58</v>
      </c>
      <c r="D314" s="78">
        <f>297.941</f>
        <v>297.94099999999997</v>
      </c>
      <c r="E314" s="86">
        <f>89.177</f>
        <v>89.177000000000007</v>
      </c>
      <c r="F314" s="78">
        <f>240.302-40-60</f>
        <v>140.30199999999999</v>
      </c>
      <c r="G314" s="80">
        <v>40</v>
      </c>
      <c r="H314" s="78">
        <v>60</v>
      </c>
      <c r="I314" s="78">
        <f t="shared" si="50"/>
        <v>0</v>
      </c>
      <c r="J314" s="80">
        <v>100</v>
      </c>
      <c r="K314" s="80">
        <v>300</v>
      </c>
      <c r="L314" s="78">
        <f t="shared" si="43"/>
        <v>1150</v>
      </c>
      <c r="M314" s="88">
        <v>600</v>
      </c>
      <c r="N314" s="78">
        <f>100</f>
        <v>100</v>
      </c>
      <c r="O314" s="80">
        <v>240</v>
      </c>
      <c r="P314" s="80">
        <v>40</v>
      </c>
      <c r="Q314" s="80">
        <f t="shared" si="44"/>
        <v>315</v>
      </c>
      <c r="R314" s="80">
        <f t="shared" si="45"/>
        <v>100</v>
      </c>
      <c r="S314" s="78">
        <f t="shared" si="46"/>
        <v>695</v>
      </c>
      <c r="T314" s="78">
        <f>50</f>
        <v>50</v>
      </c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</row>
    <row r="315" spans="1:30" ht="15.75" x14ac:dyDescent="0.25">
      <c r="A315" s="14">
        <v>50525</v>
      </c>
      <c r="B315" s="90">
        <v>30</v>
      </c>
      <c r="C315" s="78">
        <f>141.293</f>
        <v>141.29300000000001</v>
      </c>
      <c r="D315" s="78">
        <f>267.993</f>
        <v>267.99299999999999</v>
      </c>
      <c r="E315" s="86">
        <f>115.016</f>
        <v>115.01600000000001</v>
      </c>
      <c r="F315" s="78">
        <f>314.698-40-25-60</f>
        <v>189.69799999999998</v>
      </c>
      <c r="G315" s="80">
        <v>40</v>
      </c>
      <c r="H315" s="78">
        <f t="shared" ref="H315:H321" si="51">25+60</f>
        <v>85</v>
      </c>
      <c r="I315" s="78">
        <f t="shared" si="50"/>
        <v>0</v>
      </c>
      <c r="J315" s="80">
        <v>100</v>
      </c>
      <c r="K315" s="80">
        <v>300</v>
      </c>
      <c r="L315" s="78">
        <f t="shared" si="43"/>
        <v>1239</v>
      </c>
      <c r="M315" s="88">
        <v>600</v>
      </c>
      <c r="N315" s="78">
        <f>100</f>
        <v>100</v>
      </c>
      <c r="O315" s="80">
        <v>240</v>
      </c>
      <c r="P315" s="80">
        <v>160</v>
      </c>
      <c r="Q315" s="80">
        <f t="shared" si="44"/>
        <v>195</v>
      </c>
      <c r="R315" s="80">
        <f t="shared" si="45"/>
        <v>100</v>
      </c>
      <c r="S315" s="78">
        <f t="shared" si="46"/>
        <v>695</v>
      </c>
      <c r="T315" s="78">
        <f>50</f>
        <v>50</v>
      </c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</row>
    <row r="316" spans="1:30" ht="15.75" x14ac:dyDescent="0.25">
      <c r="A316" s="14">
        <v>50556</v>
      </c>
      <c r="B316" s="90">
        <v>31</v>
      </c>
      <c r="C316" s="78">
        <f>194.205</f>
        <v>194.20500000000001</v>
      </c>
      <c r="D316" s="78">
        <f>267.466</f>
        <v>267.46600000000001</v>
      </c>
      <c r="E316" s="86">
        <f>133.845</f>
        <v>133.845</v>
      </c>
      <c r="F316" s="78">
        <f>278.484-40-25-60</f>
        <v>153.48399999999998</v>
      </c>
      <c r="G316" s="80">
        <v>40</v>
      </c>
      <c r="H316" s="78">
        <f t="shared" si="51"/>
        <v>85</v>
      </c>
      <c r="I316" s="78">
        <f t="shared" si="50"/>
        <v>0</v>
      </c>
      <c r="J316" s="80">
        <v>100</v>
      </c>
      <c r="K316" s="80">
        <v>300</v>
      </c>
      <c r="L316" s="78">
        <f t="shared" si="43"/>
        <v>1274</v>
      </c>
      <c r="M316" s="88">
        <v>600</v>
      </c>
      <c r="N316" s="78">
        <f>75</f>
        <v>75</v>
      </c>
      <c r="O316" s="80">
        <v>240</v>
      </c>
      <c r="P316" s="80">
        <v>160</v>
      </c>
      <c r="Q316" s="80">
        <f t="shared" si="44"/>
        <v>195</v>
      </c>
      <c r="R316" s="80">
        <f t="shared" si="45"/>
        <v>100</v>
      </c>
      <c r="S316" s="78">
        <f t="shared" si="46"/>
        <v>695</v>
      </c>
      <c r="T316" s="78">
        <f>50</f>
        <v>50</v>
      </c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</row>
    <row r="317" spans="1:30" ht="15.75" x14ac:dyDescent="0.25">
      <c r="A317" s="14">
        <v>50586</v>
      </c>
      <c r="B317" s="90">
        <v>30</v>
      </c>
      <c r="C317" s="78">
        <f>194.205</f>
        <v>194.20500000000001</v>
      </c>
      <c r="D317" s="78">
        <f>267.466</f>
        <v>267.46600000000001</v>
      </c>
      <c r="E317" s="86">
        <f>133.845</f>
        <v>133.845</v>
      </c>
      <c r="F317" s="78">
        <f>278.484-40-25-60</f>
        <v>153.48399999999998</v>
      </c>
      <c r="G317" s="80">
        <v>40</v>
      </c>
      <c r="H317" s="78">
        <f t="shared" si="51"/>
        <v>85</v>
      </c>
      <c r="I317" s="78">
        <f t="shared" si="50"/>
        <v>0</v>
      </c>
      <c r="J317" s="80">
        <v>100</v>
      </c>
      <c r="K317" s="80">
        <v>300</v>
      </c>
      <c r="L317" s="78">
        <f t="shared" si="43"/>
        <v>1274</v>
      </c>
      <c r="M317" s="88">
        <v>600</v>
      </c>
      <c r="N317" s="78">
        <f>30</f>
        <v>30</v>
      </c>
      <c r="O317" s="80">
        <v>240</v>
      </c>
      <c r="P317" s="80">
        <v>160</v>
      </c>
      <c r="Q317" s="80">
        <f t="shared" si="44"/>
        <v>195</v>
      </c>
      <c r="R317" s="80">
        <f t="shared" si="45"/>
        <v>100</v>
      </c>
      <c r="S317" s="78">
        <f t="shared" si="46"/>
        <v>695</v>
      </c>
      <c r="T317" s="78">
        <f>50</f>
        <v>50</v>
      </c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</row>
    <row r="318" spans="1:30" ht="15.75" x14ac:dyDescent="0.25">
      <c r="A318" s="14">
        <v>50617</v>
      </c>
      <c r="B318" s="90">
        <v>31</v>
      </c>
      <c r="C318" s="78">
        <f>194.205</f>
        <v>194.20500000000001</v>
      </c>
      <c r="D318" s="78">
        <f>267.466</f>
        <v>267.46600000000001</v>
      </c>
      <c r="E318" s="86">
        <f>133.845</f>
        <v>133.845</v>
      </c>
      <c r="F318" s="78">
        <f>278.484-40-25-60</f>
        <v>153.48399999999998</v>
      </c>
      <c r="G318" s="80">
        <v>40</v>
      </c>
      <c r="H318" s="78">
        <f t="shared" si="51"/>
        <v>85</v>
      </c>
      <c r="I318" s="78">
        <f t="shared" si="50"/>
        <v>0</v>
      </c>
      <c r="J318" s="80">
        <v>100</v>
      </c>
      <c r="K318" s="80">
        <v>300</v>
      </c>
      <c r="L318" s="78">
        <f t="shared" si="43"/>
        <v>1274</v>
      </c>
      <c r="M318" s="88">
        <v>600</v>
      </c>
      <c r="N318" s="78">
        <f>30</f>
        <v>30</v>
      </c>
      <c r="O318" s="80">
        <v>240</v>
      </c>
      <c r="P318" s="80">
        <v>160</v>
      </c>
      <c r="Q318" s="80">
        <f t="shared" si="44"/>
        <v>195</v>
      </c>
      <c r="R318" s="80">
        <f t="shared" si="45"/>
        <v>100</v>
      </c>
      <c r="S318" s="78">
        <f t="shared" si="46"/>
        <v>695</v>
      </c>
      <c r="T318" s="78">
        <f>0</f>
        <v>0</v>
      </c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</row>
    <row r="319" spans="1:30" ht="15.75" x14ac:dyDescent="0.25">
      <c r="A319" s="14">
        <v>50648</v>
      </c>
      <c r="B319" s="90">
        <v>31</v>
      </c>
      <c r="C319" s="78">
        <f>194.205</f>
        <v>194.20500000000001</v>
      </c>
      <c r="D319" s="78">
        <f>267.466</f>
        <v>267.46600000000001</v>
      </c>
      <c r="E319" s="86">
        <f>133.845</f>
        <v>133.845</v>
      </c>
      <c r="F319" s="78">
        <f>278.484-40-25-60</f>
        <v>153.48399999999998</v>
      </c>
      <c r="G319" s="80">
        <v>40</v>
      </c>
      <c r="H319" s="78">
        <f t="shared" si="51"/>
        <v>85</v>
      </c>
      <c r="I319" s="78">
        <f t="shared" si="50"/>
        <v>0</v>
      </c>
      <c r="J319" s="80">
        <v>100</v>
      </c>
      <c r="K319" s="80">
        <v>300</v>
      </c>
      <c r="L319" s="78">
        <f t="shared" si="43"/>
        <v>1274</v>
      </c>
      <c r="M319" s="88">
        <v>600</v>
      </c>
      <c r="N319" s="78">
        <f>30</f>
        <v>30</v>
      </c>
      <c r="O319" s="80">
        <v>240</v>
      </c>
      <c r="P319" s="80">
        <v>160</v>
      </c>
      <c r="Q319" s="80">
        <f t="shared" si="44"/>
        <v>195</v>
      </c>
      <c r="R319" s="80">
        <f t="shared" si="45"/>
        <v>100</v>
      </c>
      <c r="S319" s="78">
        <f t="shared" si="46"/>
        <v>695</v>
      </c>
      <c r="T319" s="78">
        <f>0</f>
        <v>0</v>
      </c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</row>
    <row r="320" spans="1:30" ht="15.75" x14ac:dyDescent="0.25">
      <c r="A320" s="14">
        <v>50678</v>
      </c>
      <c r="B320" s="90">
        <v>30</v>
      </c>
      <c r="C320" s="78">
        <f>194.205</f>
        <v>194.20500000000001</v>
      </c>
      <c r="D320" s="78">
        <f>267.466</f>
        <v>267.46600000000001</v>
      </c>
      <c r="E320" s="86">
        <f>133.845</f>
        <v>133.845</v>
      </c>
      <c r="F320" s="78">
        <f>278.484-40-25-60</f>
        <v>153.48399999999998</v>
      </c>
      <c r="G320" s="80">
        <v>40</v>
      </c>
      <c r="H320" s="78">
        <f t="shared" si="51"/>
        <v>85</v>
      </c>
      <c r="I320" s="78">
        <f t="shared" si="50"/>
        <v>0</v>
      </c>
      <c r="J320" s="80">
        <v>100</v>
      </c>
      <c r="K320" s="80">
        <v>300</v>
      </c>
      <c r="L320" s="78">
        <f t="shared" si="43"/>
        <v>1274</v>
      </c>
      <c r="M320" s="88">
        <v>600</v>
      </c>
      <c r="N320" s="78">
        <f>30</f>
        <v>30</v>
      </c>
      <c r="O320" s="80">
        <v>240</v>
      </c>
      <c r="P320" s="80">
        <v>160</v>
      </c>
      <c r="Q320" s="80">
        <f t="shared" si="44"/>
        <v>195</v>
      </c>
      <c r="R320" s="80">
        <f t="shared" si="45"/>
        <v>100</v>
      </c>
      <c r="S320" s="78">
        <f t="shared" si="46"/>
        <v>695</v>
      </c>
      <c r="T320" s="78">
        <f>0</f>
        <v>0</v>
      </c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</row>
    <row r="321" spans="1:30" ht="15.75" x14ac:dyDescent="0.25">
      <c r="A321" s="14">
        <v>50709</v>
      </c>
      <c r="B321" s="90">
        <v>31</v>
      </c>
      <c r="C321" s="78">
        <f>131.881</f>
        <v>131.881</v>
      </c>
      <c r="D321" s="78">
        <f>277.167</f>
        <v>277.16699999999997</v>
      </c>
      <c r="E321" s="86">
        <f>79.08</f>
        <v>79.08</v>
      </c>
      <c r="F321" s="78">
        <f>350.872-40-25-60</f>
        <v>225.87200000000001</v>
      </c>
      <c r="G321" s="80">
        <v>40</v>
      </c>
      <c r="H321" s="78">
        <f t="shared" si="51"/>
        <v>85</v>
      </c>
      <c r="I321" s="78">
        <f t="shared" si="50"/>
        <v>0</v>
      </c>
      <c r="J321" s="80">
        <v>100</v>
      </c>
      <c r="K321" s="80">
        <v>300</v>
      </c>
      <c r="L321" s="78">
        <f t="shared" si="43"/>
        <v>1239</v>
      </c>
      <c r="M321" s="88">
        <v>600</v>
      </c>
      <c r="N321" s="78">
        <f>75</f>
        <v>75</v>
      </c>
      <c r="O321" s="80">
        <v>240</v>
      </c>
      <c r="P321" s="80">
        <v>160</v>
      </c>
      <c r="Q321" s="80">
        <f t="shared" si="44"/>
        <v>195</v>
      </c>
      <c r="R321" s="80">
        <f t="shared" si="45"/>
        <v>100</v>
      </c>
      <c r="S321" s="78">
        <f t="shared" si="46"/>
        <v>695</v>
      </c>
      <c r="T321" s="78">
        <f>0</f>
        <v>0</v>
      </c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</row>
    <row r="322" spans="1:30" ht="15.75" x14ac:dyDescent="0.25">
      <c r="A322" s="14">
        <v>50739</v>
      </c>
      <c r="B322" s="90">
        <v>30</v>
      </c>
      <c r="C322" s="78">
        <f>122.58</f>
        <v>122.58</v>
      </c>
      <c r="D322" s="78">
        <f>297.941</f>
        <v>297.94099999999997</v>
      </c>
      <c r="E322" s="86">
        <f>89.177</f>
        <v>89.177000000000007</v>
      </c>
      <c r="F322" s="78">
        <f>240.302-40-60</f>
        <v>140.30199999999999</v>
      </c>
      <c r="G322" s="80">
        <v>40</v>
      </c>
      <c r="H322" s="78">
        <v>60</v>
      </c>
      <c r="I322" s="78">
        <f t="shared" si="50"/>
        <v>0</v>
      </c>
      <c r="J322" s="80">
        <v>100</v>
      </c>
      <c r="K322" s="80">
        <v>300</v>
      </c>
      <c r="L322" s="78">
        <f t="shared" si="43"/>
        <v>1150</v>
      </c>
      <c r="M322" s="88">
        <v>600</v>
      </c>
      <c r="N322" s="78">
        <f>100</f>
        <v>100</v>
      </c>
      <c r="O322" s="80">
        <v>240</v>
      </c>
      <c r="P322" s="80">
        <v>40</v>
      </c>
      <c r="Q322" s="80">
        <f t="shared" si="44"/>
        <v>315</v>
      </c>
      <c r="R322" s="80">
        <f t="shared" si="45"/>
        <v>100</v>
      </c>
      <c r="S322" s="78">
        <f t="shared" si="46"/>
        <v>695</v>
      </c>
      <c r="T322" s="78">
        <f>50</f>
        <v>50</v>
      </c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</row>
    <row r="323" spans="1:30" ht="15.75" x14ac:dyDescent="0.25">
      <c r="A323" s="14">
        <v>50770</v>
      </c>
      <c r="B323" s="90">
        <v>31</v>
      </c>
      <c r="C323" s="78">
        <f>122.58</f>
        <v>122.58</v>
      </c>
      <c r="D323" s="78">
        <f>297.941</f>
        <v>297.94099999999997</v>
      </c>
      <c r="E323" s="86">
        <f>89.177</f>
        <v>89.177000000000007</v>
      </c>
      <c r="F323" s="78">
        <f>240.302-40-60</f>
        <v>140.30199999999999</v>
      </c>
      <c r="G323" s="80">
        <v>40</v>
      </c>
      <c r="H323" s="78">
        <v>60</v>
      </c>
      <c r="I323" s="78">
        <f t="shared" si="50"/>
        <v>0</v>
      </c>
      <c r="J323" s="80">
        <v>100</v>
      </c>
      <c r="K323" s="80">
        <v>300</v>
      </c>
      <c r="L323" s="78">
        <f t="shared" si="43"/>
        <v>1150</v>
      </c>
      <c r="M323" s="88">
        <v>600</v>
      </c>
      <c r="N323" s="78">
        <f>100</f>
        <v>100</v>
      </c>
      <c r="O323" s="80">
        <v>240</v>
      </c>
      <c r="P323" s="80">
        <v>40</v>
      </c>
      <c r="Q323" s="80">
        <f t="shared" si="44"/>
        <v>315</v>
      </c>
      <c r="R323" s="80">
        <f t="shared" si="45"/>
        <v>100</v>
      </c>
      <c r="S323" s="78">
        <f t="shared" si="46"/>
        <v>695</v>
      </c>
      <c r="T323" s="78">
        <f>50</f>
        <v>50</v>
      </c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</row>
    <row r="324" spans="1:30" ht="15.75" x14ac:dyDescent="0.25">
      <c r="A324" s="14">
        <v>50801</v>
      </c>
      <c r="B324" s="90">
        <v>31</v>
      </c>
      <c r="C324" s="78">
        <f>122.58</f>
        <v>122.58</v>
      </c>
      <c r="D324" s="78">
        <f>297.941</f>
        <v>297.94099999999997</v>
      </c>
      <c r="E324" s="86">
        <f>89.177</f>
        <v>89.177000000000007</v>
      </c>
      <c r="F324" s="78">
        <f>240.302-40-60</f>
        <v>140.30199999999999</v>
      </c>
      <c r="G324" s="80">
        <v>40</v>
      </c>
      <c r="H324" s="78">
        <v>60</v>
      </c>
      <c r="I324" s="78">
        <f t="shared" si="50"/>
        <v>0</v>
      </c>
      <c r="J324" s="80">
        <v>100</v>
      </c>
      <c r="K324" s="80">
        <v>300</v>
      </c>
      <c r="L324" s="78">
        <f t="shared" si="43"/>
        <v>1150</v>
      </c>
      <c r="M324" s="88">
        <v>600</v>
      </c>
      <c r="N324" s="78">
        <f>100</f>
        <v>100</v>
      </c>
      <c r="O324" s="80">
        <v>240</v>
      </c>
      <c r="P324" s="80">
        <v>40</v>
      </c>
      <c r="Q324" s="80">
        <f t="shared" si="44"/>
        <v>315</v>
      </c>
      <c r="R324" s="80">
        <f t="shared" si="45"/>
        <v>100</v>
      </c>
      <c r="S324" s="78">
        <f t="shared" si="46"/>
        <v>695</v>
      </c>
      <c r="T324" s="78">
        <f>50</f>
        <v>50</v>
      </c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</row>
    <row r="325" spans="1:30" ht="15.75" x14ac:dyDescent="0.25">
      <c r="A325" s="14">
        <v>50829</v>
      </c>
      <c r="B325" s="90">
        <v>28</v>
      </c>
      <c r="C325" s="78">
        <f>122.58</f>
        <v>122.58</v>
      </c>
      <c r="D325" s="78">
        <f>297.941</f>
        <v>297.94099999999997</v>
      </c>
      <c r="E325" s="86">
        <f>89.177</f>
        <v>89.177000000000007</v>
      </c>
      <c r="F325" s="78">
        <f>240.302-40-60</f>
        <v>140.30199999999999</v>
      </c>
      <c r="G325" s="80">
        <v>40</v>
      </c>
      <c r="H325" s="78">
        <v>60</v>
      </c>
      <c r="I325" s="78">
        <f t="shared" si="50"/>
        <v>0</v>
      </c>
      <c r="J325" s="80">
        <v>100</v>
      </c>
      <c r="K325" s="80">
        <v>300</v>
      </c>
      <c r="L325" s="78">
        <f t="shared" si="43"/>
        <v>1150</v>
      </c>
      <c r="M325" s="88">
        <v>600</v>
      </c>
      <c r="N325" s="78">
        <f>100</f>
        <v>100</v>
      </c>
      <c r="O325" s="80">
        <v>240</v>
      </c>
      <c r="P325" s="80">
        <v>40</v>
      </c>
      <c r="Q325" s="80">
        <f t="shared" si="44"/>
        <v>315</v>
      </c>
      <c r="R325" s="80">
        <f t="shared" si="45"/>
        <v>100</v>
      </c>
      <c r="S325" s="78">
        <f t="shared" si="46"/>
        <v>695</v>
      </c>
      <c r="T325" s="78">
        <f>50</f>
        <v>50</v>
      </c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</row>
    <row r="326" spans="1:30" ht="15.75" x14ac:dyDescent="0.25">
      <c r="A326" s="14">
        <v>50860</v>
      </c>
      <c r="B326" s="90">
        <v>31</v>
      </c>
      <c r="C326" s="78">
        <f>122.58</f>
        <v>122.58</v>
      </c>
      <c r="D326" s="78">
        <f>297.941</f>
        <v>297.94099999999997</v>
      </c>
      <c r="E326" s="86">
        <f>89.177</f>
        <v>89.177000000000007</v>
      </c>
      <c r="F326" s="78">
        <f>240.302-40-60</f>
        <v>140.30199999999999</v>
      </c>
      <c r="G326" s="80">
        <v>40</v>
      </c>
      <c r="H326" s="78">
        <v>60</v>
      </c>
      <c r="I326" s="78">
        <f t="shared" si="50"/>
        <v>0</v>
      </c>
      <c r="J326" s="80">
        <v>100</v>
      </c>
      <c r="K326" s="80">
        <v>300</v>
      </c>
      <c r="L326" s="78">
        <f t="shared" si="43"/>
        <v>1150</v>
      </c>
      <c r="M326" s="88">
        <v>600</v>
      </c>
      <c r="N326" s="78">
        <f>100</f>
        <v>100</v>
      </c>
      <c r="O326" s="80">
        <v>240</v>
      </c>
      <c r="P326" s="80">
        <v>40</v>
      </c>
      <c r="Q326" s="80">
        <f t="shared" si="44"/>
        <v>315</v>
      </c>
      <c r="R326" s="80">
        <f t="shared" si="45"/>
        <v>100</v>
      </c>
      <c r="S326" s="78">
        <f t="shared" si="46"/>
        <v>695</v>
      </c>
      <c r="T326" s="78">
        <f>50</f>
        <v>50</v>
      </c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</row>
    <row r="327" spans="1:30" ht="15.75" x14ac:dyDescent="0.25">
      <c r="A327" s="14">
        <v>50890</v>
      </c>
      <c r="B327" s="90">
        <v>30</v>
      </c>
      <c r="C327" s="78">
        <f>141.293</f>
        <v>141.29300000000001</v>
      </c>
      <c r="D327" s="78">
        <f>267.993</f>
        <v>267.99299999999999</v>
      </c>
      <c r="E327" s="86">
        <f>115.016</f>
        <v>115.01600000000001</v>
      </c>
      <c r="F327" s="78">
        <f>314.698-40-25-60</f>
        <v>189.69799999999998</v>
      </c>
      <c r="G327" s="80">
        <v>40</v>
      </c>
      <c r="H327" s="78">
        <f t="shared" ref="H327:H333" si="52">25+60</f>
        <v>85</v>
      </c>
      <c r="I327" s="78">
        <f t="shared" si="50"/>
        <v>0</v>
      </c>
      <c r="J327" s="80">
        <v>100</v>
      </c>
      <c r="K327" s="80">
        <v>300</v>
      </c>
      <c r="L327" s="78">
        <f t="shared" si="43"/>
        <v>1239</v>
      </c>
      <c r="M327" s="88">
        <v>600</v>
      </c>
      <c r="N327" s="78">
        <f>100</f>
        <v>100</v>
      </c>
      <c r="O327" s="80">
        <v>240</v>
      </c>
      <c r="P327" s="80">
        <v>160</v>
      </c>
      <c r="Q327" s="80">
        <f t="shared" si="44"/>
        <v>195</v>
      </c>
      <c r="R327" s="80">
        <f t="shared" si="45"/>
        <v>100</v>
      </c>
      <c r="S327" s="78">
        <f t="shared" si="46"/>
        <v>695</v>
      </c>
      <c r="T327" s="78">
        <f>50</f>
        <v>50</v>
      </c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</row>
    <row r="328" spans="1:30" ht="15.75" x14ac:dyDescent="0.25">
      <c r="A328" s="14">
        <v>50921</v>
      </c>
      <c r="B328" s="90">
        <v>31</v>
      </c>
      <c r="C328" s="78">
        <f>194.205</f>
        <v>194.20500000000001</v>
      </c>
      <c r="D328" s="78">
        <f>267.466</f>
        <v>267.46600000000001</v>
      </c>
      <c r="E328" s="86">
        <f>133.845</f>
        <v>133.845</v>
      </c>
      <c r="F328" s="78">
        <f>278.484-40-25-60</f>
        <v>153.48399999999998</v>
      </c>
      <c r="G328" s="80">
        <v>40</v>
      </c>
      <c r="H328" s="78">
        <f t="shared" si="52"/>
        <v>85</v>
      </c>
      <c r="I328" s="78">
        <f t="shared" si="50"/>
        <v>0</v>
      </c>
      <c r="J328" s="80">
        <v>100</v>
      </c>
      <c r="K328" s="80">
        <v>300</v>
      </c>
      <c r="L328" s="78">
        <f t="shared" si="43"/>
        <v>1274</v>
      </c>
      <c r="M328" s="88">
        <v>600</v>
      </c>
      <c r="N328" s="78">
        <f>75</f>
        <v>75</v>
      </c>
      <c r="O328" s="80">
        <v>240</v>
      </c>
      <c r="P328" s="80">
        <v>160</v>
      </c>
      <c r="Q328" s="80">
        <f t="shared" si="44"/>
        <v>195</v>
      </c>
      <c r="R328" s="80">
        <f t="shared" si="45"/>
        <v>100</v>
      </c>
      <c r="S328" s="78">
        <f t="shared" si="46"/>
        <v>695</v>
      </c>
      <c r="T328" s="78">
        <f>50</f>
        <v>50</v>
      </c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</row>
    <row r="329" spans="1:30" ht="15.75" x14ac:dyDescent="0.25">
      <c r="A329" s="14">
        <v>50951</v>
      </c>
      <c r="B329" s="90">
        <v>30</v>
      </c>
      <c r="C329" s="78">
        <f>194.205</f>
        <v>194.20500000000001</v>
      </c>
      <c r="D329" s="78">
        <f>267.466</f>
        <v>267.46600000000001</v>
      </c>
      <c r="E329" s="86">
        <f>133.845</f>
        <v>133.845</v>
      </c>
      <c r="F329" s="78">
        <f>278.484-40-25-60</f>
        <v>153.48399999999998</v>
      </c>
      <c r="G329" s="80">
        <v>40</v>
      </c>
      <c r="H329" s="78">
        <f t="shared" si="52"/>
        <v>85</v>
      </c>
      <c r="I329" s="78">
        <f t="shared" si="50"/>
        <v>0</v>
      </c>
      <c r="J329" s="80">
        <v>100</v>
      </c>
      <c r="K329" s="80">
        <v>300</v>
      </c>
      <c r="L329" s="78">
        <f t="shared" si="43"/>
        <v>1274</v>
      </c>
      <c r="M329" s="88">
        <v>600</v>
      </c>
      <c r="N329" s="78">
        <f>30</f>
        <v>30</v>
      </c>
      <c r="O329" s="80">
        <v>240</v>
      </c>
      <c r="P329" s="80">
        <v>160</v>
      </c>
      <c r="Q329" s="80">
        <f t="shared" si="44"/>
        <v>195</v>
      </c>
      <c r="R329" s="80">
        <f t="shared" si="45"/>
        <v>100</v>
      </c>
      <c r="S329" s="78">
        <f t="shared" si="46"/>
        <v>695</v>
      </c>
      <c r="T329" s="78">
        <f>50</f>
        <v>50</v>
      </c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</row>
    <row r="330" spans="1:30" ht="15.75" x14ac:dyDescent="0.25">
      <c r="A330" s="14">
        <v>50982</v>
      </c>
      <c r="B330" s="90">
        <v>31</v>
      </c>
      <c r="C330" s="78">
        <f>194.205</f>
        <v>194.20500000000001</v>
      </c>
      <c r="D330" s="78">
        <f>267.466</f>
        <v>267.46600000000001</v>
      </c>
      <c r="E330" s="86">
        <f>133.845</f>
        <v>133.845</v>
      </c>
      <c r="F330" s="78">
        <f>278.484-40-25-60</f>
        <v>153.48399999999998</v>
      </c>
      <c r="G330" s="80">
        <v>40</v>
      </c>
      <c r="H330" s="78">
        <f t="shared" si="52"/>
        <v>85</v>
      </c>
      <c r="I330" s="78">
        <f t="shared" si="50"/>
        <v>0</v>
      </c>
      <c r="J330" s="80">
        <v>100</v>
      </c>
      <c r="K330" s="80">
        <v>300</v>
      </c>
      <c r="L330" s="78">
        <f t="shared" si="43"/>
        <v>1274</v>
      </c>
      <c r="M330" s="88">
        <v>600</v>
      </c>
      <c r="N330" s="78">
        <f>30</f>
        <v>30</v>
      </c>
      <c r="O330" s="80">
        <v>240</v>
      </c>
      <c r="P330" s="80">
        <v>160</v>
      </c>
      <c r="Q330" s="80">
        <f t="shared" si="44"/>
        <v>195</v>
      </c>
      <c r="R330" s="80">
        <f t="shared" si="45"/>
        <v>100</v>
      </c>
      <c r="S330" s="78">
        <f t="shared" si="46"/>
        <v>695</v>
      </c>
      <c r="T330" s="78">
        <f>0</f>
        <v>0</v>
      </c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</row>
    <row r="331" spans="1:30" ht="15.75" x14ac:dyDescent="0.25">
      <c r="A331" s="14">
        <v>51013</v>
      </c>
      <c r="B331" s="90">
        <v>31</v>
      </c>
      <c r="C331" s="78">
        <f>194.205</f>
        <v>194.20500000000001</v>
      </c>
      <c r="D331" s="78">
        <f>267.466</f>
        <v>267.46600000000001</v>
      </c>
      <c r="E331" s="86">
        <f>133.845</f>
        <v>133.845</v>
      </c>
      <c r="F331" s="78">
        <f>278.484-40-25-60</f>
        <v>153.48399999999998</v>
      </c>
      <c r="G331" s="80">
        <v>40</v>
      </c>
      <c r="H331" s="78">
        <f t="shared" si="52"/>
        <v>85</v>
      </c>
      <c r="I331" s="78">
        <f t="shared" si="50"/>
        <v>0</v>
      </c>
      <c r="J331" s="80">
        <v>100</v>
      </c>
      <c r="K331" s="80">
        <v>300</v>
      </c>
      <c r="L331" s="78">
        <f t="shared" si="43"/>
        <v>1274</v>
      </c>
      <c r="M331" s="88">
        <v>600</v>
      </c>
      <c r="N331" s="78">
        <f>30</f>
        <v>30</v>
      </c>
      <c r="O331" s="80">
        <v>240</v>
      </c>
      <c r="P331" s="80">
        <v>160</v>
      </c>
      <c r="Q331" s="80">
        <f t="shared" si="44"/>
        <v>195</v>
      </c>
      <c r="R331" s="80">
        <f t="shared" si="45"/>
        <v>100</v>
      </c>
      <c r="S331" s="78">
        <f t="shared" si="46"/>
        <v>695</v>
      </c>
      <c r="T331" s="78">
        <f>0</f>
        <v>0</v>
      </c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</row>
    <row r="332" spans="1:30" ht="15.75" x14ac:dyDescent="0.25">
      <c r="A332" s="14">
        <v>51043</v>
      </c>
      <c r="B332" s="90">
        <v>30</v>
      </c>
      <c r="C332" s="78">
        <f>194.205</f>
        <v>194.20500000000001</v>
      </c>
      <c r="D332" s="78">
        <f>267.466</f>
        <v>267.46600000000001</v>
      </c>
      <c r="E332" s="86">
        <f>133.845</f>
        <v>133.845</v>
      </c>
      <c r="F332" s="78">
        <f>278.484-40-25-60</f>
        <v>153.48399999999998</v>
      </c>
      <c r="G332" s="80">
        <v>40</v>
      </c>
      <c r="H332" s="78">
        <f t="shared" si="52"/>
        <v>85</v>
      </c>
      <c r="I332" s="78">
        <f t="shared" si="50"/>
        <v>0</v>
      </c>
      <c r="J332" s="80">
        <v>100</v>
      </c>
      <c r="K332" s="80">
        <v>300</v>
      </c>
      <c r="L332" s="78">
        <f t="shared" si="43"/>
        <v>1274</v>
      </c>
      <c r="M332" s="88">
        <v>600</v>
      </c>
      <c r="N332" s="78">
        <f>30</f>
        <v>30</v>
      </c>
      <c r="O332" s="80">
        <v>240</v>
      </c>
      <c r="P332" s="80">
        <v>160</v>
      </c>
      <c r="Q332" s="80">
        <f t="shared" si="44"/>
        <v>195</v>
      </c>
      <c r="R332" s="80">
        <f t="shared" si="45"/>
        <v>100</v>
      </c>
      <c r="S332" s="78">
        <f t="shared" si="46"/>
        <v>695</v>
      </c>
      <c r="T332" s="78">
        <f>0</f>
        <v>0</v>
      </c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</row>
    <row r="333" spans="1:30" ht="15.75" x14ac:dyDescent="0.25">
      <c r="A333" s="14">
        <v>51074</v>
      </c>
      <c r="B333" s="90">
        <v>31</v>
      </c>
      <c r="C333" s="78">
        <f>131.881</f>
        <v>131.881</v>
      </c>
      <c r="D333" s="78">
        <f>277.167</f>
        <v>277.16699999999997</v>
      </c>
      <c r="E333" s="86">
        <f>79.08</f>
        <v>79.08</v>
      </c>
      <c r="F333" s="78">
        <f>350.872-40-25-60</f>
        <v>225.87200000000001</v>
      </c>
      <c r="G333" s="80">
        <v>40</v>
      </c>
      <c r="H333" s="78">
        <f t="shared" si="52"/>
        <v>85</v>
      </c>
      <c r="I333" s="78">
        <f t="shared" si="50"/>
        <v>0</v>
      </c>
      <c r="J333" s="80">
        <v>100</v>
      </c>
      <c r="K333" s="80">
        <v>300</v>
      </c>
      <c r="L333" s="78">
        <f t="shared" si="43"/>
        <v>1239</v>
      </c>
      <c r="M333" s="88">
        <v>600</v>
      </c>
      <c r="N333" s="78">
        <f>75</f>
        <v>75</v>
      </c>
      <c r="O333" s="80">
        <v>240</v>
      </c>
      <c r="P333" s="80">
        <v>160</v>
      </c>
      <c r="Q333" s="80">
        <f t="shared" si="44"/>
        <v>195</v>
      </c>
      <c r="R333" s="80">
        <f t="shared" si="45"/>
        <v>100</v>
      </c>
      <c r="S333" s="78">
        <f t="shared" si="46"/>
        <v>695</v>
      </c>
      <c r="T333" s="78">
        <f>0</f>
        <v>0</v>
      </c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</row>
    <row r="334" spans="1:30" ht="15.75" x14ac:dyDescent="0.25">
      <c r="A334" s="14">
        <v>51104</v>
      </c>
      <c r="B334" s="90">
        <v>30</v>
      </c>
      <c r="C334" s="78">
        <f>122.58</f>
        <v>122.58</v>
      </c>
      <c r="D334" s="78">
        <f>297.941</f>
        <v>297.94099999999997</v>
      </c>
      <c r="E334" s="86">
        <f>89.177</f>
        <v>89.177000000000007</v>
      </c>
      <c r="F334" s="78">
        <f>240.302-40-60</f>
        <v>140.30199999999999</v>
      </c>
      <c r="G334" s="80">
        <v>40</v>
      </c>
      <c r="H334" s="78">
        <v>60</v>
      </c>
      <c r="I334" s="78">
        <f t="shared" si="50"/>
        <v>0</v>
      </c>
      <c r="J334" s="80">
        <v>100</v>
      </c>
      <c r="K334" s="80">
        <v>300</v>
      </c>
      <c r="L334" s="78">
        <f t="shared" ref="L334:L397" si="53">SUM(C334:K334)</f>
        <v>1150</v>
      </c>
      <c r="M334" s="88">
        <v>600</v>
      </c>
      <c r="N334" s="78">
        <f>100</f>
        <v>100</v>
      </c>
      <c r="O334" s="80">
        <v>240</v>
      </c>
      <c r="P334" s="80">
        <v>40</v>
      </c>
      <c r="Q334" s="80">
        <f t="shared" ref="Q334:Q397" si="54">695-R334-O334-P334</f>
        <v>315</v>
      </c>
      <c r="R334" s="80">
        <f t="shared" ref="R334:R397" si="55">200-J334</f>
        <v>100</v>
      </c>
      <c r="S334" s="78">
        <f t="shared" ref="S334:S397" si="56">SUM(O334:R334)</f>
        <v>695</v>
      </c>
      <c r="T334" s="78">
        <f>50</f>
        <v>50</v>
      </c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</row>
    <row r="335" spans="1:30" ht="15.75" x14ac:dyDescent="0.25">
      <c r="A335" s="14">
        <v>51135</v>
      </c>
      <c r="B335" s="90">
        <v>31</v>
      </c>
      <c r="C335" s="78">
        <f>122.58</f>
        <v>122.58</v>
      </c>
      <c r="D335" s="78">
        <f>297.941</f>
        <v>297.94099999999997</v>
      </c>
      <c r="E335" s="86">
        <f>89.177</f>
        <v>89.177000000000007</v>
      </c>
      <c r="F335" s="78">
        <f>240.302-40-60</f>
        <v>140.30199999999999</v>
      </c>
      <c r="G335" s="80">
        <v>40</v>
      </c>
      <c r="H335" s="78">
        <v>60</v>
      </c>
      <c r="I335" s="78">
        <f t="shared" si="50"/>
        <v>0</v>
      </c>
      <c r="J335" s="80">
        <v>100</v>
      </c>
      <c r="K335" s="80">
        <v>300</v>
      </c>
      <c r="L335" s="78">
        <f t="shared" si="53"/>
        <v>1150</v>
      </c>
      <c r="M335" s="88">
        <v>600</v>
      </c>
      <c r="N335" s="78">
        <f>100</f>
        <v>100</v>
      </c>
      <c r="O335" s="80">
        <v>240</v>
      </c>
      <c r="P335" s="80">
        <v>40</v>
      </c>
      <c r="Q335" s="80">
        <f t="shared" si="54"/>
        <v>315</v>
      </c>
      <c r="R335" s="80">
        <f t="shared" si="55"/>
        <v>100</v>
      </c>
      <c r="S335" s="78">
        <f t="shared" si="56"/>
        <v>695</v>
      </c>
      <c r="T335" s="78">
        <f>50</f>
        <v>50</v>
      </c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</row>
    <row r="336" spans="1:30" ht="15.75" x14ac:dyDescent="0.25">
      <c r="A336" s="14">
        <v>51166</v>
      </c>
      <c r="B336" s="90">
        <v>31</v>
      </c>
      <c r="C336" s="78">
        <f>122.58</f>
        <v>122.58</v>
      </c>
      <c r="D336" s="78">
        <f>297.941</f>
        <v>297.94099999999997</v>
      </c>
      <c r="E336" s="86">
        <f>89.177</f>
        <v>89.177000000000007</v>
      </c>
      <c r="F336" s="78">
        <f>240.302-40-60</f>
        <v>140.30199999999999</v>
      </c>
      <c r="G336" s="80">
        <v>40</v>
      </c>
      <c r="H336" s="78">
        <v>60</v>
      </c>
      <c r="I336" s="78">
        <f t="shared" si="50"/>
        <v>0</v>
      </c>
      <c r="J336" s="80">
        <v>100</v>
      </c>
      <c r="K336" s="80">
        <v>300</v>
      </c>
      <c r="L336" s="78">
        <f t="shared" si="53"/>
        <v>1150</v>
      </c>
      <c r="M336" s="88">
        <v>600</v>
      </c>
      <c r="N336" s="78">
        <f>100</f>
        <v>100</v>
      </c>
      <c r="O336" s="80">
        <v>240</v>
      </c>
      <c r="P336" s="80">
        <v>40</v>
      </c>
      <c r="Q336" s="80">
        <f t="shared" si="54"/>
        <v>315</v>
      </c>
      <c r="R336" s="80">
        <f t="shared" si="55"/>
        <v>100</v>
      </c>
      <c r="S336" s="78">
        <f t="shared" si="56"/>
        <v>695</v>
      </c>
      <c r="T336" s="78">
        <f>50</f>
        <v>50</v>
      </c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</row>
    <row r="337" spans="1:30" ht="15.75" x14ac:dyDescent="0.25">
      <c r="A337" s="14">
        <v>51194</v>
      </c>
      <c r="B337" s="90">
        <v>29</v>
      </c>
      <c r="C337" s="78">
        <f>122.58</f>
        <v>122.58</v>
      </c>
      <c r="D337" s="78">
        <f>297.941</f>
        <v>297.94099999999997</v>
      </c>
      <c r="E337" s="86">
        <f>89.177</f>
        <v>89.177000000000007</v>
      </c>
      <c r="F337" s="78">
        <f>240.302-40-60</f>
        <v>140.30199999999999</v>
      </c>
      <c r="G337" s="80">
        <v>40</v>
      </c>
      <c r="H337" s="78">
        <v>60</v>
      </c>
      <c r="I337" s="78">
        <f t="shared" si="50"/>
        <v>0</v>
      </c>
      <c r="J337" s="80">
        <v>100</v>
      </c>
      <c r="K337" s="80">
        <v>300</v>
      </c>
      <c r="L337" s="78">
        <f t="shared" si="53"/>
        <v>1150</v>
      </c>
      <c r="M337" s="88">
        <v>600</v>
      </c>
      <c r="N337" s="78">
        <f>100</f>
        <v>100</v>
      </c>
      <c r="O337" s="80">
        <v>240</v>
      </c>
      <c r="P337" s="80">
        <v>40</v>
      </c>
      <c r="Q337" s="80">
        <f t="shared" si="54"/>
        <v>315</v>
      </c>
      <c r="R337" s="80">
        <f t="shared" si="55"/>
        <v>100</v>
      </c>
      <c r="S337" s="78">
        <f t="shared" si="56"/>
        <v>695</v>
      </c>
      <c r="T337" s="78">
        <f>50</f>
        <v>50</v>
      </c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</row>
    <row r="338" spans="1:30" ht="15.75" x14ac:dyDescent="0.25">
      <c r="A338" s="14">
        <v>51226</v>
      </c>
      <c r="B338" s="90">
        <v>31</v>
      </c>
      <c r="C338" s="78">
        <f>122.58</f>
        <v>122.58</v>
      </c>
      <c r="D338" s="78">
        <f>297.941</f>
        <v>297.94099999999997</v>
      </c>
      <c r="E338" s="86">
        <f>89.177</f>
        <v>89.177000000000007</v>
      </c>
      <c r="F338" s="78">
        <f>240.302-40-60</f>
        <v>140.30199999999999</v>
      </c>
      <c r="G338" s="80">
        <v>40</v>
      </c>
      <c r="H338" s="78">
        <v>60</v>
      </c>
      <c r="I338" s="78">
        <f t="shared" si="50"/>
        <v>0</v>
      </c>
      <c r="J338" s="80">
        <v>100</v>
      </c>
      <c r="K338" s="80">
        <v>300</v>
      </c>
      <c r="L338" s="78">
        <f t="shared" si="53"/>
        <v>1150</v>
      </c>
      <c r="M338" s="88">
        <v>600</v>
      </c>
      <c r="N338" s="78">
        <f>100</f>
        <v>100</v>
      </c>
      <c r="O338" s="80">
        <v>240</v>
      </c>
      <c r="P338" s="80">
        <v>40</v>
      </c>
      <c r="Q338" s="80">
        <f t="shared" si="54"/>
        <v>315</v>
      </c>
      <c r="R338" s="80">
        <f t="shared" si="55"/>
        <v>100</v>
      </c>
      <c r="S338" s="78">
        <f t="shared" si="56"/>
        <v>695</v>
      </c>
      <c r="T338" s="78">
        <f>50</f>
        <v>50</v>
      </c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</row>
    <row r="339" spans="1:30" ht="15.75" x14ac:dyDescent="0.25">
      <c r="A339" s="14">
        <v>51256</v>
      </c>
      <c r="B339" s="90">
        <v>30</v>
      </c>
      <c r="C339" s="78">
        <f>141.293</f>
        <v>141.29300000000001</v>
      </c>
      <c r="D339" s="78">
        <f>267.993</f>
        <v>267.99299999999999</v>
      </c>
      <c r="E339" s="86">
        <f>115.016</f>
        <v>115.01600000000001</v>
      </c>
      <c r="F339" s="78">
        <f>314.698-40-25-60</f>
        <v>189.69799999999998</v>
      </c>
      <c r="G339" s="80">
        <v>40</v>
      </c>
      <c r="H339" s="78">
        <f t="shared" ref="H339:H345" si="57">25+60</f>
        <v>85</v>
      </c>
      <c r="I339" s="78">
        <f t="shared" si="50"/>
        <v>0</v>
      </c>
      <c r="J339" s="80">
        <v>100</v>
      </c>
      <c r="K339" s="80">
        <v>300</v>
      </c>
      <c r="L339" s="78">
        <f t="shared" si="53"/>
        <v>1239</v>
      </c>
      <c r="M339" s="88">
        <v>600</v>
      </c>
      <c r="N339" s="78">
        <f>100</f>
        <v>100</v>
      </c>
      <c r="O339" s="80">
        <v>240</v>
      </c>
      <c r="P339" s="80">
        <v>160</v>
      </c>
      <c r="Q339" s="80">
        <f t="shared" si="54"/>
        <v>195</v>
      </c>
      <c r="R339" s="80">
        <f t="shared" si="55"/>
        <v>100</v>
      </c>
      <c r="S339" s="78">
        <f t="shared" si="56"/>
        <v>695</v>
      </c>
      <c r="T339" s="78">
        <f>50</f>
        <v>50</v>
      </c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</row>
    <row r="340" spans="1:30" ht="15.75" x14ac:dyDescent="0.25">
      <c r="A340" s="14">
        <v>51287</v>
      </c>
      <c r="B340" s="90">
        <v>31</v>
      </c>
      <c r="C340" s="78">
        <f>194.205</f>
        <v>194.20500000000001</v>
      </c>
      <c r="D340" s="78">
        <f>267.466</f>
        <v>267.46600000000001</v>
      </c>
      <c r="E340" s="86">
        <f>133.845</f>
        <v>133.845</v>
      </c>
      <c r="F340" s="78">
        <f>278.484-40-25-60</f>
        <v>153.48399999999998</v>
      </c>
      <c r="G340" s="80">
        <v>40</v>
      </c>
      <c r="H340" s="78">
        <f t="shared" si="57"/>
        <v>85</v>
      </c>
      <c r="I340" s="78">
        <f t="shared" si="50"/>
        <v>0</v>
      </c>
      <c r="J340" s="80">
        <v>100</v>
      </c>
      <c r="K340" s="80">
        <v>300</v>
      </c>
      <c r="L340" s="78">
        <f t="shared" si="53"/>
        <v>1274</v>
      </c>
      <c r="M340" s="88">
        <v>600</v>
      </c>
      <c r="N340" s="78">
        <f>75</f>
        <v>75</v>
      </c>
      <c r="O340" s="80">
        <v>240</v>
      </c>
      <c r="P340" s="80">
        <v>160</v>
      </c>
      <c r="Q340" s="80">
        <f t="shared" si="54"/>
        <v>195</v>
      </c>
      <c r="R340" s="80">
        <f t="shared" si="55"/>
        <v>100</v>
      </c>
      <c r="S340" s="78">
        <f t="shared" si="56"/>
        <v>695</v>
      </c>
      <c r="T340" s="78">
        <f>50</f>
        <v>50</v>
      </c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</row>
    <row r="341" spans="1:30" ht="15.75" x14ac:dyDescent="0.25">
      <c r="A341" s="14">
        <v>51317</v>
      </c>
      <c r="B341" s="90">
        <v>30</v>
      </c>
      <c r="C341" s="78">
        <f>194.205</f>
        <v>194.20500000000001</v>
      </c>
      <c r="D341" s="78">
        <f>267.466</f>
        <v>267.46600000000001</v>
      </c>
      <c r="E341" s="86">
        <f>133.845</f>
        <v>133.845</v>
      </c>
      <c r="F341" s="78">
        <f>278.484-40-25-60</f>
        <v>153.48399999999998</v>
      </c>
      <c r="G341" s="80">
        <v>40</v>
      </c>
      <c r="H341" s="78">
        <f t="shared" si="57"/>
        <v>85</v>
      </c>
      <c r="I341" s="78">
        <f t="shared" si="50"/>
        <v>0</v>
      </c>
      <c r="J341" s="80">
        <v>100</v>
      </c>
      <c r="K341" s="80">
        <v>300</v>
      </c>
      <c r="L341" s="78">
        <f t="shared" si="53"/>
        <v>1274</v>
      </c>
      <c r="M341" s="88">
        <v>600</v>
      </c>
      <c r="N341" s="78">
        <f>30</f>
        <v>30</v>
      </c>
      <c r="O341" s="80">
        <v>240</v>
      </c>
      <c r="P341" s="80">
        <v>160</v>
      </c>
      <c r="Q341" s="80">
        <f t="shared" si="54"/>
        <v>195</v>
      </c>
      <c r="R341" s="80">
        <f t="shared" si="55"/>
        <v>100</v>
      </c>
      <c r="S341" s="78">
        <f t="shared" si="56"/>
        <v>695</v>
      </c>
      <c r="T341" s="78">
        <f>50</f>
        <v>50</v>
      </c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</row>
    <row r="342" spans="1:30" ht="15.75" x14ac:dyDescent="0.25">
      <c r="A342" s="14">
        <v>51348</v>
      </c>
      <c r="B342" s="90">
        <v>31</v>
      </c>
      <c r="C342" s="78">
        <f>194.205</f>
        <v>194.20500000000001</v>
      </c>
      <c r="D342" s="78">
        <f>267.466</f>
        <v>267.46600000000001</v>
      </c>
      <c r="E342" s="86">
        <f>133.845</f>
        <v>133.845</v>
      </c>
      <c r="F342" s="78">
        <f>278.484-40-25-60</f>
        <v>153.48399999999998</v>
      </c>
      <c r="G342" s="80">
        <v>40</v>
      </c>
      <c r="H342" s="78">
        <f t="shared" si="57"/>
        <v>85</v>
      </c>
      <c r="I342" s="78">
        <f t="shared" si="50"/>
        <v>0</v>
      </c>
      <c r="J342" s="80">
        <v>100</v>
      </c>
      <c r="K342" s="80">
        <v>300</v>
      </c>
      <c r="L342" s="78">
        <f t="shared" si="53"/>
        <v>1274</v>
      </c>
      <c r="M342" s="88">
        <v>600</v>
      </c>
      <c r="N342" s="78">
        <f>30</f>
        <v>30</v>
      </c>
      <c r="O342" s="80">
        <v>240</v>
      </c>
      <c r="P342" s="80">
        <v>160</v>
      </c>
      <c r="Q342" s="80">
        <f t="shared" si="54"/>
        <v>195</v>
      </c>
      <c r="R342" s="80">
        <f t="shared" si="55"/>
        <v>100</v>
      </c>
      <c r="S342" s="78">
        <f t="shared" si="56"/>
        <v>695</v>
      </c>
      <c r="T342" s="78">
        <f>0</f>
        <v>0</v>
      </c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</row>
    <row r="343" spans="1:30" ht="15.75" x14ac:dyDescent="0.25">
      <c r="A343" s="14">
        <v>51379</v>
      </c>
      <c r="B343" s="90">
        <v>31</v>
      </c>
      <c r="C343" s="78">
        <f>194.205</f>
        <v>194.20500000000001</v>
      </c>
      <c r="D343" s="78">
        <f>267.466</f>
        <v>267.46600000000001</v>
      </c>
      <c r="E343" s="86">
        <f>133.845</f>
        <v>133.845</v>
      </c>
      <c r="F343" s="78">
        <f>278.484-40-25-60</f>
        <v>153.48399999999998</v>
      </c>
      <c r="G343" s="80">
        <v>40</v>
      </c>
      <c r="H343" s="78">
        <f t="shared" si="57"/>
        <v>85</v>
      </c>
      <c r="I343" s="78">
        <f t="shared" si="50"/>
        <v>0</v>
      </c>
      <c r="J343" s="80">
        <v>100</v>
      </c>
      <c r="K343" s="80">
        <v>300</v>
      </c>
      <c r="L343" s="78">
        <f t="shared" si="53"/>
        <v>1274</v>
      </c>
      <c r="M343" s="88">
        <v>600</v>
      </c>
      <c r="N343" s="78">
        <f>30</f>
        <v>30</v>
      </c>
      <c r="O343" s="80">
        <v>240</v>
      </c>
      <c r="P343" s="80">
        <v>160</v>
      </c>
      <c r="Q343" s="80">
        <f t="shared" si="54"/>
        <v>195</v>
      </c>
      <c r="R343" s="80">
        <f t="shared" si="55"/>
        <v>100</v>
      </c>
      <c r="S343" s="78">
        <f t="shared" si="56"/>
        <v>695</v>
      </c>
      <c r="T343" s="78">
        <f>0</f>
        <v>0</v>
      </c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</row>
    <row r="344" spans="1:30" ht="15.75" x14ac:dyDescent="0.25">
      <c r="A344" s="14">
        <v>51409</v>
      </c>
      <c r="B344" s="90">
        <v>30</v>
      </c>
      <c r="C344" s="78">
        <f>194.205</f>
        <v>194.20500000000001</v>
      </c>
      <c r="D344" s="78">
        <f>267.466</f>
        <v>267.46600000000001</v>
      </c>
      <c r="E344" s="86">
        <f>133.845</f>
        <v>133.845</v>
      </c>
      <c r="F344" s="78">
        <f>278.484-40-25-60</f>
        <v>153.48399999999998</v>
      </c>
      <c r="G344" s="80">
        <v>40</v>
      </c>
      <c r="H344" s="78">
        <f t="shared" si="57"/>
        <v>85</v>
      </c>
      <c r="I344" s="78">
        <f t="shared" si="50"/>
        <v>0</v>
      </c>
      <c r="J344" s="80">
        <v>100</v>
      </c>
      <c r="K344" s="80">
        <v>300</v>
      </c>
      <c r="L344" s="78">
        <f t="shared" si="53"/>
        <v>1274</v>
      </c>
      <c r="M344" s="88">
        <v>600</v>
      </c>
      <c r="N344" s="78">
        <f>30</f>
        <v>30</v>
      </c>
      <c r="O344" s="80">
        <v>240</v>
      </c>
      <c r="P344" s="80">
        <v>160</v>
      </c>
      <c r="Q344" s="80">
        <f t="shared" si="54"/>
        <v>195</v>
      </c>
      <c r="R344" s="80">
        <f t="shared" si="55"/>
        <v>100</v>
      </c>
      <c r="S344" s="78">
        <f t="shared" si="56"/>
        <v>695</v>
      </c>
      <c r="T344" s="78">
        <f>0</f>
        <v>0</v>
      </c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</row>
    <row r="345" spans="1:30" ht="15.75" x14ac:dyDescent="0.25">
      <c r="A345" s="14">
        <v>51440</v>
      </c>
      <c r="B345" s="90">
        <v>31</v>
      </c>
      <c r="C345" s="78">
        <f>131.881</f>
        <v>131.881</v>
      </c>
      <c r="D345" s="78">
        <f>277.167</f>
        <v>277.16699999999997</v>
      </c>
      <c r="E345" s="86">
        <f>79.08</f>
        <v>79.08</v>
      </c>
      <c r="F345" s="78">
        <f>350.872-40-25-60</f>
        <v>225.87200000000001</v>
      </c>
      <c r="G345" s="80">
        <v>40</v>
      </c>
      <c r="H345" s="78">
        <f t="shared" si="57"/>
        <v>85</v>
      </c>
      <c r="I345" s="78">
        <f t="shared" si="50"/>
        <v>0</v>
      </c>
      <c r="J345" s="80">
        <v>100</v>
      </c>
      <c r="K345" s="80">
        <v>300</v>
      </c>
      <c r="L345" s="78">
        <f t="shared" si="53"/>
        <v>1239</v>
      </c>
      <c r="M345" s="88">
        <v>600</v>
      </c>
      <c r="N345" s="78">
        <f>75</f>
        <v>75</v>
      </c>
      <c r="O345" s="80">
        <v>240</v>
      </c>
      <c r="P345" s="80">
        <v>160</v>
      </c>
      <c r="Q345" s="80">
        <f t="shared" si="54"/>
        <v>195</v>
      </c>
      <c r="R345" s="80">
        <f t="shared" si="55"/>
        <v>100</v>
      </c>
      <c r="S345" s="78">
        <f t="shared" si="56"/>
        <v>695</v>
      </c>
      <c r="T345" s="78">
        <f>0</f>
        <v>0</v>
      </c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</row>
    <row r="346" spans="1:30" ht="15.75" x14ac:dyDescent="0.25">
      <c r="A346" s="14">
        <v>51470</v>
      </c>
      <c r="B346" s="90">
        <v>30</v>
      </c>
      <c r="C346" s="78">
        <f>122.58</f>
        <v>122.58</v>
      </c>
      <c r="D346" s="78">
        <f>297.941</f>
        <v>297.94099999999997</v>
      </c>
      <c r="E346" s="86">
        <f>89.177</f>
        <v>89.177000000000007</v>
      </c>
      <c r="F346" s="78">
        <f>240.302-40-60</f>
        <v>140.30199999999999</v>
      </c>
      <c r="G346" s="80">
        <v>40</v>
      </c>
      <c r="H346" s="78">
        <v>60</v>
      </c>
      <c r="I346" s="78">
        <f t="shared" si="50"/>
        <v>0</v>
      </c>
      <c r="J346" s="80">
        <v>100</v>
      </c>
      <c r="K346" s="80">
        <v>300</v>
      </c>
      <c r="L346" s="78">
        <f t="shared" si="53"/>
        <v>1150</v>
      </c>
      <c r="M346" s="88">
        <v>600</v>
      </c>
      <c r="N346" s="78">
        <f>100</f>
        <v>100</v>
      </c>
      <c r="O346" s="80">
        <v>240</v>
      </c>
      <c r="P346" s="80">
        <v>40</v>
      </c>
      <c r="Q346" s="80">
        <f t="shared" si="54"/>
        <v>315</v>
      </c>
      <c r="R346" s="80">
        <f t="shared" si="55"/>
        <v>100</v>
      </c>
      <c r="S346" s="78">
        <f t="shared" si="56"/>
        <v>695</v>
      </c>
      <c r="T346" s="78">
        <f>50</f>
        <v>50</v>
      </c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</row>
    <row r="347" spans="1:30" ht="15.75" x14ac:dyDescent="0.25">
      <c r="A347" s="14">
        <v>51501</v>
      </c>
      <c r="B347" s="90">
        <v>31</v>
      </c>
      <c r="C347" s="78">
        <f>122.58</f>
        <v>122.58</v>
      </c>
      <c r="D347" s="78">
        <f>297.941</f>
        <v>297.94099999999997</v>
      </c>
      <c r="E347" s="86">
        <f>89.177</f>
        <v>89.177000000000007</v>
      </c>
      <c r="F347" s="78">
        <f>240.302-40-60</f>
        <v>140.30199999999999</v>
      </c>
      <c r="G347" s="80">
        <v>40</v>
      </c>
      <c r="H347" s="78">
        <v>60</v>
      </c>
      <c r="I347" s="78">
        <f t="shared" si="50"/>
        <v>0</v>
      </c>
      <c r="J347" s="80">
        <v>100</v>
      </c>
      <c r="K347" s="80">
        <v>300</v>
      </c>
      <c r="L347" s="78">
        <f t="shared" si="53"/>
        <v>1150</v>
      </c>
      <c r="M347" s="88">
        <v>600</v>
      </c>
      <c r="N347" s="78">
        <f>100</f>
        <v>100</v>
      </c>
      <c r="O347" s="80">
        <v>240</v>
      </c>
      <c r="P347" s="80">
        <v>40</v>
      </c>
      <c r="Q347" s="80">
        <f t="shared" si="54"/>
        <v>315</v>
      </c>
      <c r="R347" s="80">
        <f t="shared" si="55"/>
        <v>100</v>
      </c>
      <c r="S347" s="78">
        <f t="shared" si="56"/>
        <v>695</v>
      </c>
      <c r="T347" s="78">
        <f>50</f>
        <v>50</v>
      </c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</row>
    <row r="348" spans="1:30" ht="15.75" x14ac:dyDescent="0.25">
      <c r="A348" s="14">
        <v>51532</v>
      </c>
      <c r="B348" s="90">
        <v>31</v>
      </c>
      <c r="C348" s="78">
        <f>122.58</f>
        <v>122.58</v>
      </c>
      <c r="D348" s="78">
        <f>297.941</f>
        <v>297.94099999999997</v>
      </c>
      <c r="E348" s="86">
        <f>89.177</f>
        <v>89.177000000000007</v>
      </c>
      <c r="F348" s="78">
        <f>240.302-40-60</f>
        <v>140.30199999999999</v>
      </c>
      <c r="G348" s="80">
        <v>40</v>
      </c>
      <c r="H348" s="78">
        <v>60</v>
      </c>
      <c r="I348" s="78">
        <f t="shared" si="50"/>
        <v>0</v>
      </c>
      <c r="J348" s="80">
        <v>100</v>
      </c>
      <c r="K348" s="80">
        <v>300</v>
      </c>
      <c r="L348" s="78">
        <f t="shared" si="53"/>
        <v>1150</v>
      </c>
      <c r="M348" s="88">
        <v>600</v>
      </c>
      <c r="N348" s="78">
        <f>100</f>
        <v>100</v>
      </c>
      <c r="O348" s="80">
        <v>240</v>
      </c>
      <c r="P348" s="80">
        <v>40</v>
      </c>
      <c r="Q348" s="80">
        <f t="shared" si="54"/>
        <v>315</v>
      </c>
      <c r="R348" s="80">
        <f t="shared" si="55"/>
        <v>100</v>
      </c>
      <c r="S348" s="78">
        <f t="shared" si="56"/>
        <v>695</v>
      </c>
      <c r="T348" s="78">
        <f>50</f>
        <v>50</v>
      </c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</row>
    <row r="349" spans="1:30" ht="15.75" x14ac:dyDescent="0.25">
      <c r="A349" s="14">
        <v>51560</v>
      </c>
      <c r="B349" s="90">
        <v>28</v>
      </c>
      <c r="C349" s="78">
        <f>122.58</f>
        <v>122.58</v>
      </c>
      <c r="D349" s="78">
        <f>297.941</f>
        <v>297.94099999999997</v>
      </c>
      <c r="E349" s="86">
        <f>89.177</f>
        <v>89.177000000000007</v>
      </c>
      <c r="F349" s="78">
        <f>240.302-40-60</f>
        <v>140.30199999999999</v>
      </c>
      <c r="G349" s="80">
        <v>40</v>
      </c>
      <c r="H349" s="78">
        <v>60</v>
      </c>
      <c r="I349" s="78">
        <f t="shared" si="50"/>
        <v>0</v>
      </c>
      <c r="J349" s="80">
        <v>100</v>
      </c>
      <c r="K349" s="80">
        <v>300</v>
      </c>
      <c r="L349" s="78">
        <f t="shared" si="53"/>
        <v>1150</v>
      </c>
      <c r="M349" s="88">
        <v>600</v>
      </c>
      <c r="N349" s="78">
        <f>100</f>
        <v>100</v>
      </c>
      <c r="O349" s="80">
        <v>240</v>
      </c>
      <c r="P349" s="80">
        <v>40</v>
      </c>
      <c r="Q349" s="80">
        <f t="shared" si="54"/>
        <v>315</v>
      </c>
      <c r="R349" s="80">
        <f t="shared" si="55"/>
        <v>100</v>
      </c>
      <c r="S349" s="78">
        <f t="shared" si="56"/>
        <v>695</v>
      </c>
      <c r="T349" s="78">
        <f>50</f>
        <v>50</v>
      </c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</row>
    <row r="350" spans="1:30" ht="15.75" x14ac:dyDescent="0.25">
      <c r="A350" s="14">
        <v>51591</v>
      </c>
      <c r="B350" s="90">
        <v>31</v>
      </c>
      <c r="C350" s="78">
        <f>122.58</f>
        <v>122.58</v>
      </c>
      <c r="D350" s="78">
        <f>297.941</f>
        <v>297.94099999999997</v>
      </c>
      <c r="E350" s="86">
        <f>89.177</f>
        <v>89.177000000000007</v>
      </c>
      <c r="F350" s="78">
        <f>240.302-40-60</f>
        <v>140.30199999999999</v>
      </c>
      <c r="G350" s="80">
        <v>40</v>
      </c>
      <c r="H350" s="78">
        <v>60</v>
      </c>
      <c r="I350" s="78">
        <f t="shared" si="50"/>
        <v>0</v>
      </c>
      <c r="J350" s="80">
        <v>100</v>
      </c>
      <c r="K350" s="80">
        <v>300</v>
      </c>
      <c r="L350" s="78">
        <f t="shared" si="53"/>
        <v>1150</v>
      </c>
      <c r="M350" s="88">
        <v>600</v>
      </c>
      <c r="N350" s="78">
        <f>100</f>
        <v>100</v>
      </c>
      <c r="O350" s="80">
        <v>240</v>
      </c>
      <c r="P350" s="80">
        <v>40</v>
      </c>
      <c r="Q350" s="80">
        <f t="shared" si="54"/>
        <v>315</v>
      </c>
      <c r="R350" s="80">
        <f t="shared" si="55"/>
        <v>100</v>
      </c>
      <c r="S350" s="78">
        <f t="shared" si="56"/>
        <v>695</v>
      </c>
      <c r="T350" s="78">
        <f>50</f>
        <v>50</v>
      </c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</row>
    <row r="351" spans="1:30" ht="15.75" x14ac:dyDescent="0.25">
      <c r="A351" s="14">
        <v>51621</v>
      </c>
      <c r="B351" s="90">
        <v>30</v>
      </c>
      <c r="C351" s="78">
        <f>141.293</f>
        <v>141.29300000000001</v>
      </c>
      <c r="D351" s="78">
        <f>267.993</f>
        <v>267.99299999999999</v>
      </c>
      <c r="E351" s="86">
        <f>115.016</f>
        <v>115.01600000000001</v>
      </c>
      <c r="F351" s="78">
        <f>314.698-40-25-60</f>
        <v>189.69799999999998</v>
      </c>
      <c r="G351" s="80">
        <v>40</v>
      </c>
      <c r="H351" s="78">
        <f t="shared" ref="H351:H357" si="58">25+60</f>
        <v>85</v>
      </c>
      <c r="I351" s="78">
        <f t="shared" si="50"/>
        <v>0</v>
      </c>
      <c r="J351" s="80">
        <v>100</v>
      </c>
      <c r="K351" s="80">
        <v>300</v>
      </c>
      <c r="L351" s="78">
        <f t="shared" si="53"/>
        <v>1239</v>
      </c>
      <c r="M351" s="88">
        <v>600</v>
      </c>
      <c r="N351" s="78">
        <f>100</f>
        <v>100</v>
      </c>
      <c r="O351" s="80">
        <v>240</v>
      </c>
      <c r="P351" s="80">
        <v>160</v>
      </c>
      <c r="Q351" s="80">
        <f t="shared" si="54"/>
        <v>195</v>
      </c>
      <c r="R351" s="80">
        <f t="shared" si="55"/>
        <v>100</v>
      </c>
      <c r="S351" s="78">
        <f t="shared" si="56"/>
        <v>695</v>
      </c>
      <c r="T351" s="78">
        <f>50</f>
        <v>50</v>
      </c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</row>
    <row r="352" spans="1:30" ht="15.75" x14ac:dyDescent="0.25">
      <c r="A352" s="14">
        <v>51652</v>
      </c>
      <c r="B352" s="90">
        <v>31</v>
      </c>
      <c r="C352" s="78">
        <f>194.205</f>
        <v>194.20500000000001</v>
      </c>
      <c r="D352" s="78">
        <f>267.466</f>
        <v>267.46600000000001</v>
      </c>
      <c r="E352" s="86">
        <f>133.845</f>
        <v>133.845</v>
      </c>
      <c r="F352" s="78">
        <f>278.484-40-25-60</f>
        <v>153.48399999999998</v>
      </c>
      <c r="G352" s="80">
        <v>40</v>
      </c>
      <c r="H352" s="78">
        <f t="shared" si="58"/>
        <v>85</v>
      </c>
      <c r="I352" s="78">
        <f t="shared" si="50"/>
        <v>0</v>
      </c>
      <c r="J352" s="80">
        <v>100</v>
      </c>
      <c r="K352" s="80">
        <v>300</v>
      </c>
      <c r="L352" s="78">
        <f t="shared" si="53"/>
        <v>1274</v>
      </c>
      <c r="M352" s="88">
        <v>600</v>
      </c>
      <c r="N352" s="78">
        <f>75</f>
        <v>75</v>
      </c>
      <c r="O352" s="80">
        <v>240</v>
      </c>
      <c r="P352" s="80">
        <v>160</v>
      </c>
      <c r="Q352" s="80">
        <f t="shared" si="54"/>
        <v>195</v>
      </c>
      <c r="R352" s="80">
        <f t="shared" si="55"/>
        <v>100</v>
      </c>
      <c r="S352" s="78">
        <f t="shared" si="56"/>
        <v>695</v>
      </c>
      <c r="T352" s="78">
        <f>50</f>
        <v>50</v>
      </c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</row>
    <row r="353" spans="1:30" ht="15.75" x14ac:dyDescent="0.25">
      <c r="A353" s="14">
        <v>51682</v>
      </c>
      <c r="B353" s="90">
        <v>30</v>
      </c>
      <c r="C353" s="78">
        <f>194.205</f>
        <v>194.20500000000001</v>
      </c>
      <c r="D353" s="78">
        <f>267.466</f>
        <v>267.46600000000001</v>
      </c>
      <c r="E353" s="86">
        <f>133.845</f>
        <v>133.845</v>
      </c>
      <c r="F353" s="78">
        <f>278.484-40-25-60</f>
        <v>153.48399999999998</v>
      </c>
      <c r="G353" s="80">
        <v>40</v>
      </c>
      <c r="H353" s="78">
        <f t="shared" si="58"/>
        <v>85</v>
      </c>
      <c r="I353" s="78">
        <f t="shared" si="50"/>
        <v>0</v>
      </c>
      <c r="J353" s="80">
        <v>100</v>
      </c>
      <c r="K353" s="80">
        <v>300</v>
      </c>
      <c r="L353" s="78">
        <f t="shared" si="53"/>
        <v>1274</v>
      </c>
      <c r="M353" s="88">
        <v>600</v>
      </c>
      <c r="N353" s="78">
        <f>30</f>
        <v>30</v>
      </c>
      <c r="O353" s="80">
        <v>240</v>
      </c>
      <c r="P353" s="80">
        <v>160</v>
      </c>
      <c r="Q353" s="80">
        <f t="shared" si="54"/>
        <v>195</v>
      </c>
      <c r="R353" s="80">
        <f t="shared" si="55"/>
        <v>100</v>
      </c>
      <c r="S353" s="78">
        <f t="shared" si="56"/>
        <v>695</v>
      </c>
      <c r="T353" s="78">
        <f>50</f>
        <v>50</v>
      </c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</row>
    <row r="354" spans="1:30" ht="15.75" x14ac:dyDescent="0.25">
      <c r="A354" s="14">
        <v>51713</v>
      </c>
      <c r="B354" s="90">
        <v>31</v>
      </c>
      <c r="C354" s="78">
        <f>194.205</f>
        <v>194.20500000000001</v>
      </c>
      <c r="D354" s="78">
        <f>267.466</f>
        <v>267.46600000000001</v>
      </c>
      <c r="E354" s="86">
        <f>133.845</f>
        <v>133.845</v>
      </c>
      <c r="F354" s="78">
        <f>278.484-40-25-60</f>
        <v>153.48399999999998</v>
      </c>
      <c r="G354" s="80">
        <v>40</v>
      </c>
      <c r="H354" s="78">
        <f t="shared" si="58"/>
        <v>85</v>
      </c>
      <c r="I354" s="78">
        <f t="shared" si="50"/>
        <v>0</v>
      </c>
      <c r="J354" s="80">
        <v>100</v>
      </c>
      <c r="K354" s="80">
        <v>300</v>
      </c>
      <c r="L354" s="78">
        <f t="shared" si="53"/>
        <v>1274</v>
      </c>
      <c r="M354" s="88">
        <v>600</v>
      </c>
      <c r="N354" s="78">
        <f>30</f>
        <v>30</v>
      </c>
      <c r="O354" s="80">
        <v>240</v>
      </c>
      <c r="P354" s="80">
        <v>160</v>
      </c>
      <c r="Q354" s="80">
        <f t="shared" si="54"/>
        <v>195</v>
      </c>
      <c r="R354" s="80">
        <f t="shared" si="55"/>
        <v>100</v>
      </c>
      <c r="S354" s="78">
        <f t="shared" si="56"/>
        <v>695</v>
      </c>
      <c r="T354" s="78">
        <f>0</f>
        <v>0</v>
      </c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</row>
    <row r="355" spans="1:30" ht="15.75" x14ac:dyDescent="0.25">
      <c r="A355" s="14">
        <v>51744</v>
      </c>
      <c r="B355" s="90">
        <v>31</v>
      </c>
      <c r="C355" s="78">
        <f>194.205</f>
        <v>194.20500000000001</v>
      </c>
      <c r="D355" s="78">
        <f>267.466</f>
        <v>267.46600000000001</v>
      </c>
      <c r="E355" s="86">
        <f>133.845</f>
        <v>133.845</v>
      </c>
      <c r="F355" s="78">
        <f>278.484-40-25-60</f>
        <v>153.48399999999998</v>
      </c>
      <c r="G355" s="80">
        <v>40</v>
      </c>
      <c r="H355" s="78">
        <f t="shared" si="58"/>
        <v>85</v>
      </c>
      <c r="I355" s="78">
        <f t="shared" si="50"/>
        <v>0</v>
      </c>
      <c r="J355" s="80">
        <v>100</v>
      </c>
      <c r="K355" s="80">
        <v>300</v>
      </c>
      <c r="L355" s="78">
        <f t="shared" si="53"/>
        <v>1274</v>
      </c>
      <c r="M355" s="88">
        <v>600</v>
      </c>
      <c r="N355" s="78">
        <f>30</f>
        <v>30</v>
      </c>
      <c r="O355" s="80">
        <v>240</v>
      </c>
      <c r="P355" s="80">
        <v>160</v>
      </c>
      <c r="Q355" s="80">
        <f t="shared" si="54"/>
        <v>195</v>
      </c>
      <c r="R355" s="80">
        <f t="shared" si="55"/>
        <v>100</v>
      </c>
      <c r="S355" s="78">
        <f t="shared" si="56"/>
        <v>695</v>
      </c>
      <c r="T355" s="78">
        <f>0</f>
        <v>0</v>
      </c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</row>
    <row r="356" spans="1:30" ht="15.75" x14ac:dyDescent="0.25">
      <c r="A356" s="14">
        <v>51774</v>
      </c>
      <c r="B356" s="90">
        <v>30</v>
      </c>
      <c r="C356" s="78">
        <f>194.205</f>
        <v>194.20500000000001</v>
      </c>
      <c r="D356" s="78">
        <f>267.466</f>
        <v>267.46600000000001</v>
      </c>
      <c r="E356" s="86">
        <f>133.845</f>
        <v>133.845</v>
      </c>
      <c r="F356" s="78">
        <f>278.484-40-25-60</f>
        <v>153.48399999999998</v>
      </c>
      <c r="G356" s="80">
        <v>40</v>
      </c>
      <c r="H356" s="78">
        <f t="shared" si="58"/>
        <v>85</v>
      </c>
      <c r="I356" s="78">
        <f t="shared" si="50"/>
        <v>0</v>
      </c>
      <c r="J356" s="80">
        <v>100</v>
      </c>
      <c r="K356" s="80">
        <v>300</v>
      </c>
      <c r="L356" s="78">
        <f t="shared" si="53"/>
        <v>1274</v>
      </c>
      <c r="M356" s="88">
        <v>600</v>
      </c>
      <c r="N356" s="78">
        <f>30</f>
        <v>30</v>
      </c>
      <c r="O356" s="80">
        <v>240</v>
      </c>
      <c r="P356" s="80">
        <v>160</v>
      </c>
      <c r="Q356" s="80">
        <f t="shared" si="54"/>
        <v>195</v>
      </c>
      <c r="R356" s="80">
        <f t="shared" si="55"/>
        <v>100</v>
      </c>
      <c r="S356" s="78">
        <f t="shared" si="56"/>
        <v>695</v>
      </c>
      <c r="T356" s="78">
        <f>0</f>
        <v>0</v>
      </c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</row>
    <row r="357" spans="1:30" ht="15.75" x14ac:dyDescent="0.25">
      <c r="A357" s="14">
        <v>51805</v>
      </c>
      <c r="B357" s="90">
        <v>31</v>
      </c>
      <c r="C357" s="78">
        <f>131.881</f>
        <v>131.881</v>
      </c>
      <c r="D357" s="78">
        <f>277.167</f>
        <v>277.16699999999997</v>
      </c>
      <c r="E357" s="86">
        <f>79.08</f>
        <v>79.08</v>
      </c>
      <c r="F357" s="78">
        <f>350.872-40-25-60</f>
        <v>225.87200000000001</v>
      </c>
      <c r="G357" s="80">
        <v>40</v>
      </c>
      <c r="H357" s="78">
        <f t="shared" si="58"/>
        <v>85</v>
      </c>
      <c r="I357" s="78">
        <f t="shared" si="50"/>
        <v>0</v>
      </c>
      <c r="J357" s="80">
        <v>100</v>
      </c>
      <c r="K357" s="80">
        <v>300</v>
      </c>
      <c r="L357" s="78">
        <f t="shared" si="53"/>
        <v>1239</v>
      </c>
      <c r="M357" s="88">
        <v>600</v>
      </c>
      <c r="N357" s="78">
        <f>75</f>
        <v>75</v>
      </c>
      <c r="O357" s="80">
        <v>240</v>
      </c>
      <c r="P357" s="80">
        <v>160</v>
      </c>
      <c r="Q357" s="80">
        <f t="shared" si="54"/>
        <v>195</v>
      </c>
      <c r="R357" s="80">
        <f t="shared" si="55"/>
        <v>100</v>
      </c>
      <c r="S357" s="78">
        <f t="shared" si="56"/>
        <v>695</v>
      </c>
      <c r="T357" s="78">
        <f>0</f>
        <v>0</v>
      </c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</row>
    <row r="358" spans="1:30" ht="15.75" x14ac:dyDescent="0.25">
      <c r="A358" s="14">
        <v>51835</v>
      </c>
      <c r="B358" s="90">
        <v>30</v>
      </c>
      <c r="C358" s="78">
        <f>122.58</f>
        <v>122.58</v>
      </c>
      <c r="D358" s="78">
        <f>297.941</f>
        <v>297.94099999999997</v>
      </c>
      <c r="E358" s="86">
        <f>89.177</f>
        <v>89.177000000000007</v>
      </c>
      <c r="F358" s="78">
        <f>240.302-40-60</f>
        <v>140.30199999999999</v>
      </c>
      <c r="G358" s="80">
        <v>40</v>
      </c>
      <c r="H358" s="78">
        <v>60</v>
      </c>
      <c r="I358" s="78">
        <f t="shared" si="50"/>
        <v>0</v>
      </c>
      <c r="J358" s="80">
        <v>100</v>
      </c>
      <c r="K358" s="80">
        <v>300</v>
      </c>
      <c r="L358" s="78">
        <f t="shared" si="53"/>
        <v>1150</v>
      </c>
      <c r="M358" s="88">
        <v>600</v>
      </c>
      <c r="N358" s="78">
        <f>100</f>
        <v>100</v>
      </c>
      <c r="O358" s="80">
        <v>240</v>
      </c>
      <c r="P358" s="80">
        <v>40</v>
      </c>
      <c r="Q358" s="80">
        <f t="shared" si="54"/>
        <v>315</v>
      </c>
      <c r="R358" s="80">
        <f t="shared" si="55"/>
        <v>100</v>
      </c>
      <c r="S358" s="78">
        <f t="shared" si="56"/>
        <v>695</v>
      </c>
      <c r="T358" s="78">
        <f>50</f>
        <v>50</v>
      </c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</row>
    <row r="359" spans="1:30" ht="15.75" x14ac:dyDescent="0.25">
      <c r="A359" s="14">
        <v>51866</v>
      </c>
      <c r="B359" s="90">
        <v>31</v>
      </c>
      <c r="C359" s="78">
        <f>122.58</f>
        <v>122.58</v>
      </c>
      <c r="D359" s="78">
        <f>297.941</f>
        <v>297.94099999999997</v>
      </c>
      <c r="E359" s="86">
        <f>89.177</f>
        <v>89.177000000000007</v>
      </c>
      <c r="F359" s="78">
        <f>240.302-40-60</f>
        <v>140.30199999999999</v>
      </c>
      <c r="G359" s="80">
        <v>40</v>
      </c>
      <c r="H359" s="78">
        <v>60</v>
      </c>
      <c r="I359" s="78">
        <f t="shared" si="50"/>
        <v>0</v>
      </c>
      <c r="J359" s="80">
        <v>100</v>
      </c>
      <c r="K359" s="80">
        <v>300</v>
      </c>
      <c r="L359" s="78">
        <f t="shared" si="53"/>
        <v>1150</v>
      </c>
      <c r="M359" s="88">
        <v>600</v>
      </c>
      <c r="N359" s="78">
        <f>100</f>
        <v>100</v>
      </c>
      <c r="O359" s="80">
        <v>240</v>
      </c>
      <c r="P359" s="80">
        <v>40</v>
      </c>
      <c r="Q359" s="80">
        <f t="shared" si="54"/>
        <v>315</v>
      </c>
      <c r="R359" s="80">
        <f t="shared" si="55"/>
        <v>100</v>
      </c>
      <c r="S359" s="78">
        <f t="shared" si="56"/>
        <v>695</v>
      </c>
      <c r="T359" s="78">
        <f>50</f>
        <v>50</v>
      </c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</row>
    <row r="360" spans="1:30" ht="15.75" x14ac:dyDescent="0.25">
      <c r="A360" s="14">
        <v>51897</v>
      </c>
      <c r="B360" s="90">
        <v>31</v>
      </c>
      <c r="C360" s="78">
        <f>122.58</f>
        <v>122.58</v>
      </c>
      <c r="D360" s="78">
        <f>297.941</f>
        <v>297.94099999999997</v>
      </c>
      <c r="E360" s="86">
        <f>89.177</f>
        <v>89.177000000000007</v>
      </c>
      <c r="F360" s="78">
        <f>240.302-40-60</f>
        <v>140.30199999999999</v>
      </c>
      <c r="G360" s="80">
        <v>40</v>
      </c>
      <c r="H360" s="78">
        <v>60</v>
      </c>
      <c r="I360" s="78">
        <f t="shared" si="50"/>
        <v>0</v>
      </c>
      <c r="J360" s="80">
        <v>100</v>
      </c>
      <c r="K360" s="80">
        <v>300</v>
      </c>
      <c r="L360" s="78">
        <f t="shared" si="53"/>
        <v>1150</v>
      </c>
      <c r="M360" s="88">
        <v>600</v>
      </c>
      <c r="N360" s="78">
        <f>100</f>
        <v>100</v>
      </c>
      <c r="O360" s="80">
        <v>240</v>
      </c>
      <c r="P360" s="80">
        <v>40</v>
      </c>
      <c r="Q360" s="80">
        <f t="shared" si="54"/>
        <v>315</v>
      </c>
      <c r="R360" s="80">
        <f t="shared" si="55"/>
        <v>100</v>
      </c>
      <c r="S360" s="78">
        <f t="shared" si="56"/>
        <v>695</v>
      </c>
      <c r="T360" s="78">
        <f>50</f>
        <v>50</v>
      </c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</row>
    <row r="361" spans="1:30" ht="15.75" x14ac:dyDescent="0.25">
      <c r="A361" s="14">
        <v>51925</v>
      </c>
      <c r="B361" s="90">
        <v>28</v>
      </c>
      <c r="C361" s="78">
        <f>122.58</f>
        <v>122.58</v>
      </c>
      <c r="D361" s="78">
        <f>297.941</f>
        <v>297.94099999999997</v>
      </c>
      <c r="E361" s="86">
        <f>89.177</f>
        <v>89.177000000000007</v>
      </c>
      <c r="F361" s="78">
        <f>240.302-40-60</f>
        <v>140.30199999999999</v>
      </c>
      <c r="G361" s="80">
        <v>40</v>
      </c>
      <c r="H361" s="78">
        <v>60</v>
      </c>
      <c r="I361" s="78">
        <f t="shared" si="50"/>
        <v>0</v>
      </c>
      <c r="J361" s="80">
        <v>100</v>
      </c>
      <c r="K361" s="80">
        <v>300</v>
      </c>
      <c r="L361" s="78">
        <f t="shared" si="53"/>
        <v>1150</v>
      </c>
      <c r="M361" s="88">
        <v>600</v>
      </c>
      <c r="N361" s="78">
        <f>100</f>
        <v>100</v>
      </c>
      <c r="O361" s="80">
        <v>240</v>
      </c>
      <c r="P361" s="80">
        <v>40</v>
      </c>
      <c r="Q361" s="80">
        <f t="shared" si="54"/>
        <v>315</v>
      </c>
      <c r="R361" s="80">
        <f t="shared" si="55"/>
        <v>100</v>
      </c>
      <c r="S361" s="78">
        <f t="shared" si="56"/>
        <v>695</v>
      </c>
      <c r="T361" s="78">
        <f>50</f>
        <v>50</v>
      </c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</row>
    <row r="362" spans="1:30" ht="15.75" x14ac:dyDescent="0.25">
      <c r="A362" s="14">
        <v>51956</v>
      </c>
      <c r="B362" s="90">
        <v>31</v>
      </c>
      <c r="C362" s="78">
        <f>122.58</f>
        <v>122.58</v>
      </c>
      <c r="D362" s="78">
        <f>297.941</f>
        <v>297.94099999999997</v>
      </c>
      <c r="E362" s="86">
        <f>89.177</f>
        <v>89.177000000000007</v>
      </c>
      <c r="F362" s="78">
        <f>240.302-40-60</f>
        <v>140.30199999999999</v>
      </c>
      <c r="G362" s="80">
        <v>40</v>
      </c>
      <c r="H362" s="78">
        <v>60</v>
      </c>
      <c r="I362" s="78">
        <f t="shared" si="50"/>
        <v>0</v>
      </c>
      <c r="J362" s="80">
        <v>100</v>
      </c>
      <c r="K362" s="80">
        <v>300</v>
      </c>
      <c r="L362" s="78">
        <f t="shared" si="53"/>
        <v>1150</v>
      </c>
      <c r="M362" s="88">
        <v>600</v>
      </c>
      <c r="N362" s="78">
        <f>100</f>
        <v>100</v>
      </c>
      <c r="O362" s="80">
        <v>240</v>
      </c>
      <c r="P362" s="80">
        <v>40</v>
      </c>
      <c r="Q362" s="80">
        <f t="shared" si="54"/>
        <v>315</v>
      </c>
      <c r="R362" s="80">
        <f t="shared" si="55"/>
        <v>100</v>
      </c>
      <c r="S362" s="78">
        <f t="shared" si="56"/>
        <v>695</v>
      </c>
      <c r="T362" s="78">
        <f>50</f>
        <v>50</v>
      </c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</row>
    <row r="363" spans="1:30" ht="15.75" x14ac:dyDescent="0.25">
      <c r="A363" s="14">
        <v>51986</v>
      </c>
      <c r="B363" s="90">
        <v>30</v>
      </c>
      <c r="C363" s="78">
        <f>141.293</f>
        <v>141.29300000000001</v>
      </c>
      <c r="D363" s="78">
        <f>267.993</f>
        <v>267.99299999999999</v>
      </c>
      <c r="E363" s="86">
        <f>115.016</f>
        <v>115.01600000000001</v>
      </c>
      <c r="F363" s="78">
        <f>314.698-40-25-60</f>
        <v>189.69799999999998</v>
      </c>
      <c r="G363" s="80">
        <v>40</v>
      </c>
      <c r="H363" s="78">
        <f t="shared" ref="H363:H369" si="59">25+60</f>
        <v>85</v>
      </c>
      <c r="I363" s="78">
        <f t="shared" si="50"/>
        <v>0</v>
      </c>
      <c r="J363" s="80">
        <v>100</v>
      </c>
      <c r="K363" s="80">
        <v>300</v>
      </c>
      <c r="L363" s="78">
        <f t="shared" si="53"/>
        <v>1239</v>
      </c>
      <c r="M363" s="88">
        <v>600</v>
      </c>
      <c r="N363" s="78">
        <f>100</f>
        <v>100</v>
      </c>
      <c r="O363" s="80">
        <v>240</v>
      </c>
      <c r="P363" s="80">
        <v>160</v>
      </c>
      <c r="Q363" s="80">
        <f t="shared" si="54"/>
        <v>195</v>
      </c>
      <c r="R363" s="80">
        <f t="shared" si="55"/>
        <v>100</v>
      </c>
      <c r="S363" s="78">
        <f t="shared" si="56"/>
        <v>695</v>
      </c>
      <c r="T363" s="78">
        <f>50</f>
        <v>50</v>
      </c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</row>
    <row r="364" spans="1:30" ht="15.75" x14ac:dyDescent="0.25">
      <c r="A364" s="14">
        <v>52017</v>
      </c>
      <c r="B364" s="90">
        <v>31</v>
      </c>
      <c r="C364" s="78">
        <f>194.205</f>
        <v>194.20500000000001</v>
      </c>
      <c r="D364" s="78">
        <f>267.466</f>
        <v>267.46600000000001</v>
      </c>
      <c r="E364" s="86">
        <f>133.845</f>
        <v>133.845</v>
      </c>
      <c r="F364" s="78">
        <f>278.484-40-25-60</f>
        <v>153.48399999999998</v>
      </c>
      <c r="G364" s="80">
        <v>40</v>
      </c>
      <c r="H364" s="78">
        <f t="shared" si="59"/>
        <v>85</v>
      </c>
      <c r="I364" s="78">
        <f t="shared" si="50"/>
        <v>0</v>
      </c>
      <c r="J364" s="80">
        <v>100</v>
      </c>
      <c r="K364" s="80">
        <v>300</v>
      </c>
      <c r="L364" s="78">
        <f t="shared" si="53"/>
        <v>1274</v>
      </c>
      <c r="M364" s="88">
        <v>600</v>
      </c>
      <c r="N364" s="78">
        <f>75</f>
        <v>75</v>
      </c>
      <c r="O364" s="80">
        <v>240</v>
      </c>
      <c r="P364" s="80">
        <v>160</v>
      </c>
      <c r="Q364" s="80">
        <f t="shared" si="54"/>
        <v>195</v>
      </c>
      <c r="R364" s="80">
        <f t="shared" si="55"/>
        <v>100</v>
      </c>
      <c r="S364" s="78">
        <f t="shared" si="56"/>
        <v>695</v>
      </c>
      <c r="T364" s="78">
        <f>50</f>
        <v>50</v>
      </c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</row>
    <row r="365" spans="1:30" ht="15.75" x14ac:dyDescent="0.25">
      <c r="A365" s="14">
        <v>52047</v>
      </c>
      <c r="B365" s="90">
        <v>30</v>
      </c>
      <c r="C365" s="78">
        <f>194.205</f>
        <v>194.20500000000001</v>
      </c>
      <c r="D365" s="78">
        <f>267.466</f>
        <v>267.46600000000001</v>
      </c>
      <c r="E365" s="86">
        <f>133.845</f>
        <v>133.845</v>
      </c>
      <c r="F365" s="78">
        <f>278.484-40-25-60</f>
        <v>153.48399999999998</v>
      </c>
      <c r="G365" s="80">
        <v>40</v>
      </c>
      <c r="H365" s="78">
        <f t="shared" si="59"/>
        <v>85</v>
      </c>
      <c r="I365" s="78">
        <f t="shared" si="50"/>
        <v>0</v>
      </c>
      <c r="J365" s="80">
        <v>100</v>
      </c>
      <c r="K365" s="80">
        <v>300</v>
      </c>
      <c r="L365" s="78">
        <f t="shared" si="53"/>
        <v>1274</v>
      </c>
      <c r="M365" s="88">
        <v>600</v>
      </c>
      <c r="N365" s="78">
        <f>30</f>
        <v>30</v>
      </c>
      <c r="O365" s="80">
        <v>240</v>
      </c>
      <c r="P365" s="80">
        <v>160</v>
      </c>
      <c r="Q365" s="80">
        <f t="shared" si="54"/>
        <v>195</v>
      </c>
      <c r="R365" s="80">
        <f t="shared" si="55"/>
        <v>100</v>
      </c>
      <c r="S365" s="78">
        <f t="shared" si="56"/>
        <v>695</v>
      </c>
      <c r="T365" s="78">
        <f>50</f>
        <v>50</v>
      </c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</row>
    <row r="366" spans="1:30" ht="15.75" x14ac:dyDescent="0.25">
      <c r="A366" s="14">
        <v>52078</v>
      </c>
      <c r="B366" s="90">
        <v>31</v>
      </c>
      <c r="C366" s="78">
        <f>194.205</f>
        <v>194.20500000000001</v>
      </c>
      <c r="D366" s="78">
        <f>267.466</f>
        <v>267.46600000000001</v>
      </c>
      <c r="E366" s="86">
        <f>133.845</f>
        <v>133.845</v>
      </c>
      <c r="F366" s="78">
        <f>278.484-40-25-60</f>
        <v>153.48399999999998</v>
      </c>
      <c r="G366" s="80">
        <v>40</v>
      </c>
      <c r="H366" s="78">
        <f t="shared" si="59"/>
        <v>85</v>
      </c>
      <c r="I366" s="78">
        <f t="shared" si="50"/>
        <v>0</v>
      </c>
      <c r="J366" s="80">
        <v>100</v>
      </c>
      <c r="K366" s="80">
        <v>300</v>
      </c>
      <c r="L366" s="78">
        <f t="shared" si="53"/>
        <v>1274</v>
      </c>
      <c r="M366" s="88">
        <v>600</v>
      </c>
      <c r="N366" s="78">
        <f>30</f>
        <v>30</v>
      </c>
      <c r="O366" s="80">
        <v>240</v>
      </c>
      <c r="P366" s="80">
        <v>160</v>
      </c>
      <c r="Q366" s="80">
        <f t="shared" si="54"/>
        <v>195</v>
      </c>
      <c r="R366" s="80">
        <f t="shared" si="55"/>
        <v>100</v>
      </c>
      <c r="S366" s="78">
        <f t="shared" si="56"/>
        <v>695</v>
      </c>
      <c r="T366" s="78">
        <f>0</f>
        <v>0</v>
      </c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</row>
    <row r="367" spans="1:30" ht="15.75" x14ac:dyDescent="0.25">
      <c r="A367" s="14">
        <v>52109</v>
      </c>
      <c r="B367" s="90">
        <v>31</v>
      </c>
      <c r="C367" s="78">
        <f>194.205</f>
        <v>194.20500000000001</v>
      </c>
      <c r="D367" s="78">
        <f>267.466</f>
        <v>267.46600000000001</v>
      </c>
      <c r="E367" s="86">
        <f>133.845</f>
        <v>133.845</v>
      </c>
      <c r="F367" s="78">
        <f>278.484-40-25-60</f>
        <v>153.48399999999998</v>
      </c>
      <c r="G367" s="80">
        <v>40</v>
      </c>
      <c r="H367" s="78">
        <f t="shared" si="59"/>
        <v>85</v>
      </c>
      <c r="I367" s="78">
        <f t="shared" si="50"/>
        <v>0</v>
      </c>
      <c r="J367" s="80">
        <v>100</v>
      </c>
      <c r="K367" s="80">
        <v>300</v>
      </c>
      <c r="L367" s="78">
        <f t="shared" si="53"/>
        <v>1274</v>
      </c>
      <c r="M367" s="88">
        <v>600</v>
      </c>
      <c r="N367" s="78">
        <f>30</f>
        <v>30</v>
      </c>
      <c r="O367" s="80">
        <v>240</v>
      </c>
      <c r="P367" s="80">
        <v>160</v>
      </c>
      <c r="Q367" s="80">
        <f t="shared" si="54"/>
        <v>195</v>
      </c>
      <c r="R367" s="80">
        <f t="shared" si="55"/>
        <v>100</v>
      </c>
      <c r="S367" s="78">
        <f t="shared" si="56"/>
        <v>695</v>
      </c>
      <c r="T367" s="78">
        <f>0</f>
        <v>0</v>
      </c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</row>
    <row r="368" spans="1:30" ht="15.75" x14ac:dyDescent="0.25">
      <c r="A368" s="14">
        <v>52139</v>
      </c>
      <c r="B368" s="90">
        <v>30</v>
      </c>
      <c r="C368" s="78">
        <f>194.205</f>
        <v>194.20500000000001</v>
      </c>
      <c r="D368" s="78">
        <f>267.466</f>
        <v>267.46600000000001</v>
      </c>
      <c r="E368" s="86">
        <f>133.845</f>
        <v>133.845</v>
      </c>
      <c r="F368" s="78">
        <f>278.484-40-25-60</f>
        <v>153.48399999999998</v>
      </c>
      <c r="G368" s="80">
        <v>40</v>
      </c>
      <c r="H368" s="78">
        <f t="shared" si="59"/>
        <v>85</v>
      </c>
      <c r="I368" s="78">
        <f t="shared" si="50"/>
        <v>0</v>
      </c>
      <c r="J368" s="80">
        <v>100</v>
      </c>
      <c r="K368" s="80">
        <v>300</v>
      </c>
      <c r="L368" s="78">
        <f t="shared" si="53"/>
        <v>1274</v>
      </c>
      <c r="M368" s="88">
        <v>600</v>
      </c>
      <c r="N368" s="78">
        <f>30</f>
        <v>30</v>
      </c>
      <c r="O368" s="80">
        <v>240</v>
      </c>
      <c r="P368" s="80">
        <v>160</v>
      </c>
      <c r="Q368" s="80">
        <f t="shared" si="54"/>
        <v>195</v>
      </c>
      <c r="R368" s="80">
        <f t="shared" si="55"/>
        <v>100</v>
      </c>
      <c r="S368" s="78">
        <f t="shared" si="56"/>
        <v>695</v>
      </c>
      <c r="T368" s="78">
        <f>0</f>
        <v>0</v>
      </c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</row>
    <row r="369" spans="1:30" ht="15.75" x14ac:dyDescent="0.25">
      <c r="A369" s="14">
        <v>52170</v>
      </c>
      <c r="B369" s="90">
        <v>31</v>
      </c>
      <c r="C369" s="78">
        <f>131.881</f>
        <v>131.881</v>
      </c>
      <c r="D369" s="78">
        <f>277.167</f>
        <v>277.16699999999997</v>
      </c>
      <c r="E369" s="86">
        <f>79.08</f>
        <v>79.08</v>
      </c>
      <c r="F369" s="78">
        <f>350.872-40-25-60</f>
        <v>225.87200000000001</v>
      </c>
      <c r="G369" s="80">
        <v>40</v>
      </c>
      <c r="H369" s="78">
        <f t="shared" si="59"/>
        <v>85</v>
      </c>
      <c r="I369" s="78">
        <f t="shared" si="50"/>
        <v>0</v>
      </c>
      <c r="J369" s="80">
        <v>100</v>
      </c>
      <c r="K369" s="80">
        <v>300</v>
      </c>
      <c r="L369" s="78">
        <f t="shared" si="53"/>
        <v>1239</v>
      </c>
      <c r="M369" s="88">
        <v>600</v>
      </c>
      <c r="N369" s="78">
        <f>75</f>
        <v>75</v>
      </c>
      <c r="O369" s="80">
        <v>240</v>
      </c>
      <c r="P369" s="80">
        <v>160</v>
      </c>
      <c r="Q369" s="80">
        <f t="shared" si="54"/>
        <v>195</v>
      </c>
      <c r="R369" s="80">
        <f t="shared" si="55"/>
        <v>100</v>
      </c>
      <c r="S369" s="78">
        <f t="shared" si="56"/>
        <v>695</v>
      </c>
      <c r="T369" s="78">
        <f>0</f>
        <v>0</v>
      </c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</row>
    <row r="370" spans="1:30" ht="15.75" x14ac:dyDescent="0.25">
      <c r="A370" s="14">
        <v>52200</v>
      </c>
      <c r="B370" s="90">
        <v>30</v>
      </c>
      <c r="C370" s="78">
        <f>122.58</f>
        <v>122.58</v>
      </c>
      <c r="D370" s="78">
        <f>297.941</f>
        <v>297.94099999999997</v>
      </c>
      <c r="E370" s="86">
        <f>89.177</f>
        <v>89.177000000000007</v>
      </c>
      <c r="F370" s="78">
        <f>240.302-40-60</f>
        <v>140.30199999999999</v>
      </c>
      <c r="G370" s="80">
        <v>40</v>
      </c>
      <c r="H370" s="78">
        <v>60</v>
      </c>
      <c r="I370" s="78">
        <f t="shared" si="50"/>
        <v>0</v>
      </c>
      <c r="J370" s="80">
        <v>100</v>
      </c>
      <c r="K370" s="80">
        <v>300</v>
      </c>
      <c r="L370" s="78">
        <f t="shared" si="53"/>
        <v>1150</v>
      </c>
      <c r="M370" s="88">
        <v>600</v>
      </c>
      <c r="N370" s="78">
        <f>100</f>
        <v>100</v>
      </c>
      <c r="O370" s="80">
        <v>240</v>
      </c>
      <c r="P370" s="80">
        <v>40</v>
      </c>
      <c r="Q370" s="80">
        <f t="shared" si="54"/>
        <v>315</v>
      </c>
      <c r="R370" s="80">
        <f t="shared" si="55"/>
        <v>100</v>
      </c>
      <c r="S370" s="78">
        <f t="shared" si="56"/>
        <v>695</v>
      </c>
      <c r="T370" s="78">
        <f>50</f>
        <v>50</v>
      </c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</row>
    <row r="371" spans="1:30" ht="15.75" x14ac:dyDescent="0.25">
      <c r="A371" s="14">
        <v>52231</v>
      </c>
      <c r="B371" s="90">
        <v>31</v>
      </c>
      <c r="C371" s="78">
        <f>122.58</f>
        <v>122.58</v>
      </c>
      <c r="D371" s="78">
        <f>297.941</f>
        <v>297.94099999999997</v>
      </c>
      <c r="E371" s="86">
        <f>89.177</f>
        <v>89.177000000000007</v>
      </c>
      <c r="F371" s="78">
        <f>240.302-40-60</f>
        <v>140.30199999999999</v>
      </c>
      <c r="G371" s="80">
        <v>40</v>
      </c>
      <c r="H371" s="78">
        <v>60</v>
      </c>
      <c r="I371" s="78">
        <f t="shared" si="50"/>
        <v>0</v>
      </c>
      <c r="J371" s="80">
        <v>100</v>
      </c>
      <c r="K371" s="80">
        <v>300</v>
      </c>
      <c r="L371" s="78">
        <f t="shared" si="53"/>
        <v>1150</v>
      </c>
      <c r="M371" s="88">
        <v>600</v>
      </c>
      <c r="N371" s="78">
        <f>100</f>
        <v>100</v>
      </c>
      <c r="O371" s="80">
        <v>240</v>
      </c>
      <c r="P371" s="80">
        <v>40</v>
      </c>
      <c r="Q371" s="80">
        <f t="shared" si="54"/>
        <v>315</v>
      </c>
      <c r="R371" s="80">
        <f t="shared" si="55"/>
        <v>100</v>
      </c>
      <c r="S371" s="78">
        <f t="shared" si="56"/>
        <v>695</v>
      </c>
      <c r="T371" s="78">
        <f>50</f>
        <v>50</v>
      </c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</row>
    <row r="372" spans="1:30" ht="15.75" x14ac:dyDescent="0.25">
      <c r="A372" s="14">
        <v>52262</v>
      </c>
      <c r="B372" s="90">
        <v>31</v>
      </c>
      <c r="C372" s="78">
        <f>122.58</f>
        <v>122.58</v>
      </c>
      <c r="D372" s="78">
        <f>297.941</f>
        <v>297.94099999999997</v>
      </c>
      <c r="E372" s="86">
        <f>89.177</f>
        <v>89.177000000000007</v>
      </c>
      <c r="F372" s="78">
        <f>240.302-40-60</f>
        <v>140.30199999999999</v>
      </c>
      <c r="G372" s="80">
        <v>40</v>
      </c>
      <c r="H372" s="78">
        <v>60</v>
      </c>
      <c r="I372" s="78">
        <f t="shared" ref="I372:I435" si="60">400-J372-K372</f>
        <v>0</v>
      </c>
      <c r="J372" s="80">
        <v>100</v>
      </c>
      <c r="K372" s="80">
        <v>300</v>
      </c>
      <c r="L372" s="78">
        <f t="shared" si="53"/>
        <v>1150</v>
      </c>
      <c r="M372" s="88">
        <v>600</v>
      </c>
      <c r="N372" s="78">
        <f>100</f>
        <v>100</v>
      </c>
      <c r="O372" s="80">
        <v>240</v>
      </c>
      <c r="P372" s="80">
        <v>40</v>
      </c>
      <c r="Q372" s="80">
        <f t="shared" si="54"/>
        <v>315</v>
      </c>
      <c r="R372" s="80">
        <f t="shared" si="55"/>
        <v>100</v>
      </c>
      <c r="S372" s="78">
        <f t="shared" si="56"/>
        <v>695</v>
      </c>
      <c r="T372" s="78">
        <f>50</f>
        <v>50</v>
      </c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</row>
    <row r="373" spans="1:30" ht="15.75" x14ac:dyDescent="0.25">
      <c r="A373" s="14">
        <v>52290</v>
      </c>
      <c r="B373" s="90">
        <v>28</v>
      </c>
      <c r="C373" s="78">
        <f>122.58</f>
        <v>122.58</v>
      </c>
      <c r="D373" s="78">
        <f>297.941</f>
        <v>297.94099999999997</v>
      </c>
      <c r="E373" s="86">
        <f>89.177</f>
        <v>89.177000000000007</v>
      </c>
      <c r="F373" s="78">
        <f>240.302-40-60</f>
        <v>140.30199999999999</v>
      </c>
      <c r="G373" s="80">
        <v>40</v>
      </c>
      <c r="H373" s="78">
        <v>60</v>
      </c>
      <c r="I373" s="78">
        <f t="shared" si="60"/>
        <v>0</v>
      </c>
      <c r="J373" s="80">
        <v>100</v>
      </c>
      <c r="K373" s="80">
        <v>300</v>
      </c>
      <c r="L373" s="78">
        <f t="shared" si="53"/>
        <v>1150</v>
      </c>
      <c r="M373" s="88">
        <v>600</v>
      </c>
      <c r="N373" s="78">
        <f>100</f>
        <v>100</v>
      </c>
      <c r="O373" s="80">
        <v>240</v>
      </c>
      <c r="P373" s="80">
        <v>40</v>
      </c>
      <c r="Q373" s="80">
        <f t="shared" si="54"/>
        <v>315</v>
      </c>
      <c r="R373" s="80">
        <f t="shared" si="55"/>
        <v>100</v>
      </c>
      <c r="S373" s="78">
        <f t="shared" si="56"/>
        <v>695</v>
      </c>
      <c r="T373" s="78">
        <f>50</f>
        <v>50</v>
      </c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</row>
    <row r="374" spans="1:30" ht="15.75" x14ac:dyDescent="0.25">
      <c r="A374" s="14">
        <v>52321</v>
      </c>
      <c r="B374" s="90">
        <v>31</v>
      </c>
      <c r="C374" s="78">
        <f>122.58</f>
        <v>122.58</v>
      </c>
      <c r="D374" s="78">
        <f>297.941</f>
        <v>297.94099999999997</v>
      </c>
      <c r="E374" s="86">
        <f>89.177</f>
        <v>89.177000000000007</v>
      </c>
      <c r="F374" s="78">
        <f>240.302-40-60</f>
        <v>140.30199999999999</v>
      </c>
      <c r="G374" s="80">
        <v>40</v>
      </c>
      <c r="H374" s="78">
        <v>60</v>
      </c>
      <c r="I374" s="78">
        <f t="shared" si="60"/>
        <v>0</v>
      </c>
      <c r="J374" s="80">
        <v>100</v>
      </c>
      <c r="K374" s="80">
        <v>300</v>
      </c>
      <c r="L374" s="78">
        <f t="shared" si="53"/>
        <v>1150</v>
      </c>
      <c r="M374" s="88">
        <v>600</v>
      </c>
      <c r="N374" s="78">
        <f>100</f>
        <v>100</v>
      </c>
      <c r="O374" s="80">
        <v>240</v>
      </c>
      <c r="P374" s="80">
        <v>40</v>
      </c>
      <c r="Q374" s="80">
        <f t="shared" si="54"/>
        <v>315</v>
      </c>
      <c r="R374" s="80">
        <f t="shared" si="55"/>
        <v>100</v>
      </c>
      <c r="S374" s="78">
        <f t="shared" si="56"/>
        <v>695</v>
      </c>
      <c r="T374" s="78">
        <f>50</f>
        <v>50</v>
      </c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</row>
    <row r="375" spans="1:30" ht="15.75" x14ac:dyDescent="0.25">
      <c r="A375" s="14">
        <v>52351</v>
      </c>
      <c r="B375" s="90">
        <v>30</v>
      </c>
      <c r="C375" s="78">
        <f>141.293</f>
        <v>141.29300000000001</v>
      </c>
      <c r="D375" s="78">
        <f>267.993</f>
        <v>267.99299999999999</v>
      </c>
      <c r="E375" s="86">
        <f>115.016</f>
        <v>115.01600000000001</v>
      </c>
      <c r="F375" s="78">
        <f>314.698-40-25-60</f>
        <v>189.69799999999998</v>
      </c>
      <c r="G375" s="80">
        <v>40</v>
      </c>
      <c r="H375" s="78">
        <f t="shared" ref="H375:H381" si="61">25+60</f>
        <v>85</v>
      </c>
      <c r="I375" s="78">
        <f t="shared" si="60"/>
        <v>0</v>
      </c>
      <c r="J375" s="80">
        <v>100</v>
      </c>
      <c r="K375" s="80">
        <v>300</v>
      </c>
      <c r="L375" s="78">
        <f t="shared" si="53"/>
        <v>1239</v>
      </c>
      <c r="M375" s="88">
        <v>600</v>
      </c>
      <c r="N375" s="78">
        <f>100</f>
        <v>100</v>
      </c>
      <c r="O375" s="80">
        <v>240</v>
      </c>
      <c r="P375" s="80">
        <v>160</v>
      </c>
      <c r="Q375" s="80">
        <f t="shared" si="54"/>
        <v>195</v>
      </c>
      <c r="R375" s="80">
        <f t="shared" si="55"/>
        <v>100</v>
      </c>
      <c r="S375" s="78">
        <f t="shared" si="56"/>
        <v>695</v>
      </c>
      <c r="T375" s="78">
        <f>50</f>
        <v>50</v>
      </c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</row>
    <row r="376" spans="1:30" ht="15.75" x14ac:dyDescent="0.25">
      <c r="A376" s="14">
        <v>52382</v>
      </c>
      <c r="B376" s="90">
        <v>31</v>
      </c>
      <c r="C376" s="78">
        <f>194.205</f>
        <v>194.20500000000001</v>
      </c>
      <c r="D376" s="78">
        <f>267.466</f>
        <v>267.46600000000001</v>
      </c>
      <c r="E376" s="86">
        <f>133.845</f>
        <v>133.845</v>
      </c>
      <c r="F376" s="78">
        <f>278.484-40-25-60</f>
        <v>153.48399999999998</v>
      </c>
      <c r="G376" s="80">
        <v>40</v>
      </c>
      <c r="H376" s="78">
        <f t="shared" si="61"/>
        <v>85</v>
      </c>
      <c r="I376" s="78">
        <f t="shared" si="60"/>
        <v>0</v>
      </c>
      <c r="J376" s="80">
        <v>100</v>
      </c>
      <c r="K376" s="80">
        <v>300</v>
      </c>
      <c r="L376" s="78">
        <f t="shared" si="53"/>
        <v>1274</v>
      </c>
      <c r="M376" s="88">
        <v>600</v>
      </c>
      <c r="N376" s="78">
        <f>75</f>
        <v>75</v>
      </c>
      <c r="O376" s="80">
        <v>240</v>
      </c>
      <c r="P376" s="80">
        <v>160</v>
      </c>
      <c r="Q376" s="80">
        <f t="shared" si="54"/>
        <v>195</v>
      </c>
      <c r="R376" s="80">
        <f t="shared" si="55"/>
        <v>100</v>
      </c>
      <c r="S376" s="78">
        <f t="shared" si="56"/>
        <v>695</v>
      </c>
      <c r="T376" s="78">
        <f>50</f>
        <v>50</v>
      </c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</row>
    <row r="377" spans="1:30" ht="15.75" x14ac:dyDescent="0.25">
      <c r="A377" s="14">
        <v>52412</v>
      </c>
      <c r="B377" s="90">
        <v>30</v>
      </c>
      <c r="C377" s="78">
        <f>194.205</f>
        <v>194.20500000000001</v>
      </c>
      <c r="D377" s="78">
        <f>267.466</f>
        <v>267.46600000000001</v>
      </c>
      <c r="E377" s="86">
        <f>133.845</f>
        <v>133.845</v>
      </c>
      <c r="F377" s="78">
        <f>278.484-40-25-60</f>
        <v>153.48399999999998</v>
      </c>
      <c r="G377" s="80">
        <v>40</v>
      </c>
      <c r="H377" s="78">
        <f t="shared" si="61"/>
        <v>85</v>
      </c>
      <c r="I377" s="78">
        <f t="shared" si="60"/>
        <v>0</v>
      </c>
      <c r="J377" s="80">
        <v>100</v>
      </c>
      <c r="K377" s="80">
        <v>300</v>
      </c>
      <c r="L377" s="78">
        <f t="shared" si="53"/>
        <v>1274</v>
      </c>
      <c r="M377" s="88">
        <v>600</v>
      </c>
      <c r="N377" s="78">
        <f>30</f>
        <v>30</v>
      </c>
      <c r="O377" s="80">
        <v>240</v>
      </c>
      <c r="P377" s="80">
        <v>160</v>
      </c>
      <c r="Q377" s="80">
        <f t="shared" si="54"/>
        <v>195</v>
      </c>
      <c r="R377" s="80">
        <f t="shared" si="55"/>
        <v>100</v>
      </c>
      <c r="S377" s="78">
        <f t="shared" si="56"/>
        <v>695</v>
      </c>
      <c r="T377" s="78">
        <f>50</f>
        <v>50</v>
      </c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</row>
    <row r="378" spans="1:30" ht="15.75" x14ac:dyDescent="0.25">
      <c r="A378" s="14">
        <v>52443</v>
      </c>
      <c r="B378" s="90">
        <v>31</v>
      </c>
      <c r="C378" s="78">
        <f>194.205</f>
        <v>194.20500000000001</v>
      </c>
      <c r="D378" s="78">
        <f>267.466</f>
        <v>267.46600000000001</v>
      </c>
      <c r="E378" s="86">
        <f>133.845</f>
        <v>133.845</v>
      </c>
      <c r="F378" s="78">
        <f>278.484-40-25-60</f>
        <v>153.48399999999998</v>
      </c>
      <c r="G378" s="80">
        <v>40</v>
      </c>
      <c r="H378" s="78">
        <f t="shared" si="61"/>
        <v>85</v>
      </c>
      <c r="I378" s="78">
        <f t="shared" si="60"/>
        <v>0</v>
      </c>
      <c r="J378" s="80">
        <v>100</v>
      </c>
      <c r="K378" s="80">
        <v>300</v>
      </c>
      <c r="L378" s="78">
        <f t="shared" si="53"/>
        <v>1274</v>
      </c>
      <c r="M378" s="88">
        <v>600</v>
      </c>
      <c r="N378" s="78">
        <f>30</f>
        <v>30</v>
      </c>
      <c r="O378" s="80">
        <v>240</v>
      </c>
      <c r="P378" s="80">
        <v>160</v>
      </c>
      <c r="Q378" s="80">
        <f t="shared" si="54"/>
        <v>195</v>
      </c>
      <c r="R378" s="80">
        <f t="shared" si="55"/>
        <v>100</v>
      </c>
      <c r="S378" s="78">
        <f t="shared" si="56"/>
        <v>695</v>
      </c>
      <c r="T378" s="78">
        <f>0</f>
        <v>0</v>
      </c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</row>
    <row r="379" spans="1:30" ht="15.75" x14ac:dyDescent="0.25">
      <c r="A379" s="14">
        <v>52474</v>
      </c>
      <c r="B379" s="90">
        <v>31</v>
      </c>
      <c r="C379" s="78">
        <f>194.205</f>
        <v>194.20500000000001</v>
      </c>
      <c r="D379" s="78">
        <f>267.466</f>
        <v>267.46600000000001</v>
      </c>
      <c r="E379" s="86">
        <f>133.845</f>
        <v>133.845</v>
      </c>
      <c r="F379" s="78">
        <f>278.484-40-25-60</f>
        <v>153.48399999999998</v>
      </c>
      <c r="G379" s="80">
        <v>40</v>
      </c>
      <c r="H379" s="78">
        <f t="shared" si="61"/>
        <v>85</v>
      </c>
      <c r="I379" s="78">
        <f t="shared" si="60"/>
        <v>0</v>
      </c>
      <c r="J379" s="80">
        <v>100</v>
      </c>
      <c r="K379" s="80">
        <v>300</v>
      </c>
      <c r="L379" s="78">
        <f t="shared" si="53"/>
        <v>1274</v>
      </c>
      <c r="M379" s="88">
        <v>600</v>
      </c>
      <c r="N379" s="78">
        <f>30</f>
        <v>30</v>
      </c>
      <c r="O379" s="80">
        <v>240</v>
      </c>
      <c r="P379" s="80">
        <v>160</v>
      </c>
      <c r="Q379" s="80">
        <f t="shared" si="54"/>
        <v>195</v>
      </c>
      <c r="R379" s="80">
        <f t="shared" si="55"/>
        <v>100</v>
      </c>
      <c r="S379" s="78">
        <f t="shared" si="56"/>
        <v>695</v>
      </c>
      <c r="T379" s="78">
        <f>0</f>
        <v>0</v>
      </c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</row>
    <row r="380" spans="1:30" ht="15.75" x14ac:dyDescent="0.25">
      <c r="A380" s="14">
        <v>52504</v>
      </c>
      <c r="B380" s="90">
        <v>30</v>
      </c>
      <c r="C380" s="78">
        <f>194.205</f>
        <v>194.20500000000001</v>
      </c>
      <c r="D380" s="78">
        <f>267.466</f>
        <v>267.46600000000001</v>
      </c>
      <c r="E380" s="86">
        <f>133.845</f>
        <v>133.845</v>
      </c>
      <c r="F380" s="78">
        <f>278.484-40-25-60</f>
        <v>153.48399999999998</v>
      </c>
      <c r="G380" s="80">
        <v>40</v>
      </c>
      <c r="H380" s="78">
        <f t="shared" si="61"/>
        <v>85</v>
      </c>
      <c r="I380" s="78">
        <f t="shared" si="60"/>
        <v>0</v>
      </c>
      <c r="J380" s="80">
        <v>100</v>
      </c>
      <c r="K380" s="80">
        <v>300</v>
      </c>
      <c r="L380" s="78">
        <f t="shared" si="53"/>
        <v>1274</v>
      </c>
      <c r="M380" s="88">
        <v>600</v>
      </c>
      <c r="N380" s="78">
        <f>30</f>
        <v>30</v>
      </c>
      <c r="O380" s="80">
        <v>240</v>
      </c>
      <c r="P380" s="80">
        <v>160</v>
      </c>
      <c r="Q380" s="80">
        <f t="shared" si="54"/>
        <v>195</v>
      </c>
      <c r="R380" s="80">
        <f t="shared" si="55"/>
        <v>100</v>
      </c>
      <c r="S380" s="78">
        <f t="shared" si="56"/>
        <v>695</v>
      </c>
      <c r="T380" s="78">
        <f>0</f>
        <v>0</v>
      </c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</row>
    <row r="381" spans="1:30" ht="15.75" x14ac:dyDescent="0.25">
      <c r="A381" s="14">
        <v>52535</v>
      </c>
      <c r="B381" s="90">
        <v>31</v>
      </c>
      <c r="C381" s="78">
        <f>131.881</f>
        <v>131.881</v>
      </c>
      <c r="D381" s="78">
        <f>277.167</f>
        <v>277.16699999999997</v>
      </c>
      <c r="E381" s="86">
        <f>79.08</f>
        <v>79.08</v>
      </c>
      <c r="F381" s="78">
        <f>350.872-40-25-60</f>
        <v>225.87200000000001</v>
      </c>
      <c r="G381" s="80">
        <v>40</v>
      </c>
      <c r="H381" s="78">
        <f t="shared" si="61"/>
        <v>85</v>
      </c>
      <c r="I381" s="78">
        <f t="shared" si="60"/>
        <v>0</v>
      </c>
      <c r="J381" s="80">
        <v>100</v>
      </c>
      <c r="K381" s="80">
        <v>300</v>
      </c>
      <c r="L381" s="78">
        <f t="shared" si="53"/>
        <v>1239</v>
      </c>
      <c r="M381" s="88">
        <v>600</v>
      </c>
      <c r="N381" s="78">
        <f>75</f>
        <v>75</v>
      </c>
      <c r="O381" s="80">
        <v>240</v>
      </c>
      <c r="P381" s="80">
        <v>160</v>
      </c>
      <c r="Q381" s="80">
        <f t="shared" si="54"/>
        <v>195</v>
      </c>
      <c r="R381" s="80">
        <f t="shared" si="55"/>
        <v>100</v>
      </c>
      <c r="S381" s="78">
        <f t="shared" si="56"/>
        <v>695</v>
      </c>
      <c r="T381" s="78">
        <f>0</f>
        <v>0</v>
      </c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</row>
    <row r="382" spans="1:30" ht="15.75" x14ac:dyDescent="0.25">
      <c r="A382" s="14">
        <v>52565</v>
      </c>
      <c r="B382" s="90">
        <v>30</v>
      </c>
      <c r="C382" s="78">
        <f>122.58</f>
        <v>122.58</v>
      </c>
      <c r="D382" s="78">
        <f>297.941</f>
        <v>297.94099999999997</v>
      </c>
      <c r="E382" s="86">
        <f>89.177</f>
        <v>89.177000000000007</v>
      </c>
      <c r="F382" s="78">
        <f>240.302-40-60</f>
        <v>140.30199999999999</v>
      </c>
      <c r="G382" s="80">
        <v>40</v>
      </c>
      <c r="H382" s="78">
        <v>60</v>
      </c>
      <c r="I382" s="78">
        <f t="shared" si="60"/>
        <v>0</v>
      </c>
      <c r="J382" s="80">
        <v>100</v>
      </c>
      <c r="K382" s="80">
        <v>300</v>
      </c>
      <c r="L382" s="78">
        <f t="shared" si="53"/>
        <v>1150</v>
      </c>
      <c r="M382" s="88">
        <v>600</v>
      </c>
      <c r="N382" s="78">
        <f>100</f>
        <v>100</v>
      </c>
      <c r="O382" s="80">
        <v>240</v>
      </c>
      <c r="P382" s="80">
        <v>40</v>
      </c>
      <c r="Q382" s="80">
        <f t="shared" si="54"/>
        <v>315</v>
      </c>
      <c r="R382" s="80">
        <f t="shared" si="55"/>
        <v>100</v>
      </c>
      <c r="S382" s="78">
        <f t="shared" si="56"/>
        <v>695</v>
      </c>
      <c r="T382" s="78">
        <f>50</f>
        <v>50</v>
      </c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</row>
    <row r="383" spans="1:30" ht="15.75" x14ac:dyDescent="0.25">
      <c r="A383" s="14">
        <v>52596</v>
      </c>
      <c r="B383" s="90">
        <v>31</v>
      </c>
      <c r="C383" s="78">
        <f>122.58</f>
        <v>122.58</v>
      </c>
      <c r="D383" s="78">
        <f>297.941</f>
        <v>297.94099999999997</v>
      </c>
      <c r="E383" s="86">
        <f>89.177</f>
        <v>89.177000000000007</v>
      </c>
      <c r="F383" s="78">
        <f>240.302-40-60</f>
        <v>140.30199999999999</v>
      </c>
      <c r="G383" s="80">
        <v>40</v>
      </c>
      <c r="H383" s="78">
        <v>60</v>
      </c>
      <c r="I383" s="78">
        <f t="shared" si="60"/>
        <v>0</v>
      </c>
      <c r="J383" s="80">
        <v>100</v>
      </c>
      <c r="K383" s="80">
        <v>300</v>
      </c>
      <c r="L383" s="78">
        <f t="shared" si="53"/>
        <v>1150</v>
      </c>
      <c r="M383" s="88">
        <v>600</v>
      </c>
      <c r="N383" s="78">
        <f>100</f>
        <v>100</v>
      </c>
      <c r="O383" s="80">
        <v>240</v>
      </c>
      <c r="P383" s="80">
        <v>40</v>
      </c>
      <c r="Q383" s="80">
        <f t="shared" si="54"/>
        <v>315</v>
      </c>
      <c r="R383" s="80">
        <f t="shared" si="55"/>
        <v>100</v>
      </c>
      <c r="S383" s="78">
        <f t="shared" si="56"/>
        <v>695</v>
      </c>
      <c r="T383" s="78">
        <f>50</f>
        <v>50</v>
      </c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</row>
    <row r="384" spans="1:30" ht="15.75" x14ac:dyDescent="0.25">
      <c r="A384" s="14">
        <v>52627</v>
      </c>
      <c r="B384" s="90">
        <v>31</v>
      </c>
      <c r="C384" s="78">
        <f>122.58</f>
        <v>122.58</v>
      </c>
      <c r="D384" s="78">
        <f>297.941</f>
        <v>297.94099999999997</v>
      </c>
      <c r="E384" s="86">
        <f>89.177</f>
        <v>89.177000000000007</v>
      </c>
      <c r="F384" s="78">
        <f>240.302-40-60</f>
        <v>140.30199999999999</v>
      </c>
      <c r="G384" s="80">
        <v>40</v>
      </c>
      <c r="H384" s="78">
        <v>60</v>
      </c>
      <c r="I384" s="78">
        <f t="shared" si="60"/>
        <v>0</v>
      </c>
      <c r="J384" s="80">
        <v>100</v>
      </c>
      <c r="K384" s="80">
        <v>300</v>
      </c>
      <c r="L384" s="78">
        <f t="shared" si="53"/>
        <v>1150</v>
      </c>
      <c r="M384" s="88">
        <v>600</v>
      </c>
      <c r="N384" s="78">
        <f>100</f>
        <v>100</v>
      </c>
      <c r="O384" s="80">
        <v>240</v>
      </c>
      <c r="P384" s="80">
        <v>40</v>
      </c>
      <c r="Q384" s="80">
        <f t="shared" si="54"/>
        <v>315</v>
      </c>
      <c r="R384" s="80">
        <f t="shared" si="55"/>
        <v>100</v>
      </c>
      <c r="S384" s="78">
        <f t="shared" si="56"/>
        <v>695</v>
      </c>
      <c r="T384" s="78">
        <f>50</f>
        <v>50</v>
      </c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</row>
    <row r="385" spans="1:30" ht="15.75" x14ac:dyDescent="0.25">
      <c r="A385" s="14">
        <v>52655</v>
      </c>
      <c r="B385" s="90">
        <v>29</v>
      </c>
      <c r="C385" s="78">
        <f>122.58</f>
        <v>122.58</v>
      </c>
      <c r="D385" s="78">
        <f>297.941</f>
        <v>297.94099999999997</v>
      </c>
      <c r="E385" s="86">
        <f>89.177</f>
        <v>89.177000000000007</v>
      </c>
      <c r="F385" s="78">
        <f>240.302-40-60</f>
        <v>140.30199999999999</v>
      </c>
      <c r="G385" s="80">
        <v>40</v>
      </c>
      <c r="H385" s="78">
        <v>60</v>
      </c>
      <c r="I385" s="78">
        <f t="shared" si="60"/>
        <v>0</v>
      </c>
      <c r="J385" s="80">
        <v>100</v>
      </c>
      <c r="K385" s="80">
        <v>300</v>
      </c>
      <c r="L385" s="78">
        <f t="shared" si="53"/>
        <v>1150</v>
      </c>
      <c r="M385" s="88">
        <v>600</v>
      </c>
      <c r="N385" s="78">
        <f>100</f>
        <v>100</v>
      </c>
      <c r="O385" s="80">
        <v>240</v>
      </c>
      <c r="P385" s="80">
        <v>40</v>
      </c>
      <c r="Q385" s="80">
        <f t="shared" si="54"/>
        <v>315</v>
      </c>
      <c r="R385" s="80">
        <f t="shared" si="55"/>
        <v>100</v>
      </c>
      <c r="S385" s="78">
        <f t="shared" si="56"/>
        <v>695</v>
      </c>
      <c r="T385" s="78">
        <f>50</f>
        <v>50</v>
      </c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</row>
    <row r="386" spans="1:30" ht="15.75" x14ac:dyDescent="0.25">
      <c r="A386" s="14">
        <v>52687</v>
      </c>
      <c r="B386" s="90">
        <v>31</v>
      </c>
      <c r="C386" s="78">
        <f>122.58</f>
        <v>122.58</v>
      </c>
      <c r="D386" s="78">
        <f>297.941</f>
        <v>297.94099999999997</v>
      </c>
      <c r="E386" s="86">
        <f>89.177</f>
        <v>89.177000000000007</v>
      </c>
      <c r="F386" s="78">
        <f>240.302-40-60</f>
        <v>140.30199999999999</v>
      </c>
      <c r="G386" s="80">
        <v>40</v>
      </c>
      <c r="H386" s="78">
        <v>60</v>
      </c>
      <c r="I386" s="78">
        <f t="shared" si="60"/>
        <v>0</v>
      </c>
      <c r="J386" s="80">
        <v>100</v>
      </c>
      <c r="K386" s="80">
        <v>300</v>
      </c>
      <c r="L386" s="78">
        <f t="shared" si="53"/>
        <v>1150</v>
      </c>
      <c r="M386" s="88">
        <v>600</v>
      </c>
      <c r="N386" s="78">
        <f>100</f>
        <v>100</v>
      </c>
      <c r="O386" s="80">
        <v>240</v>
      </c>
      <c r="P386" s="80">
        <v>40</v>
      </c>
      <c r="Q386" s="80">
        <f t="shared" si="54"/>
        <v>315</v>
      </c>
      <c r="R386" s="80">
        <f t="shared" si="55"/>
        <v>100</v>
      </c>
      <c r="S386" s="78">
        <f t="shared" si="56"/>
        <v>695</v>
      </c>
      <c r="T386" s="78">
        <f>50</f>
        <v>50</v>
      </c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</row>
    <row r="387" spans="1:30" ht="15.75" x14ac:dyDescent="0.25">
      <c r="A387" s="14">
        <v>52717</v>
      </c>
      <c r="B387" s="90">
        <v>30</v>
      </c>
      <c r="C387" s="78">
        <f>141.293</f>
        <v>141.29300000000001</v>
      </c>
      <c r="D387" s="78">
        <f>267.993</f>
        <v>267.99299999999999</v>
      </c>
      <c r="E387" s="86">
        <f>115.016</f>
        <v>115.01600000000001</v>
      </c>
      <c r="F387" s="78">
        <f>314.698-40-25-60</f>
        <v>189.69799999999998</v>
      </c>
      <c r="G387" s="80">
        <v>40</v>
      </c>
      <c r="H387" s="78">
        <f t="shared" ref="H387:H393" si="62">25+60</f>
        <v>85</v>
      </c>
      <c r="I387" s="78">
        <f t="shared" si="60"/>
        <v>0</v>
      </c>
      <c r="J387" s="80">
        <v>100</v>
      </c>
      <c r="K387" s="80">
        <v>300</v>
      </c>
      <c r="L387" s="78">
        <f t="shared" si="53"/>
        <v>1239</v>
      </c>
      <c r="M387" s="88">
        <v>600</v>
      </c>
      <c r="N387" s="78">
        <f>100</f>
        <v>100</v>
      </c>
      <c r="O387" s="80">
        <v>240</v>
      </c>
      <c r="P387" s="80">
        <v>160</v>
      </c>
      <c r="Q387" s="80">
        <f t="shared" si="54"/>
        <v>195</v>
      </c>
      <c r="R387" s="80">
        <f t="shared" si="55"/>
        <v>100</v>
      </c>
      <c r="S387" s="78">
        <f t="shared" si="56"/>
        <v>695</v>
      </c>
      <c r="T387" s="78">
        <f>50</f>
        <v>50</v>
      </c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</row>
    <row r="388" spans="1:30" ht="15.75" x14ac:dyDescent="0.25">
      <c r="A388" s="14">
        <v>52748</v>
      </c>
      <c r="B388" s="90">
        <v>31</v>
      </c>
      <c r="C388" s="78">
        <f>194.205</f>
        <v>194.20500000000001</v>
      </c>
      <c r="D388" s="78">
        <f>267.466</f>
        <v>267.46600000000001</v>
      </c>
      <c r="E388" s="86">
        <f>133.845</f>
        <v>133.845</v>
      </c>
      <c r="F388" s="78">
        <f>278.484-40-25-60</f>
        <v>153.48399999999998</v>
      </c>
      <c r="G388" s="80">
        <v>40</v>
      </c>
      <c r="H388" s="78">
        <f t="shared" si="62"/>
        <v>85</v>
      </c>
      <c r="I388" s="78">
        <f t="shared" si="60"/>
        <v>0</v>
      </c>
      <c r="J388" s="80">
        <v>100</v>
      </c>
      <c r="K388" s="80">
        <v>300</v>
      </c>
      <c r="L388" s="78">
        <f t="shared" si="53"/>
        <v>1274</v>
      </c>
      <c r="M388" s="88">
        <v>600</v>
      </c>
      <c r="N388" s="78">
        <f>75</f>
        <v>75</v>
      </c>
      <c r="O388" s="80">
        <v>240</v>
      </c>
      <c r="P388" s="80">
        <v>160</v>
      </c>
      <c r="Q388" s="80">
        <f t="shared" si="54"/>
        <v>195</v>
      </c>
      <c r="R388" s="80">
        <f t="shared" si="55"/>
        <v>100</v>
      </c>
      <c r="S388" s="78">
        <f t="shared" si="56"/>
        <v>695</v>
      </c>
      <c r="T388" s="78">
        <f>50</f>
        <v>50</v>
      </c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</row>
    <row r="389" spans="1:30" ht="15.75" x14ac:dyDescent="0.25">
      <c r="A389" s="14">
        <v>52778</v>
      </c>
      <c r="B389" s="90">
        <v>30</v>
      </c>
      <c r="C389" s="78">
        <f>194.205</f>
        <v>194.20500000000001</v>
      </c>
      <c r="D389" s="78">
        <f>267.466</f>
        <v>267.46600000000001</v>
      </c>
      <c r="E389" s="86">
        <f>133.845</f>
        <v>133.845</v>
      </c>
      <c r="F389" s="78">
        <f>278.484-40-25-60</f>
        <v>153.48399999999998</v>
      </c>
      <c r="G389" s="80">
        <v>40</v>
      </c>
      <c r="H389" s="78">
        <f t="shared" si="62"/>
        <v>85</v>
      </c>
      <c r="I389" s="78">
        <f t="shared" si="60"/>
        <v>0</v>
      </c>
      <c r="J389" s="80">
        <v>100</v>
      </c>
      <c r="K389" s="80">
        <v>300</v>
      </c>
      <c r="L389" s="78">
        <f t="shared" si="53"/>
        <v>1274</v>
      </c>
      <c r="M389" s="88">
        <v>600</v>
      </c>
      <c r="N389" s="78">
        <f>30</f>
        <v>30</v>
      </c>
      <c r="O389" s="80">
        <v>240</v>
      </c>
      <c r="P389" s="80">
        <v>160</v>
      </c>
      <c r="Q389" s="80">
        <f t="shared" si="54"/>
        <v>195</v>
      </c>
      <c r="R389" s="80">
        <f t="shared" si="55"/>
        <v>100</v>
      </c>
      <c r="S389" s="78">
        <f t="shared" si="56"/>
        <v>695</v>
      </c>
      <c r="T389" s="78">
        <f>50</f>
        <v>50</v>
      </c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</row>
    <row r="390" spans="1:30" ht="15.75" x14ac:dyDescent="0.25">
      <c r="A390" s="14">
        <v>52809</v>
      </c>
      <c r="B390" s="90">
        <v>31</v>
      </c>
      <c r="C390" s="78">
        <f>194.205</f>
        <v>194.20500000000001</v>
      </c>
      <c r="D390" s="78">
        <f>267.466</f>
        <v>267.46600000000001</v>
      </c>
      <c r="E390" s="86">
        <f>133.845</f>
        <v>133.845</v>
      </c>
      <c r="F390" s="78">
        <f>278.484-40-25-60</f>
        <v>153.48399999999998</v>
      </c>
      <c r="G390" s="80">
        <v>40</v>
      </c>
      <c r="H390" s="78">
        <f t="shared" si="62"/>
        <v>85</v>
      </c>
      <c r="I390" s="78">
        <f t="shared" si="60"/>
        <v>0</v>
      </c>
      <c r="J390" s="80">
        <v>100</v>
      </c>
      <c r="K390" s="80">
        <v>300</v>
      </c>
      <c r="L390" s="78">
        <f t="shared" si="53"/>
        <v>1274</v>
      </c>
      <c r="M390" s="88">
        <v>600</v>
      </c>
      <c r="N390" s="78">
        <f>30</f>
        <v>30</v>
      </c>
      <c r="O390" s="80">
        <v>240</v>
      </c>
      <c r="P390" s="80">
        <v>160</v>
      </c>
      <c r="Q390" s="80">
        <f t="shared" si="54"/>
        <v>195</v>
      </c>
      <c r="R390" s="80">
        <f t="shared" si="55"/>
        <v>100</v>
      </c>
      <c r="S390" s="78">
        <f t="shared" si="56"/>
        <v>695</v>
      </c>
      <c r="T390" s="78">
        <f>0</f>
        <v>0</v>
      </c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</row>
    <row r="391" spans="1:30" ht="15.75" x14ac:dyDescent="0.25">
      <c r="A391" s="14">
        <v>52840</v>
      </c>
      <c r="B391" s="90">
        <v>31</v>
      </c>
      <c r="C391" s="78">
        <f>194.205</f>
        <v>194.20500000000001</v>
      </c>
      <c r="D391" s="78">
        <f>267.466</f>
        <v>267.46600000000001</v>
      </c>
      <c r="E391" s="86">
        <f>133.845</f>
        <v>133.845</v>
      </c>
      <c r="F391" s="78">
        <f>278.484-40-25-60</f>
        <v>153.48399999999998</v>
      </c>
      <c r="G391" s="80">
        <v>40</v>
      </c>
      <c r="H391" s="78">
        <f t="shared" si="62"/>
        <v>85</v>
      </c>
      <c r="I391" s="78">
        <f t="shared" si="60"/>
        <v>0</v>
      </c>
      <c r="J391" s="80">
        <v>100</v>
      </c>
      <c r="K391" s="80">
        <v>300</v>
      </c>
      <c r="L391" s="78">
        <f t="shared" si="53"/>
        <v>1274</v>
      </c>
      <c r="M391" s="88">
        <v>600</v>
      </c>
      <c r="N391" s="78">
        <f>30</f>
        <v>30</v>
      </c>
      <c r="O391" s="80">
        <v>240</v>
      </c>
      <c r="P391" s="80">
        <v>160</v>
      </c>
      <c r="Q391" s="80">
        <f t="shared" si="54"/>
        <v>195</v>
      </c>
      <c r="R391" s="80">
        <f t="shared" si="55"/>
        <v>100</v>
      </c>
      <c r="S391" s="78">
        <f t="shared" si="56"/>
        <v>695</v>
      </c>
      <c r="T391" s="78">
        <f>0</f>
        <v>0</v>
      </c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</row>
    <row r="392" spans="1:30" ht="15.75" x14ac:dyDescent="0.25">
      <c r="A392" s="14">
        <v>52870</v>
      </c>
      <c r="B392" s="90">
        <v>30</v>
      </c>
      <c r="C392" s="78">
        <f>194.205</f>
        <v>194.20500000000001</v>
      </c>
      <c r="D392" s="78">
        <f>267.466</f>
        <v>267.46600000000001</v>
      </c>
      <c r="E392" s="86">
        <f>133.845</f>
        <v>133.845</v>
      </c>
      <c r="F392" s="78">
        <f>278.484-40-25-60</f>
        <v>153.48399999999998</v>
      </c>
      <c r="G392" s="80">
        <v>40</v>
      </c>
      <c r="H392" s="78">
        <f t="shared" si="62"/>
        <v>85</v>
      </c>
      <c r="I392" s="78">
        <f t="shared" si="60"/>
        <v>0</v>
      </c>
      <c r="J392" s="80">
        <v>100</v>
      </c>
      <c r="K392" s="80">
        <v>300</v>
      </c>
      <c r="L392" s="78">
        <f t="shared" si="53"/>
        <v>1274</v>
      </c>
      <c r="M392" s="88">
        <v>600</v>
      </c>
      <c r="N392" s="78">
        <f>30</f>
        <v>30</v>
      </c>
      <c r="O392" s="80">
        <v>240</v>
      </c>
      <c r="P392" s="80">
        <v>160</v>
      </c>
      <c r="Q392" s="80">
        <f t="shared" si="54"/>
        <v>195</v>
      </c>
      <c r="R392" s="80">
        <f t="shared" si="55"/>
        <v>100</v>
      </c>
      <c r="S392" s="78">
        <f t="shared" si="56"/>
        <v>695</v>
      </c>
      <c r="T392" s="78">
        <f>0</f>
        <v>0</v>
      </c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</row>
    <row r="393" spans="1:30" ht="15.75" x14ac:dyDescent="0.25">
      <c r="A393" s="14">
        <v>52901</v>
      </c>
      <c r="B393" s="90">
        <v>31</v>
      </c>
      <c r="C393" s="78">
        <f>131.881</f>
        <v>131.881</v>
      </c>
      <c r="D393" s="78">
        <f>277.167</f>
        <v>277.16699999999997</v>
      </c>
      <c r="E393" s="86">
        <f>79.08</f>
        <v>79.08</v>
      </c>
      <c r="F393" s="78">
        <f>350.872-40-25-60</f>
        <v>225.87200000000001</v>
      </c>
      <c r="G393" s="80">
        <v>40</v>
      </c>
      <c r="H393" s="78">
        <f t="shared" si="62"/>
        <v>85</v>
      </c>
      <c r="I393" s="78">
        <f t="shared" si="60"/>
        <v>0</v>
      </c>
      <c r="J393" s="80">
        <v>100</v>
      </c>
      <c r="K393" s="80">
        <v>300</v>
      </c>
      <c r="L393" s="78">
        <f t="shared" si="53"/>
        <v>1239</v>
      </c>
      <c r="M393" s="88">
        <v>600</v>
      </c>
      <c r="N393" s="78">
        <f>75</f>
        <v>75</v>
      </c>
      <c r="O393" s="80">
        <v>240</v>
      </c>
      <c r="P393" s="80">
        <v>160</v>
      </c>
      <c r="Q393" s="80">
        <f t="shared" si="54"/>
        <v>195</v>
      </c>
      <c r="R393" s="80">
        <f t="shared" si="55"/>
        <v>100</v>
      </c>
      <c r="S393" s="78">
        <f t="shared" si="56"/>
        <v>695</v>
      </c>
      <c r="T393" s="78">
        <f>0</f>
        <v>0</v>
      </c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</row>
    <row r="394" spans="1:30" ht="15.75" x14ac:dyDescent="0.25">
      <c r="A394" s="14">
        <v>52931</v>
      </c>
      <c r="B394" s="90">
        <v>30</v>
      </c>
      <c r="C394" s="78">
        <f>122.58</f>
        <v>122.58</v>
      </c>
      <c r="D394" s="78">
        <f>297.941</f>
        <v>297.94099999999997</v>
      </c>
      <c r="E394" s="86">
        <f>89.177</f>
        <v>89.177000000000007</v>
      </c>
      <c r="F394" s="78">
        <f>240.302-40-60</f>
        <v>140.30199999999999</v>
      </c>
      <c r="G394" s="80">
        <v>40</v>
      </c>
      <c r="H394" s="78">
        <v>60</v>
      </c>
      <c r="I394" s="78">
        <f t="shared" si="60"/>
        <v>0</v>
      </c>
      <c r="J394" s="80">
        <v>100</v>
      </c>
      <c r="K394" s="80">
        <v>300</v>
      </c>
      <c r="L394" s="78">
        <f t="shared" si="53"/>
        <v>1150</v>
      </c>
      <c r="M394" s="88">
        <v>600</v>
      </c>
      <c r="N394" s="78">
        <f>100</f>
        <v>100</v>
      </c>
      <c r="O394" s="80">
        <v>240</v>
      </c>
      <c r="P394" s="80">
        <v>40</v>
      </c>
      <c r="Q394" s="80">
        <f t="shared" si="54"/>
        <v>315</v>
      </c>
      <c r="R394" s="80">
        <f t="shared" si="55"/>
        <v>100</v>
      </c>
      <c r="S394" s="78">
        <f t="shared" si="56"/>
        <v>695</v>
      </c>
      <c r="T394" s="78">
        <f>50</f>
        <v>50</v>
      </c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</row>
    <row r="395" spans="1:30" ht="15.75" x14ac:dyDescent="0.25">
      <c r="A395" s="14">
        <v>52962</v>
      </c>
      <c r="B395" s="90">
        <v>31</v>
      </c>
      <c r="C395" s="78">
        <f>122.58</f>
        <v>122.58</v>
      </c>
      <c r="D395" s="78">
        <f>297.941</f>
        <v>297.94099999999997</v>
      </c>
      <c r="E395" s="86">
        <f>89.177</f>
        <v>89.177000000000007</v>
      </c>
      <c r="F395" s="78">
        <f>240.302-40-60</f>
        <v>140.30199999999999</v>
      </c>
      <c r="G395" s="80">
        <v>40</v>
      </c>
      <c r="H395" s="78">
        <v>60</v>
      </c>
      <c r="I395" s="78">
        <f t="shared" si="60"/>
        <v>0</v>
      </c>
      <c r="J395" s="80">
        <v>100</v>
      </c>
      <c r="K395" s="80">
        <v>300</v>
      </c>
      <c r="L395" s="78">
        <f t="shared" si="53"/>
        <v>1150</v>
      </c>
      <c r="M395" s="88">
        <v>600</v>
      </c>
      <c r="N395" s="78">
        <f>100</f>
        <v>100</v>
      </c>
      <c r="O395" s="80">
        <v>240</v>
      </c>
      <c r="P395" s="80">
        <v>40</v>
      </c>
      <c r="Q395" s="80">
        <f t="shared" si="54"/>
        <v>315</v>
      </c>
      <c r="R395" s="80">
        <f t="shared" si="55"/>
        <v>100</v>
      </c>
      <c r="S395" s="78">
        <f t="shared" si="56"/>
        <v>695</v>
      </c>
      <c r="T395" s="78">
        <f>50</f>
        <v>50</v>
      </c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</row>
    <row r="396" spans="1:30" ht="15.75" x14ac:dyDescent="0.25">
      <c r="A396" s="14">
        <v>52993</v>
      </c>
      <c r="B396" s="90">
        <v>31</v>
      </c>
      <c r="C396" s="78">
        <f>122.58</f>
        <v>122.58</v>
      </c>
      <c r="D396" s="78">
        <f>297.941</f>
        <v>297.94099999999997</v>
      </c>
      <c r="E396" s="86">
        <f>89.177</f>
        <v>89.177000000000007</v>
      </c>
      <c r="F396" s="78">
        <f>240.302-40-60</f>
        <v>140.30199999999999</v>
      </c>
      <c r="G396" s="80">
        <v>40</v>
      </c>
      <c r="H396" s="78">
        <v>60</v>
      </c>
      <c r="I396" s="78">
        <f t="shared" si="60"/>
        <v>0</v>
      </c>
      <c r="J396" s="80">
        <v>100</v>
      </c>
      <c r="K396" s="80">
        <v>300</v>
      </c>
      <c r="L396" s="78">
        <f t="shared" si="53"/>
        <v>1150</v>
      </c>
      <c r="M396" s="88">
        <v>600</v>
      </c>
      <c r="N396" s="78">
        <f>100</f>
        <v>100</v>
      </c>
      <c r="O396" s="80">
        <v>240</v>
      </c>
      <c r="P396" s="80">
        <v>40</v>
      </c>
      <c r="Q396" s="80">
        <f t="shared" si="54"/>
        <v>315</v>
      </c>
      <c r="R396" s="80">
        <f t="shared" si="55"/>
        <v>100</v>
      </c>
      <c r="S396" s="78">
        <f t="shared" si="56"/>
        <v>695</v>
      </c>
      <c r="T396" s="78">
        <f>50</f>
        <v>50</v>
      </c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</row>
    <row r="397" spans="1:30" ht="15.75" x14ac:dyDescent="0.25">
      <c r="A397" s="14">
        <v>53021</v>
      </c>
      <c r="B397" s="90">
        <v>28</v>
      </c>
      <c r="C397" s="78">
        <f>122.58</f>
        <v>122.58</v>
      </c>
      <c r="D397" s="78">
        <f>297.941</f>
        <v>297.94099999999997</v>
      </c>
      <c r="E397" s="86">
        <f>89.177</f>
        <v>89.177000000000007</v>
      </c>
      <c r="F397" s="78">
        <f>240.302-40-60</f>
        <v>140.30199999999999</v>
      </c>
      <c r="G397" s="80">
        <v>40</v>
      </c>
      <c r="H397" s="78">
        <v>60</v>
      </c>
      <c r="I397" s="78">
        <f t="shared" si="60"/>
        <v>0</v>
      </c>
      <c r="J397" s="80">
        <v>100</v>
      </c>
      <c r="K397" s="80">
        <v>300</v>
      </c>
      <c r="L397" s="78">
        <f t="shared" si="53"/>
        <v>1150</v>
      </c>
      <c r="M397" s="88">
        <v>600</v>
      </c>
      <c r="N397" s="78">
        <f>100</f>
        <v>100</v>
      </c>
      <c r="O397" s="80">
        <v>240</v>
      </c>
      <c r="P397" s="80">
        <v>40</v>
      </c>
      <c r="Q397" s="80">
        <f t="shared" si="54"/>
        <v>315</v>
      </c>
      <c r="R397" s="80">
        <f t="shared" si="55"/>
        <v>100</v>
      </c>
      <c r="S397" s="78">
        <f t="shared" si="56"/>
        <v>695</v>
      </c>
      <c r="T397" s="78">
        <f>50</f>
        <v>50</v>
      </c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</row>
    <row r="398" spans="1:30" ht="15.75" x14ac:dyDescent="0.25">
      <c r="A398" s="14">
        <v>53052</v>
      </c>
      <c r="B398" s="90">
        <v>31</v>
      </c>
      <c r="C398" s="78">
        <f>122.58</f>
        <v>122.58</v>
      </c>
      <c r="D398" s="78">
        <f>297.941</f>
        <v>297.94099999999997</v>
      </c>
      <c r="E398" s="86">
        <f>89.177</f>
        <v>89.177000000000007</v>
      </c>
      <c r="F398" s="78">
        <f>240.302-40-60</f>
        <v>140.30199999999999</v>
      </c>
      <c r="G398" s="80">
        <v>40</v>
      </c>
      <c r="H398" s="78">
        <v>60</v>
      </c>
      <c r="I398" s="78">
        <f t="shared" si="60"/>
        <v>0</v>
      </c>
      <c r="J398" s="80">
        <v>100</v>
      </c>
      <c r="K398" s="80">
        <v>300</v>
      </c>
      <c r="L398" s="78">
        <f t="shared" ref="L398:L461" si="63">SUM(C398:K398)</f>
        <v>1150</v>
      </c>
      <c r="M398" s="88">
        <v>600</v>
      </c>
      <c r="N398" s="78">
        <f>100</f>
        <v>100</v>
      </c>
      <c r="O398" s="80">
        <v>240</v>
      </c>
      <c r="P398" s="80">
        <v>40</v>
      </c>
      <c r="Q398" s="80">
        <f t="shared" ref="Q398:Q461" si="64">695-R398-O398-P398</f>
        <v>315</v>
      </c>
      <c r="R398" s="80">
        <f t="shared" ref="R398:R461" si="65">200-J398</f>
        <v>100</v>
      </c>
      <c r="S398" s="78">
        <f t="shared" ref="S398:S461" si="66">SUM(O398:R398)</f>
        <v>695</v>
      </c>
      <c r="T398" s="78">
        <f>50</f>
        <v>50</v>
      </c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</row>
    <row r="399" spans="1:30" ht="15.75" x14ac:dyDescent="0.25">
      <c r="A399" s="14">
        <v>53082</v>
      </c>
      <c r="B399" s="90">
        <v>30</v>
      </c>
      <c r="C399" s="78">
        <f>141.293</f>
        <v>141.29300000000001</v>
      </c>
      <c r="D399" s="78">
        <f>267.993</f>
        <v>267.99299999999999</v>
      </c>
      <c r="E399" s="86">
        <f>115.016</f>
        <v>115.01600000000001</v>
      </c>
      <c r="F399" s="78">
        <f>314.698-40-25-60</f>
        <v>189.69799999999998</v>
      </c>
      <c r="G399" s="80">
        <v>40</v>
      </c>
      <c r="H399" s="78">
        <f t="shared" ref="H399:H405" si="67">25+60</f>
        <v>85</v>
      </c>
      <c r="I399" s="78">
        <f t="shared" si="60"/>
        <v>0</v>
      </c>
      <c r="J399" s="80">
        <v>100</v>
      </c>
      <c r="K399" s="80">
        <v>300</v>
      </c>
      <c r="L399" s="78">
        <f t="shared" si="63"/>
        <v>1239</v>
      </c>
      <c r="M399" s="88">
        <v>600</v>
      </c>
      <c r="N399" s="78">
        <f>100</f>
        <v>100</v>
      </c>
      <c r="O399" s="80">
        <v>240</v>
      </c>
      <c r="P399" s="80">
        <v>160</v>
      </c>
      <c r="Q399" s="80">
        <f t="shared" si="64"/>
        <v>195</v>
      </c>
      <c r="R399" s="80">
        <f t="shared" si="65"/>
        <v>100</v>
      </c>
      <c r="S399" s="78">
        <f t="shared" si="66"/>
        <v>695</v>
      </c>
      <c r="T399" s="78">
        <f>50</f>
        <v>50</v>
      </c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</row>
    <row r="400" spans="1:30" ht="15.75" x14ac:dyDescent="0.25">
      <c r="A400" s="14">
        <v>53113</v>
      </c>
      <c r="B400" s="90">
        <v>31</v>
      </c>
      <c r="C400" s="78">
        <f>194.205</f>
        <v>194.20500000000001</v>
      </c>
      <c r="D400" s="78">
        <f>267.466</f>
        <v>267.46600000000001</v>
      </c>
      <c r="E400" s="86">
        <f>133.845</f>
        <v>133.845</v>
      </c>
      <c r="F400" s="78">
        <f>278.484-40-25-60</f>
        <v>153.48399999999998</v>
      </c>
      <c r="G400" s="80">
        <v>40</v>
      </c>
      <c r="H400" s="78">
        <f t="shared" si="67"/>
        <v>85</v>
      </c>
      <c r="I400" s="78">
        <f t="shared" si="60"/>
        <v>0</v>
      </c>
      <c r="J400" s="80">
        <v>100</v>
      </c>
      <c r="K400" s="80">
        <v>300</v>
      </c>
      <c r="L400" s="78">
        <f t="shared" si="63"/>
        <v>1274</v>
      </c>
      <c r="M400" s="88">
        <v>600</v>
      </c>
      <c r="N400" s="78">
        <f>75</f>
        <v>75</v>
      </c>
      <c r="O400" s="80">
        <v>240</v>
      </c>
      <c r="P400" s="80">
        <v>160</v>
      </c>
      <c r="Q400" s="80">
        <f t="shared" si="64"/>
        <v>195</v>
      </c>
      <c r="R400" s="80">
        <f t="shared" si="65"/>
        <v>100</v>
      </c>
      <c r="S400" s="78">
        <f t="shared" si="66"/>
        <v>695</v>
      </c>
      <c r="T400" s="78">
        <f>50</f>
        <v>50</v>
      </c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</row>
    <row r="401" spans="1:30" ht="15.75" x14ac:dyDescent="0.25">
      <c r="A401" s="14">
        <v>53143</v>
      </c>
      <c r="B401" s="90">
        <v>30</v>
      </c>
      <c r="C401" s="78">
        <f>194.205</f>
        <v>194.20500000000001</v>
      </c>
      <c r="D401" s="78">
        <f>267.466</f>
        <v>267.46600000000001</v>
      </c>
      <c r="E401" s="86">
        <f>133.845</f>
        <v>133.845</v>
      </c>
      <c r="F401" s="78">
        <f>278.484-40-25-60</f>
        <v>153.48399999999998</v>
      </c>
      <c r="G401" s="80">
        <v>40</v>
      </c>
      <c r="H401" s="78">
        <f t="shared" si="67"/>
        <v>85</v>
      </c>
      <c r="I401" s="78">
        <f t="shared" si="60"/>
        <v>0</v>
      </c>
      <c r="J401" s="80">
        <v>100</v>
      </c>
      <c r="K401" s="80">
        <v>300</v>
      </c>
      <c r="L401" s="78">
        <f t="shared" si="63"/>
        <v>1274</v>
      </c>
      <c r="M401" s="88">
        <v>600</v>
      </c>
      <c r="N401" s="78">
        <f>30</f>
        <v>30</v>
      </c>
      <c r="O401" s="80">
        <v>240</v>
      </c>
      <c r="P401" s="80">
        <v>160</v>
      </c>
      <c r="Q401" s="80">
        <f t="shared" si="64"/>
        <v>195</v>
      </c>
      <c r="R401" s="80">
        <f t="shared" si="65"/>
        <v>100</v>
      </c>
      <c r="S401" s="78">
        <f t="shared" si="66"/>
        <v>695</v>
      </c>
      <c r="T401" s="78">
        <f>50</f>
        <v>50</v>
      </c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</row>
    <row r="402" spans="1:30" ht="15.75" x14ac:dyDescent="0.25">
      <c r="A402" s="14">
        <v>53174</v>
      </c>
      <c r="B402" s="90">
        <v>31</v>
      </c>
      <c r="C402" s="78">
        <f>194.205</f>
        <v>194.20500000000001</v>
      </c>
      <c r="D402" s="78">
        <f>267.466</f>
        <v>267.46600000000001</v>
      </c>
      <c r="E402" s="86">
        <f>133.845</f>
        <v>133.845</v>
      </c>
      <c r="F402" s="78">
        <f>278.484-40-25-60</f>
        <v>153.48399999999998</v>
      </c>
      <c r="G402" s="80">
        <v>40</v>
      </c>
      <c r="H402" s="78">
        <f t="shared" si="67"/>
        <v>85</v>
      </c>
      <c r="I402" s="78">
        <f t="shared" si="60"/>
        <v>0</v>
      </c>
      <c r="J402" s="80">
        <v>100</v>
      </c>
      <c r="K402" s="80">
        <v>300</v>
      </c>
      <c r="L402" s="78">
        <f t="shared" si="63"/>
        <v>1274</v>
      </c>
      <c r="M402" s="88">
        <v>600</v>
      </c>
      <c r="N402" s="78">
        <f>30</f>
        <v>30</v>
      </c>
      <c r="O402" s="80">
        <v>240</v>
      </c>
      <c r="P402" s="80">
        <v>160</v>
      </c>
      <c r="Q402" s="80">
        <f t="shared" si="64"/>
        <v>195</v>
      </c>
      <c r="R402" s="80">
        <f t="shared" si="65"/>
        <v>100</v>
      </c>
      <c r="S402" s="78">
        <f t="shared" si="66"/>
        <v>695</v>
      </c>
      <c r="T402" s="78">
        <f>0</f>
        <v>0</v>
      </c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</row>
    <row r="403" spans="1:30" ht="15.75" x14ac:dyDescent="0.25">
      <c r="A403" s="14">
        <v>53205</v>
      </c>
      <c r="B403" s="90">
        <v>31</v>
      </c>
      <c r="C403" s="78">
        <f>194.205</f>
        <v>194.20500000000001</v>
      </c>
      <c r="D403" s="78">
        <f>267.466</f>
        <v>267.46600000000001</v>
      </c>
      <c r="E403" s="86">
        <f>133.845</f>
        <v>133.845</v>
      </c>
      <c r="F403" s="78">
        <f>278.484-40-25-60</f>
        <v>153.48399999999998</v>
      </c>
      <c r="G403" s="80">
        <v>40</v>
      </c>
      <c r="H403" s="78">
        <f t="shared" si="67"/>
        <v>85</v>
      </c>
      <c r="I403" s="78">
        <f t="shared" si="60"/>
        <v>0</v>
      </c>
      <c r="J403" s="80">
        <v>100</v>
      </c>
      <c r="K403" s="80">
        <v>300</v>
      </c>
      <c r="L403" s="78">
        <f t="shared" si="63"/>
        <v>1274</v>
      </c>
      <c r="M403" s="88">
        <v>600</v>
      </c>
      <c r="N403" s="78">
        <f>30</f>
        <v>30</v>
      </c>
      <c r="O403" s="80">
        <v>240</v>
      </c>
      <c r="P403" s="80">
        <v>160</v>
      </c>
      <c r="Q403" s="80">
        <f t="shared" si="64"/>
        <v>195</v>
      </c>
      <c r="R403" s="80">
        <f t="shared" si="65"/>
        <v>100</v>
      </c>
      <c r="S403" s="78">
        <f t="shared" si="66"/>
        <v>695</v>
      </c>
      <c r="T403" s="78">
        <f>0</f>
        <v>0</v>
      </c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</row>
    <row r="404" spans="1:30" ht="15.75" x14ac:dyDescent="0.25">
      <c r="A404" s="14">
        <v>53235</v>
      </c>
      <c r="B404" s="90">
        <v>30</v>
      </c>
      <c r="C404" s="78">
        <f>194.205</f>
        <v>194.20500000000001</v>
      </c>
      <c r="D404" s="78">
        <f>267.466</f>
        <v>267.46600000000001</v>
      </c>
      <c r="E404" s="86">
        <f>133.845</f>
        <v>133.845</v>
      </c>
      <c r="F404" s="78">
        <f>278.484-40-25-60</f>
        <v>153.48399999999998</v>
      </c>
      <c r="G404" s="80">
        <v>40</v>
      </c>
      <c r="H404" s="78">
        <f t="shared" si="67"/>
        <v>85</v>
      </c>
      <c r="I404" s="78">
        <f t="shared" si="60"/>
        <v>0</v>
      </c>
      <c r="J404" s="80">
        <v>100</v>
      </c>
      <c r="K404" s="80">
        <v>300</v>
      </c>
      <c r="L404" s="78">
        <f t="shared" si="63"/>
        <v>1274</v>
      </c>
      <c r="M404" s="88">
        <v>600</v>
      </c>
      <c r="N404" s="78">
        <f>30</f>
        <v>30</v>
      </c>
      <c r="O404" s="80">
        <v>240</v>
      </c>
      <c r="P404" s="80">
        <v>160</v>
      </c>
      <c r="Q404" s="80">
        <f t="shared" si="64"/>
        <v>195</v>
      </c>
      <c r="R404" s="80">
        <f t="shared" si="65"/>
        <v>100</v>
      </c>
      <c r="S404" s="78">
        <f t="shared" si="66"/>
        <v>695</v>
      </c>
      <c r="T404" s="78">
        <f>0</f>
        <v>0</v>
      </c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</row>
    <row r="405" spans="1:30" ht="15.75" x14ac:dyDescent="0.25">
      <c r="A405" s="14">
        <v>53266</v>
      </c>
      <c r="B405" s="90">
        <v>31</v>
      </c>
      <c r="C405" s="78">
        <f>131.881</f>
        <v>131.881</v>
      </c>
      <c r="D405" s="78">
        <f>277.167</f>
        <v>277.16699999999997</v>
      </c>
      <c r="E405" s="86">
        <f>79.08</f>
        <v>79.08</v>
      </c>
      <c r="F405" s="78">
        <f>350.872-40-25-60</f>
        <v>225.87200000000001</v>
      </c>
      <c r="G405" s="80">
        <v>40</v>
      </c>
      <c r="H405" s="78">
        <f t="shared" si="67"/>
        <v>85</v>
      </c>
      <c r="I405" s="78">
        <f t="shared" si="60"/>
        <v>0</v>
      </c>
      <c r="J405" s="80">
        <v>100</v>
      </c>
      <c r="K405" s="80">
        <v>300</v>
      </c>
      <c r="L405" s="78">
        <f t="shared" si="63"/>
        <v>1239</v>
      </c>
      <c r="M405" s="88">
        <v>600</v>
      </c>
      <c r="N405" s="78">
        <f>75</f>
        <v>75</v>
      </c>
      <c r="O405" s="80">
        <v>240</v>
      </c>
      <c r="P405" s="80">
        <v>160</v>
      </c>
      <c r="Q405" s="80">
        <f t="shared" si="64"/>
        <v>195</v>
      </c>
      <c r="R405" s="80">
        <f t="shared" si="65"/>
        <v>100</v>
      </c>
      <c r="S405" s="78">
        <f t="shared" si="66"/>
        <v>695</v>
      </c>
      <c r="T405" s="78">
        <f>0</f>
        <v>0</v>
      </c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</row>
    <row r="406" spans="1:30" ht="15.75" x14ac:dyDescent="0.25">
      <c r="A406" s="14">
        <v>53296</v>
      </c>
      <c r="B406" s="90">
        <v>30</v>
      </c>
      <c r="C406" s="78">
        <f>122.58</f>
        <v>122.58</v>
      </c>
      <c r="D406" s="78">
        <f>297.941</f>
        <v>297.94099999999997</v>
      </c>
      <c r="E406" s="86">
        <f>89.177</f>
        <v>89.177000000000007</v>
      </c>
      <c r="F406" s="78">
        <f>240.302-40-60</f>
        <v>140.30199999999999</v>
      </c>
      <c r="G406" s="80">
        <v>40</v>
      </c>
      <c r="H406" s="78">
        <v>60</v>
      </c>
      <c r="I406" s="78">
        <f t="shared" si="60"/>
        <v>0</v>
      </c>
      <c r="J406" s="80">
        <v>100</v>
      </c>
      <c r="K406" s="80">
        <v>300</v>
      </c>
      <c r="L406" s="78">
        <f t="shared" si="63"/>
        <v>1150</v>
      </c>
      <c r="M406" s="88">
        <v>600</v>
      </c>
      <c r="N406" s="78">
        <f>100</f>
        <v>100</v>
      </c>
      <c r="O406" s="80">
        <v>240</v>
      </c>
      <c r="P406" s="80">
        <v>40</v>
      </c>
      <c r="Q406" s="80">
        <f t="shared" si="64"/>
        <v>315</v>
      </c>
      <c r="R406" s="80">
        <f t="shared" si="65"/>
        <v>100</v>
      </c>
      <c r="S406" s="78">
        <f t="shared" si="66"/>
        <v>695</v>
      </c>
      <c r="T406" s="78">
        <f>50</f>
        <v>50</v>
      </c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</row>
    <row r="407" spans="1:30" ht="15.75" x14ac:dyDescent="0.25">
      <c r="A407" s="14">
        <v>53327</v>
      </c>
      <c r="B407" s="90">
        <v>31</v>
      </c>
      <c r="C407" s="78">
        <f>122.58</f>
        <v>122.58</v>
      </c>
      <c r="D407" s="78">
        <f>297.941</f>
        <v>297.94099999999997</v>
      </c>
      <c r="E407" s="86">
        <f>89.177</f>
        <v>89.177000000000007</v>
      </c>
      <c r="F407" s="78">
        <f>240.302-40-60</f>
        <v>140.30199999999999</v>
      </c>
      <c r="G407" s="80">
        <v>40</v>
      </c>
      <c r="H407" s="78">
        <v>60</v>
      </c>
      <c r="I407" s="78">
        <f t="shared" si="60"/>
        <v>0</v>
      </c>
      <c r="J407" s="80">
        <v>100</v>
      </c>
      <c r="K407" s="80">
        <v>300</v>
      </c>
      <c r="L407" s="78">
        <f t="shared" si="63"/>
        <v>1150</v>
      </c>
      <c r="M407" s="88">
        <v>600</v>
      </c>
      <c r="N407" s="78">
        <f>100</f>
        <v>100</v>
      </c>
      <c r="O407" s="80">
        <v>240</v>
      </c>
      <c r="P407" s="80">
        <v>40</v>
      </c>
      <c r="Q407" s="80">
        <f t="shared" si="64"/>
        <v>315</v>
      </c>
      <c r="R407" s="80">
        <f t="shared" si="65"/>
        <v>100</v>
      </c>
      <c r="S407" s="78">
        <f t="shared" si="66"/>
        <v>695</v>
      </c>
      <c r="T407" s="78">
        <f>50</f>
        <v>50</v>
      </c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</row>
    <row r="408" spans="1:30" ht="15.75" x14ac:dyDescent="0.25">
      <c r="A408" s="14">
        <v>53358</v>
      </c>
      <c r="B408" s="90">
        <v>31</v>
      </c>
      <c r="C408" s="78">
        <f>122.58</f>
        <v>122.58</v>
      </c>
      <c r="D408" s="78">
        <f>297.941</f>
        <v>297.94099999999997</v>
      </c>
      <c r="E408" s="86">
        <f>89.177</f>
        <v>89.177000000000007</v>
      </c>
      <c r="F408" s="78">
        <f>240.302-40-60</f>
        <v>140.30199999999999</v>
      </c>
      <c r="G408" s="80">
        <v>40</v>
      </c>
      <c r="H408" s="78">
        <v>60</v>
      </c>
      <c r="I408" s="78">
        <f t="shared" si="60"/>
        <v>0</v>
      </c>
      <c r="J408" s="80">
        <v>100</v>
      </c>
      <c r="K408" s="80">
        <v>300</v>
      </c>
      <c r="L408" s="78">
        <f t="shared" si="63"/>
        <v>1150</v>
      </c>
      <c r="M408" s="88">
        <v>600</v>
      </c>
      <c r="N408" s="78">
        <f>100</f>
        <v>100</v>
      </c>
      <c r="O408" s="80">
        <v>240</v>
      </c>
      <c r="P408" s="80">
        <v>40</v>
      </c>
      <c r="Q408" s="80">
        <f t="shared" si="64"/>
        <v>315</v>
      </c>
      <c r="R408" s="80">
        <f t="shared" si="65"/>
        <v>100</v>
      </c>
      <c r="S408" s="78">
        <f t="shared" si="66"/>
        <v>695</v>
      </c>
      <c r="T408" s="78">
        <f>50</f>
        <v>50</v>
      </c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</row>
    <row r="409" spans="1:30" ht="15.75" x14ac:dyDescent="0.25">
      <c r="A409" s="14">
        <v>53386</v>
      </c>
      <c r="B409" s="90">
        <v>28</v>
      </c>
      <c r="C409" s="78">
        <f>122.58</f>
        <v>122.58</v>
      </c>
      <c r="D409" s="78">
        <f>297.941</f>
        <v>297.94099999999997</v>
      </c>
      <c r="E409" s="86">
        <f>89.177</f>
        <v>89.177000000000007</v>
      </c>
      <c r="F409" s="78">
        <f>240.302-40-60</f>
        <v>140.30199999999999</v>
      </c>
      <c r="G409" s="80">
        <v>40</v>
      </c>
      <c r="H409" s="78">
        <v>60</v>
      </c>
      <c r="I409" s="78">
        <f t="shared" si="60"/>
        <v>0</v>
      </c>
      <c r="J409" s="80">
        <v>100</v>
      </c>
      <c r="K409" s="80">
        <v>300</v>
      </c>
      <c r="L409" s="78">
        <f t="shared" si="63"/>
        <v>1150</v>
      </c>
      <c r="M409" s="88">
        <v>600</v>
      </c>
      <c r="N409" s="78">
        <f>100</f>
        <v>100</v>
      </c>
      <c r="O409" s="80">
        <v>240</v>
      </c>
      <c r="P409" s="80">
        <v>40</v>
      </c>
      <c r="Q409" s="80">
        <f t="shared" si="64"/>
        <v>315</v>
      </c>
      <c r="R409" s="80">
        <f t="shared" si="65"/>
        <v>100</v>
      </c>
      <c r="S409" s="78">
        <f t="shared" si="66"/>
        <v>695</v>
      </c>
      <c r="T409" s="78">
        <f>50</f>
        <v>50</v>
      </c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</row>
    <row r="410" spans="1:30" ht="15.75" x14ac:dyDescent="0.25">
      <c r="A410" s="14">
        <v>53417</v>
      </c>
      <c r="B410" s="90">
        <v>31</v>
      </c>
      <c r="C410" s="78">
        <f>122.58</f>
        <v>122.58</v>
      </c>
      <c r="D410" s="78">
        <f>297.941</f>
        <v>297.94099999999997</v>
      </c>
      <c r="E410" s="86">
        <f>89.177</f>
        <v>89.177000000000007</v>
      </c>
      <c r="F410" s="78">
        <f>240.302-40-60</f>
        <v>140.30199999999999</v>
      </c>
      <c r="G410" s="80">
        <v>40</v>
      </c>
      <c r="H410" s="78">
        <v>60</v>
      </c>
      <c r="I410" s="78">
        <f t="shared" si="60"/>
        <v>0</v>
      </c>
      <c r="J410" s="80">
        <v>100</v>
      </c>
      <c r="K410" s="80">
        <v>300</v>
      </c>
      <c r="L410" s="78">
        <f t="shared" si="63"/>
        <v>1150</v>
      </c>
      <c r="M410" s="88">
        <v>600</v>
      </c>
      <c r="N410" s="78">
        <f>100</f>
        <v>100</v>
      </c>
      <c r="O410" s="80">
        <v>240</v>
      </c>
      <c r="P410" s="80">
        <v>40</v>
      </c>
      <c r="Q410" s="80">
        <f t="shared" si="64"/>
        <v>315</v>
      </c>
      <c r="R410" s="80">
        <f t="shared" si="65"/>
        <v>100</v>
      </c>
      <c r="S410" s="78">
        <f t="shared" si="66"/>
        <v>695</v>
      </c>
      <c r="T410" s="78">
        <f>50</f>
        <v>50</v>
      </c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</row>
    <row r="411" spans="1:30" ht="15.75" x14ac:dyDescent="0.25">
      <c r="A411" s="14">
        <v>53447</v>
      </c>
      <c r="B411" s="90">
        <v>30</v>
      </c>
      <c r="C411" s="78">
        <f>141.293</f>
        <v>141.29300000000001</v>
      </c>
      <c r="D411" s="78">
        <f>267.993</f>
        <v>267.99299999999999</v>
      </c>
      <c r="E411" s="86">
        <f>115.016</f>
        <v>115.01600000000001</v>
      </c>
      <c r="F411" s="78">
        <f>314.698-40-25-60</f>
        <v>189.69799999999998</v>
      </c>
      <c r="G411" s="80">
        <v>40</v>
      </c>
      <c r="H411" s="78">
        <f t="shared" ref="H411:H417" si="68">25+60</f>
        <v>85</v>
      </c>
      <c r="I411" s="78">
        <f t="shared" si="60"/>
        <v>0</v>
      </c>
      <c r="J411" s="80">
        <v>100</v>
      </c>
      <c r="K411" s="80">
        <v>300</v>
      </c>
      <c r="L411" s="78">
        <f t="shared" si="63"/>
        <v>1239</v>
      </c>
      <c r="M411" s="88">
        <v>600</v>
      </c>
      <c r="N411" s="78">
        <f>100</f>
        <v>100</v>
      </c>
      <c r="O411" s="80">
        <v>240</v>
      </c>
      <c r="P411" s="80">
        <v>160</v>
      </c>
      <c r="Q411" s="80">
        <f t="shared" si="64"/>
        <v>195</v>
      </c>
      <c r="R411" s="80">
        <f t="shared" si="65"/>
        <v>100</v>
      </c>
      <c r="S411" s="78">
        <f t="shared" si="66"/>
        <v>695</v>
      </c>
      <c r="T411" s="78">
        <f>50</f>
        <v>50</v>
      </c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</row>
    <row r="412" spans="1:30" ht="15.75" x14ac:dyDescent="0.25">
      <c r="A412" s="14">
        <v>53478</v>
      </c>
      <c r="B412" s="90">
        <v>31</v>
      </c>
      <c r="C412" s="78">
        <f>194.205</f>
        <v>194.20500000000001</v>
      </c>
      <c r="D412" s="78">
        <f>267.466</f>
        <v>267.46600000000001</v>
      </c>
      <c r="E412" s="86">
        <f>133.845</f>
        <v>133.845</v>
      </c>
      <c r="F412" s="78">
        <f>278.484-40-25-60</f>
        <v>153.48399999999998</v>
      </c>
      <c r="G412" s="80">
        <v>40</v>
      </c>
      <c r="H412" s="78">
        <f t="shared" si="68"/>
        <v>85</v>
      </c>
      <c r="I412" s="78">
        <f t="shared" si="60"/>
        <v>0</v>
      </c>
      <c r="J412" s="80">
        <v>100</v>
      </c>
      <c r="K412" s="80">
        <v>300</v>
      </c>
      <c r="L412" s="78">
        <f t="shared" si="63"/>
        <v>1274</v>
      </c>
      <c r="M412" s="88">
        <v>600</v>
      </c>
      <c r="N412" s="78">
        <f>75</f>
        <v>75</v>
      </c>
      <c r="O412" s="80">
        <v>240</v>
      </c>
      <c r="P412" s="80">
        <v>160</v>
      </c>
      <c r="Q412" s="80">
        <f t="shared" si="64"/>
        <v>195</v>
      </c>
      <c r="R412" s="80">
        <f t="shared" si="65"/>
        <v>100</v>
      </c>
      <c r="S412" s="78">
        <f t="shared" si="66"/>
        <v>695</v>
      </c>
      <c r="T412" s="78">
        <f>50</f>
        <v>50</v>
      </c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</row>
    <row r="413" spans="1:30" ht="15.75" x14ac:dyDescent="0.25">
      <c r="A413" s="14">
        <v>53508</v>
      </c>
      <c r="B413" s="90">
        <v>30</v>
      </c>
      <c r="C413" s="78">
        <f>194.205</f>
        <v>194.20500000000001</v>
      </c>
      <c r="D413" s="78">
        <f>267.466</f>
        <v>267.46600000000001</v>
      </c>
      <c r="E413" s="86">
        <f>133.845</f>
        <v>133.845</v>
      </c>
      <c r="F413" s="78">
        <f>278.484-40-25-60</f>
        <v>153.48399999999998</v>
      </c>
      <c r="G413" s="80">
        <v>40</v>
      </c>
      <c r="H413" s="78">
        <f t="shared" si="68"/>
        <v>85</v>
      </c>
      <c r="I413" s="78">
        <f t="shared" si="60"/>
        <v>0</v>
      </c>
      <c r="J413" s="80">
        <v>100</v>
      </c>
      <c r="K413" s="80">
        <v>300</v>
      </c>
      <c r="L413" s="78">
        <f t="shared" si="63"/>
        <v>1274</v>
      </c>
      <c r="M413" s="88">
        <v>600</v>
      </c>
      <c r="N413" s="78">
        <f>30</f>
        <v>30</v>
      </c>
      <c r="O413" s="80">
        <v>240</v>
      </c>
      <c r="P413" s="80">
        <v>160</v>
      </c>
      <c r="Q413" s="80">
        <f t="shared" si="64"/>
        <v>195</v>
      </c>
      <c r="R413" s="80">
        <f t="shared" si="65"/>
        <v>100</v>
      </c>
      <c r="S413" s="78">
        <f t="shared" si="66"/>
        <v>695</v>
      </c>
      <c r="T413" s="78">
        <f>50</f>
        <v>50</v>
      </c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</row>
    <row r="414" spans="1:30" ht="15.75" x14ac:dyDescent="0.25">
      <c r="A414" s="14">
        <v>53539</v>
      </c>
      <c r="B414" s="90">
        <v>31</v>
      </c>
      <c r="C414" s="78">
        <f>194.205</f>
        <v>194.20500000000001</v>
      </c>
      <c r="D414" s="78">
        <f>267.466</f>
        <v>267.46600000000001</v>
      </c>
      <c r="E414" s="86">
        <f>133.845</f>
        <v>133.845</v>
      </c>
      <c r="F414" s="78">
        <f>278.484-40-25-60</f>
        <v>153.48399999999998</v>
      </c>
      <c r="G414" s="80">
        <v>40</v>
      </c>
      <c r="H414" s="78">
        <f t="shared" si="68"/>
        <v>85</v>
      </c>
      <c r="I414" s="78">
        <f t="shared" si="60"/>
        <v>0</v>
      </c>
      <c r="J414" s="80">
        <v>100</v>
      </c>
      <c r="K414" s="80">
        <v>300</v>
      </c>
      <c r="L414" s="78">
        <f t="shared" si="63"/>
        <v>1274</v>
      </c>
      <c r="M414" s="88">
        <v>600</v>
      </c>
      <c r="N414" s="78">
        <f>30</f>
        <v>30</v>
      </c>
      <c r="O414" s="80">
        <v>240</v>
      </c>
      <c r="P414" s="80">
        <v>160</v>
      </c>
      <c r="Q414" s="80">
        <f t="shared" si="64"/>
        <v>195</v>
      </c>
      <c r="R414" s="80">
        <f t="shared" si="65"/>
        <v>100</v>
      </c>
      <c r="S414" s="78">
        <f t="shared" si="66"/>
        <v>695</v>
      </c>
      <c r="T414" s="78">
        <f>0</f>
        <v>0</v>
      </c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</row>
    <row r="415" spans="1:30" ht="15.75" x14ac:dyDescent="0.25">
      <c r="A415" s="14">
        <v>53570</v>
      </c>
      <c r="B415" s="90">
        <v>31</v>
      </c>
      <c r="C415" s="78">
        <f>194.205</f>
        <v>194.20500000000001</v>
      </c>
      <c r="D415" s="78">
        <f>267.466</f>
        <v>267.46600000000001</v>
      </c>
      <c r="E415" s="86">
        <f>133.845</f>
        <v>133.845</v>
      </c>
      <c r="F415" s="78">
        <f>278.484-40-25-60</f>
        <v>153.48399999999998</v>
      </c>
      <c r="G415" s="80">
        <v>40</v>
      </c>
      <c r="H415" s="78">
        <f t="shared" si="68"/>
        <v>85</v>
      </c>
      <c r="I415" s="78">
        <f t="shared" si="60"/>
        <v>0</v>
      </c>
      <c r="J415" s="80">
        <v>100</v>
      </c>
      <c r="K415" s="80">
        <v>300</v>
      </c>
      <c r="L415" s="78">
        <f t="shared" si="63"/>
        <v>1274</v>
      </c>
      <c r="M415" s="88">
        <v>600</v>
      </c>
      <c r="N415" s="78">
        <f>30</f>
        <v>30</v>
      </c>
      <c r="O415" s="80">
        <v>240</v>
      </c>
      <c r="P415" s="80">
        <v>160</v>
      </c>
      <c r="Q415" s="80">
        <f t="shared" si="64"/>
        <v>195</v>
      </c>
      <c r="R415" s="80">
        <f t="shared" si="65"/>
        <v>100</v>
      </c>
      <c r="S415" s="78">
        <f t="shared" si="66"/>
        <v>695</v>
      </c>
      <c r="T415" s="78">
        <f>0</f>
        <v>0</v>
      </c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</row>
    <row r="416" spans="1:30" ht="15.75" x14ac:dyDescent="0.25">
      <c r="A416" s="14">
        <v>53600</v>
      </c>
      <c r="B416" s="90">
        <v>30</v>
      </c>
      <c r="C416" s="78">
        <f>194.205</f>
        <v>194.20500000000001</v>
      </c>
      <c r="D416" s="78">
        <f>267.466</f>
        <v>267.46600000000001</v>
      </c>
      <c r="E416" s="86">
        <f>133.845</f>
        <v>133.845</v>
      </c>
      <c r="F416" s="78">
        <f>278.484-40-25-60</f>
        <v>153.48399999999998</v>
      </c>
      <c r="G416" s="80">
        <v>40</v>
      </c>
      <c r="H416" s="78">
        <f t="shared" si="68"/>
        <v>85</v>
      </c>
      <c r="I416" s="78">
        <f t="shared" si="60"/>
        <v>0</v>
      </c>
      <c r="J416" s="80">
        <v>100</v>
      </c>
      <c r="K416" s="80">
        <v>300</v>
      </c>
      <c r="L416" s="78">
        <f t="shared" si="63"/>
        <v>1274</v>
      </c>
      <c r="M416" s="88">
        <v>600</v>
      </c>
      <c r="N416" s="78">
        <f>30</f>
        <v>30</v>
      </c>
      <c r="O416" s="80">
        <v>240</v>
      </c>
      <c r="P416" s="80">
        <v>160</v>
      </c>
      <c r="Q416" s="80">
        <f t="shared" si="64"/>
        <v>195</v>
      </c>
      <c r="R416" s="80">
        <f t="shared" si="65"/>
        <v>100</v>
      </c>
      <c r="S416" s="78">
        <f t="shared" si="66"/>
        <v>695</v>
      </c>
      <c r="T416" s="78">
        <f>0</f>
        <v>0</v>
      </c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</row>
    <row r="417" spans="1:30" ht="15.75" x14ac:dyDescent="0.25">
      <c r="A417" s="14">
        <v>53631</v>
      </c>
      <c r="B417" s="90">
        <v>31</v>
      </c>
      <c r="C417" s="78">
        <f>131.881</f>
        <v>131.881</v>
      </c>
      <c r="D417" s="78">
        <f>277.167</f>
        <v>277.16699999999997</v>
      </c>
      <c r="E417" s="86">
        <f>79.08</f>
        <v>79.08</v>
      </c>
      <c r="F417" s="78">
        <f>350.872-40-25-60</f>
        <v>225.87200000000001</v>
      </c>
      <c r="G417" s="80">
        <v>40</v>
      </c>
      <c r="H417" s="78">
        <f t="shared" si="68"/>
        <v>85</v>
      </c>
      <c r="I417" s="78">
        <f t="shared" si="60"/>
        <v>0</v>
      </c>
      <c r="J417" s="80">
        <v>100</v>
      </c>
      <c r="K417" s="80">
        <v>300</v>
      </c>
      <c r="L417" s="78">
        <f t="shared" si="63"/>
        <v>1239</v>
      </c>
      <c r="M417" s="88">
        <v>600</v>
      </c>
      <c r="N417" s="78">
        <f>75</f>
        <v>75</v>
      </c>
      <c r="O417" s="80">
        <v>240</v>
      </c>
      <c r="P417" s="80">
        <v>160</v>
      </c>
      <c r="Q417" s="80">
        <f t="shared" si="64"/>
        <v>195</v>
      </c>
      <c r="R417" s="80">
        <f t="shared" si="65"/>
        <v>100</v>
      </c>
      <c r="S417" s="78">
        <f t="shared" si="66"/>
        <v>695</v>
      </c>
      <c r="T417" s="78">
        <f>0</f>
        <v>0</v>
      </c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</row>
    <row r="418" spans="1:30" ht="15.75" x14ac:dyDescent="0.25">
      <c r="A418" s="14">
        <v>53661</v>
      </c>
      <c r="B418" s="90">
        <v>30</v>
      </c>
      <c r="C418" s="78">
        <f>122.58</f>
        <v>122.58</v>
      </c>
      <c r="D418" s="78">
        <f>297.941</f>
        <v>297.94099999999997</v>
      </c>
      <c r="E418" s="86">
        <f>89.177</f>
        <v>89.177000000000007</v>
      </c>
      <c r="F418" s="78">
        <f>240.302-40-60</f>
        <v>140.30199999999999</v>
      </c>
      <c r="G418" s="80">
        <v>40</v>
      </c>
      <c r="H418" s="78">
        <v>60</v>
      </c>
      <c r="I418" s="78">
        <f t="shared" si="60"/>
        <v>0</v>
      </c>
      <c r="J418" s="80">
        <v>100</v>
      </c>
      <c r="K418" s="80">
        <v>300</v>
      </c>
      <c r="L418" s="78">
        <f t="shared" si="63"/>
        <v>1150</v>
      </c>
      <c r="M418" s="88">
        <v>600</v>
      </c>
      <c r="N418" s="78">
        <f>100</f>
        <v>100</v>
      </c>
      <c r="O418" s="80">
        <v>240</v>
      </c>
      <c r="P418" s="80">
        <v>40</v>
      </c>
      <c r="Q418" s="80">
        <f t="shared" si="64"/>
        <v>315</v>
      </c>
      <c r="R418" s="80">
        <f t="shared" si="65"/>
        <v>100</v>
      </c>
      <c r="S418" s="78">
        <f t="shared" si="66"/>
        <v>695</v>
      </c>
      <c r="T418" s="78">
        <f>50</f>
        <v>50</v>
      </c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</row>
    <row r="419" spans="1:30" ht="15.75" x14ac:dyDescent="0.25">
      <c r="A419" s="14">
        <v>53692</v>
      </c>
      <c r="B419" s="90">
        <v>31</v>
      </c>
      <c r="C419" s="78">
        <f>122.58</f>
        <v>122.58</v>
      </c>
      <c r="D419" s="78">
        <f>297.941</f>
        <v>297.94099999999997</v>
      </c>
      <c r="E419" s="86">
        <f>89.177</f>
        <v>89.177000000000007</v>
      </c>
      <c r="F419" s="78">
        <f>240.302-40-60</f>
        <v>140.30199999999999</v>
      </c>
      <c r="G419" s="80">
        <v>40</v>
      </c>
      <c r="H419" s="78">
        <v>60</v>
      </c>
      <c r="I419" s="78">
        <f t="shared" si="60"/>
        <v>0</v>
      </c>
      <c r="J419" s="80">
        <v>100</v>
      </c>
      <c r="K419" s="80">
        <v>300</v>
      </c>
      <c r="L419" s="78">
        <f t="shared" si="63"/>
        <v>1150</v>
      </c>
      <c r="M419" s="88">
        <v>600</v>
      </c>
      <c r="N419" s="78">
        <f>100</f>
        <v>100</v>
      </c>
      <c r="O419" s="80">
        <v>240</v>
      </c>
      <c r="P419" s="80">
        <v>40</v>
      </c>
      <c r="Q419" s="80">
        <f t="shared" si="64"/>
        <v>315</v>
      </c>
      <c r="R419" s="80">
        <f t="shared" si="65"/>
        <v>100</v>
      </c>
      <c r="S419" s="78">
        <f t="shared" si="66"/>
        <v>695</v>
      </c>
      <c r="T419" s="78">
        <f>50</f>
        <v>50</v>
      </c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</row>
    <row r="420" spans="1:30" ht="15.75" x14ac:dyDescent="0.25">
      <c r="A420" s="14">
        <v>53723</v>
      </c>
      <c r="B420" s="90">
        <v>31</v>
      </c>
      <c r="C420" s="78">
        <f>122.58</f>
        <v>122.58</v>
      </c>
      <c r="D420" s="78">
        <f>297.941</f>
        <v>297.94099999999997</v>
      </c>
      <c r="E420" s="86">
        <f>89.177</f>
        <v>89.177000000000007</v>
      </c>
      <c r="F420" s="78">
        <f>240.302-40-60</f>
        <v>140.30199999999999</v>
      </c>
      <c r="G420" s="80">
        <v>40</v>
      </c>
      <c r="H420" s="78">
        <v>60</v>
      </c>
      <c r="I420" s="78">
        <f t="shared" si="60"/>
        <v>0</v>
      </c>
      <c r="J420" s="80">
        <v>100</v>
      </c>
      <c r="K420" s="80">
        <v>300</v>
      </c>
      <c r="L420" s="78">
        <f t="shared" si="63"/>
        <v>1150</v>
      </c>
      <c r="M420" s="88">
        <v>600</v>
      </c>
      <c r="N420" s="78">
        <f>100</f>
        <v>100</v>
      </c>
      <c r="O420" s="80">
        <v>240</v>
      </c>
      <c r="P420" s="80">
        <v>40</v>
      </c>
      <c r="Q420" s="80">
        <f t="shared" si="64"/>
        <v>315</v>
      </c>
      <c r="R420" s="80">
        <f t="shared" si="65"/>
        <v>100</v>
      </c>
      <c r="S420" s="78">
        <f t="shared" si="66"/>
        <v>695</v>
      </c>
      <c r="T420" s="78">
        <f>50</f>
        <v>50</v>
      </c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</row>
    <row r="421" spans="1:30" ht="15.75" x14ac:dyDescent="0.25">
      <c r="A421" s="14">
        <v>53751</v>
      </c>
      <c r="B421" s="90">
        <v>28</v>
      </c>
      <c r="C421" s="78">
        <f>122.58</f>
        <v>122.58</v>
      </c>
      <c r="D421" s="78">
        <f>297.941</f>
        <v>297.94099999999997</v>
      </c>
      <c r="E421" s="86">
        <f>89.177</f>
        <v>89.177000000000007</v>
      </c>
      <c r="F421" s="78">
        <f>240.302-40-60</f>
        <v>140.30199999999999</v>
      </c>
      <c r="G421" s="80">
        <v>40</v>
      </c>
      <c r="H421" s="78">
        <v>60</v>
      </c>
      <c r="I421" s="78">
        <f t="shared" si="60"/>
        <v>0</v>
      </c>
      <c r="J421" s="80">
        <v>100</v>
      </c>
      <c r="K421" s="80">
        <v>300</v>
      </c>
      <c r="L421" s="78">
        <f t="shared" si="63"/>
        <v>1150</v>
      </c>
      <c r="M421" s="88">
        <v>600</v>
      </c>
      <c r="N421" s="78">
        <f>100</f>
        <v>100</v>
      </c>
      <c r="O421" s="80">
        <v>240</v>
      </c>
      <c r="P421" s="80">
        <v>40</v>
      </c>
      <c r="Q421" s="80">
        <f t="shared" si="64"/>
        <v>315</v>
      </c>
      <c r="R421" s="80">
        <f t="shared" si="65"/>
        <v>100</v>
      </c>
      <c r="S421" s="78">
        <f t="shared" si="66"/>
        <v>695</v>
      </c>
      <c r="T421" s="78">
        <f>50</f>
        <v>50</v>
      </c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</row>
    <row r="422" spans="1:30" ht="15.75" x14ac:dyDescent="0.25">
      <c r="A422" s="14">
        <v>53782</v>
      </c>
      <c r="B422" s="90">
        <v>31</v>
      </c>
      <c r="C422" s="78">
        <f>122.58</f>
        <v>122.58</v>
      </c>
      <c r="D422" s="78">
        <f>297.941</f>
        <v>297.94099999999997</v>
      </c>
      <c r="E422" s="86">
        <f>89.177</f>
        <v>89.177000000000007</v>
      </c>
      <c r="F422" s="78">
        <f>240.302-40-60</f>
        <v>140.30199999999999</v>
      </c>
      <c r="G422" s="80">
        <v>40</v>
      </c>
      <c r="H422" s="78">
        <v>60</v>
      </c>
      <c r="I422" s="78">
        <f t="shared" si="60"/>
        <v>0</v>
      </c>
      <c r="J422" s="80">
        <v>100</v>
      </c>
      <c r="K422" s="80">
        <v>300</v>
      </c>
      <c r="L422" s="78">
        <f t="shared" si="63"/>
        <v>1150</v>
      </c>
      <c r="M422" s="88">
        <v>600</v>
      </c>
      <c r="N422" s="78">
        <f>100</f>
        <v>100</v>
      </c>
      <c r="O422" s="80">
        <v>240</v>
      </c>
      <c r="P422" s="80">
        <v>40</v>
      </c>
      <c r="Q422" s="80">
        <f t="shared" si="64"/>
        <v>315</v>
      </c>
      <c r="R422" s="80">
        <f t="shared" si="65"/>
        <v>100</v>
      </c>
      <c r="S422" s="78">
        <f t="shared" si="66"/>
        <v>695</v>
      </c>
      <c r="T422" s="78">
        <f>50</f>
        <v>50</v>
      </c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</row>
    <row r="423" spans="1:30" ht="15.75" x14ac:dyDescent="0.25">
      <c r="A423" s="14">
        <v>53812</v>
      </c>
      <c r="B423" s="90">
        <v>30</v>
      </c>
      <c r="C423" s="78">
        <f>141.293</f>
        <v>141.29300000000001</v>
      </c>
      <c r="D423" s="78">
        <f>267.993</f>
        <v>267.99299999999999</v>
      </c>
      <c r="E423" s="86">
        <f>115.016</f>
        <v>115.01600000000001</v>
      </c>
      <c r="F423" s="78">
        <f>314.698-40-25-60</f>
        <v>189.69799999999998</v>
      </c>
      <c r="G423" s="80">
        <v>40</v>
      </c>
      <c r="H423" s="78">
        <f t="shared" ref="H423:H429" si="69">25+60</f>
        <v>85</v>
      </c>
      <c r="I423" s="78">
        <f t="shared" si="60"/>
        <v>0</v>
      </c>
      <c r="J423" s="80">
        <v>100</v>
      </c>
      <c r="K423" s="80">
        <v>300</v>
      </c>
      <c r="L423" s="78">
        <f t="shared" si="63"/>
        <v>1239</v>
      </c>
      <c r="M423" s="88">
        <v>600</v>
      </c>
      <c r="N423" s="78">
        <f>100</f>
        <v>100</v>
      </c>
      <c r="O423" s="80">
        <v>240</v>
      </c>
      <c r="P423" s="80">
        <v>160</v>
      </c>
      <c r="Q423" s="80">
        <f t="shared" si="64"/>
        <v>195</v>
      </c>
      <c r="R423" s="80">
        <f t="shared" si="65"/>
        <v>100</v>
      </c>
      <c r="S423" s="78">
        <f t="shared" si="66"/>
        <v>695</v>
      </c>
      <c r="T423" s="78">
        <f>50</f>
        <v>50</v>
      </c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</row>
    <row r="424" spans="1:30" ht="15.75" x14ac:dyDescent="0.25">
      <c r="A424" s="14">
        <v>53843</v>
      </c>
      <c r="B424" s="90">
        <v>31</v>
      </c>
      <c r="C424" s="78">
        <f>194.205</f>
        <v>194.20500000000001</v>
      </c>
      <c r="D424" s="78">
        <f>267.466</f>
        <v>267.46600000000001</v>
      </c>
      <c r="E424" s="86">
        <f>133.845</f>
        <v>133.845</v>
      </c>
      <c r="F424" s="78">
        <f>278.484-40-25-60</f>
        <v>153.48399999999998</v>
      </c>
      <c r="G424" s="80">
        <v>40</v>
      </c>
      <c r="H424" s="78">
        <f t="shared" si="69"/>
        <v>85</v>
      </c>
      <c r="I424" s="78">
        <f t="shared" si="60"/>
        <v>0</v>
      </c>
      <c r="J424" s="80">
        <v>100</v>
      </c>
      <c r="K424" s="80">
        <v>300</v>
      </c>
      <c r="L424" s="78">
        <f t="shared" si="63"/>
        <v>1274</v>
      </c>
      <c r="M424" s="88">
        <v>600</v>
      </c>
      <c r="N424" s="78">
        <f>75</f>
        <v>75</v>
      </c>
      <c r="O424" s="80">
        <v>240</v>
      </c>
      <c r="P424" s="80">
        <v>160</v>
      </c>
      <c r="Q424" s="80">
        <f t="shared" si="64"/>
        <v>195</v>
      </c>
      <c r="R424" s="80">
        <f t="shared" si="65"/>
        <v>100</v>
      </c>
      <c r="S424" s="78">
        <f t="shared" si="66"/>
        <v>695</v>
      </c>
      <c r="T424" s="78">
        <f>50</f>
        <v>50</v>
      </c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</row>
    <row r="425" spans="1:30" ht="15.75" x14ac:dyDescent="0.25">
      <c r="A425" s="14">
        <v>53873</v>
      </c>
      <c r="B425" s="90">
        <v>30</v>
      </c>
      <c r="C425" s="78">
        <f>194.205</f>
        <v>194.20500000000001</v>
      </c>
      <c r="D425" s="78">
        <f>267.466</f>
        <v>267.46600000000001</v>
      </c>
      <c r="E425" s="86">
        <f>133.845</f>
        <v>133.845</v>
      </c>
      <c r="F425" s="78">
        <f>278.484-40-25-60</f>
        <v>153.48399999999998</v>
      </c>
      <c r="G425" s="80">
        <v>40</v>
      </c>
      <c r="H425" s="78">
        <f t="shared" si="69"/>
        <v>85</v>
      </c>
      <c r="I425" s="78">
        <f t="shared" si="60"/>
        <v>0</v>
      </c>
      <c r="J425" s="80">
        <v>100</v>
      </c>
      <c r="K425" s="80">
        <v>300</v>
      </c>
      <c r="L425" s="78">
        <f t="shared" si="63"/>
        <v>1274</v>
      </c>
      <c r="M425" s="88">
        <v>600</v>
      </c>
      <c r="N425" s="78">
        <f>30</f>
        <v>30</v>
      </c>
      <c r="O425" s="80">
        <v>240</v>
      </c>
      <c r="P425" s="80">
        <v>160</v>
      </c>
      <c r="Q425" s="80">
        <f t="shared" si="64"/>
        <v>195</v>
      </c>
      <c r="R425" s="80">
        <f t="shared" si="65"/>
        <v>100</v>
      </c>
      <c r="S425" s="78">
        <f t="shared" si="66"/>
        <v>695</v>
      </c>
      <c r="T425" s="78">
        <f>50</f>
        <v>50</v>
      </c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</row>
    <row r="426" spans="1:30" ht="15.75" x14ac:dyDescent="0.25">
      <c r="A426" s="14">
        <v>53904</v>
      </c>
      <c r="B426" s="90">
        <v>31</v>
      </c>
      <c r="C426" s="78">
        <f>194.205</f>
        <v>194.20500000000001</v>
      </c>
      <c r="D426" s="78">
        <f>267.466</f>
        <v>267.46600000000001</v>
      </c>
      <c r="E426" s="86">
        <f>133.845</f>
        <v>133.845</v>
      </c>
      <c r="F426" s="78">
        <f>278.484-40-25-60</f>
        <v>153.48399999999998</v>
      </c>
      <c r="G426" s="80">
        <v>40</v>
      </c>
      <c r="H426" s="78">
        <f t="shared" si="69"/>
        <v>85</v>
      </c>
      <c r="I426" s="78">
        <f t="shared" si="60"/>
        <v>0</v>
      </c>
      <c r="J426" s="80">
        <v>100</v>
      </c>
      <c r="K426" s="80">
        <v>300</v>
      </c>
      <c r="L426" s="78">
        <f t="shared" si="63"/>
        <v>1274</v>
      </c>
      <c r="M426" s="88">
        <v>600</v>
      </c>
      <c r="N426" s="78">
        <f>30</f>
        <v>30</v>
      </c>
      <c r="O426" s="80">
        <v>240</v>
      </c>
      <c r="P426" s="80">
        <v>160</v>
      </c>
      <c r="Q426" s="80">
        <f t="shared" si="64"/>
        <v>195</v>
      </c>
      <c r="R426" s="80">
        <f t="shared" si="65"/>
        <v>100</v>
      </c>
      <c r="S426" s="78">
        <f t="shared" si="66"/>
        <v>695</v>
      </c>
      <c r="T426" s="78">
        <f>0</f>
        <v>0</v>
      </c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</row>
    <row r="427" spans="1:30" ht="15.75" x14ac:dyDescent="0.25">
      <c r="A427" s="14">
        <v>53935</v>
      </c>
      <c r="B427" s="90">
        <v>31</v>
      </c>
      <c r="C427" s="78">
        <f>194.205</f>
        <v>194.20500000000001</v>
      </c>
      <c r="D427" s="78">
        <f>267.466</f>
        <v>267.46600000000001</v>
      </c>
      <c r="E427" s="86">
        <f>133.845</f>
        <v>133.845</v>
      </c>
      <c r="F427" s="78">
        <f>278.484-40-25-60</f>
        <v>153.48399999999998</v>
      </c>
      <c r="G427" s="80">
        <v>40</v>
      </c>
      <c r="H427" s="78">
        <f t="shared" si="69"/>
        <v>85</v>
      </c>
      <c r="I427" s="78">
        <f t="shared" si="60"/>
        <v>0</v>
      </c>
      <c r="J427" s="80">
        <v>100</v>
      </c>
      <c r="K427" s="80">
        <v>300</v>
      </c>
      <c r="L427" s="78">
        <f t="shared" si="63"/>
        <v>1274</v>
      </c>
      <c r="M427" s="88">
        <v>600</v>
      </c>
      <c r="N427" s="78">
        <f>30</f>
        <v>30</v>
      </c>
      <c r="O427" s="80">
        <v>240</v>
      </c>
      <c r="P427" s="80">
        <v>160</v>
      </c>
      <c r="Q427" s="80">
        <f t="shared" si="64"/>
        <v>195</v>
      </c>
      <c r="R427" s="80">
        <f t="shared" si="65"/>
        <v>100</v>
      </c>
      <c r="S427" s="78">
        <f t="shared" si="66"/>
        <v>695</v>
      </c>
      <c r="T427" s="78">
        <f>0</f>
        <v>0</v>
      </c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</row>
    <row r="428" spans="1:30" ht="15.75" x14ac:dyDescent="0.25">
      <c r="A428" s="14">
        <v>53965</v>
      </c>
      <c r="B428" s="90">
        <v>30</v>
      </c>
      <c r="C428" s="78">
        <f>194.205</f>
        <v>194.20500000000001</v>
      </c>
      <c r="D428" s="78">
        <f>267.466</f>
        <v>267.46600000000001</v>
      </c>
      <c r="E428" s="86">
        <f>133.845</f>
        <v>133.845</v>
      </c>
      <c r="F428" s="78">
        <f>278.484-40-25-60</f>
        <v>153.48399999999998</v>
      </c>
      <c r="G428" s="80">
        <v>40</v>
      </c>
      <c r="H428" s="78">
        <f t="shared" si="69"/>
        <v>85</v>
      </c>
      <c r="I428" s="78">
        <f t="shared" si="60"/>
        <v>0</v>
      </c>
      <c r="J428" s="80">
        <v>100</v>
      </c>
      <c r="K428" s="80">
        <v>300</v>
      </c>
      <c r="L428" s="78">
        <f t="shared" si="63"/>
        <v>1274</v>
      </c>
      <c r="M428" s="88">
        <v>600</v>
      </c>
      <c r="N428" s="78">
        <f>30</f>
        <v>30</v>
      </c>
      <c r="O428" s="80">
        <v>240</v>
      </c>
      <c r="P428" s="80">
        <v>160</v>
      </c>
      <c r="Q428" s="80">
        <f t="shared" si="64"/>
        <v>195</v>
      </c>
      <c r="R428" s="80">
        <f t="shared" si="65"/>
        <v>100</v>
      </c>
      <c r="S428" s="78">
        <f t="shared" si="66"/>
        <v>695</v>
      </c>
      <c r="T428" s="78">
        <f>0</f>
        <v>0</v>
      </c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</row>
    <row r="429" spans="1:30" ht="15.75" x14ac:dyDescent="0.25">
      <c r="A429" s="14">
        <v>53996</v>
      </c>
      <c r="B429" s="90">
        <v>31</v>
      </c>
      <c r="C429" s="78">
        <f>131.881</f>
        <v>131.881</v>
      </c>
      <c r="D429" s="78">
        <f>277.167</f>
        <v>277.16699999999997</v>
      </c>
      <c r="E429" s="86">
        <f>79.08</f>
        <v>79.08</v>
      </c>
      <c r="F429" s="78">
        <f>350.872-40-25-60</f>
        <v>225.87200000000001</v>
      </c>
      <c r="G429" s="80">
        <v>40</v>
      </c>
      <c r="H429" s="78">
        <f t="shared" si="69"/>
        <v>85</v>
      </c>
      <c r="I429" s="78">
        <f t="shared" si="60"/>
        <v>0</v>
      </c>
      <c r="J429" s="80">
        <v>100</v>
      </c>
      <c r="K429" s="80">
        <v>300</v>
      </c>
      <c r="L429" s="78">
        <f t="shared" si="63"/>
        <v>1239</v>
      </c>
      <c r="M429" s="88">
        <v>600</v>
      </c>
      <c r="N429" s="78">
        <f>75</f>
        <v>75</v>
      </c>
      <c r="O429" s="80">
        <v>240</v>
      </c>
      <c r="P429" s="80">
        <v>160</v>
      </c>
      <c r="Q429" s="80">
        <f t="shared" si="64"/>
        <v>195</v>
      </c>
      <c r="R429" s="80">
        <f t="shared" si="65"/>
        <v>100</v>
      </c>
      <c r="S429" s="78">
        <f t="shared" si="66"/>
        <v>695</v>
      </c>
      <c r="T429" s="78">
        <f>0</f>
        <v>0</v>
      </c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</row>
    <row r="430" spans="1:30" ht="15.75" x14ac:dyDescent="0.25">
      <c r="A430" s="14">
        <v>54026</v>
      </c>
      <c r="B430" s="90">
        <v>30</v>
      </c>
      <c r="C430" s="78">
        <f>122.58</f>
        <v>122.58</v>
      </c>
      <c r="D430" s="78">
        <f>297.941</f>
        <v>297.94099999999997</v>
      </c>
      <c r="E430" s="86">
        <f>89.177</f>
        <v>89.177000000000007</v>
      </c>
      <c r="F430" s="78">
        <f>240.302-40-60</f>
        <v>140.30199999999999</v>
      </c>
      <c r="G430" s="80">
        <v>40</v>
      </c>
      <c r="H430" s="78">
        <v>60</v>
      </c>
      <c r="I430" s="78">
        <f t="shared" si="60"/>
        <v>0</v>
      </c>
      <c r="J430" s="80">
        <v>100</v>
      </c>
      <c r="K430" s="80">
        <v>300</v>
      </c>
      <c r="L430" s="78">
        <f t="shared" si="63"/>
        <v>1150</v>
      </c>
      <c r="M430" s="88">
        <v>600</v>
      </c>
      <c r="N430" s="78">
        <f>100</f>
        <v>100</v>
      </c>
      <c r="O430" s="80">
        <v>240</v>
      </c>
      <c r="P430" s="80">
        <v>40</v>
      </c>
      <c r="Q430" s="80">
        <f t="shared" si="64"/>
        <v>315</v>
      </c>
      <c r="R430" s="80">
        <f t="shared" si="65"/>
        <v>100</v>
      </c>
      <c r="S430" s="78">
        <f t="shared" si="66"/>
        <v>695</v>
      </c>
      <c r="T430" s="78">
        <f>50</f>
        <v>50</v>
      </c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</row>
    <row r="431" spans="1:30" ht="15.75" x14ac:dyDescent="0.25">
      <c r="A431" s="14">
        <v>54057</v>
      </c>
      <c r="B431" s="90">
        <v>31</v>
      </c>
      <c r="C431" s="78">
        <f>122.58</f>
        <v>122.58</v>
      </c>
      <c r="D431" s="78">
        <f>297.941</f>
        <v>297.94099999999997</v>
      </c>
      <c r="E431" s="86">
        <f>89.177</f>
        <v>89.177000000000007</v>
      </c>
      <c r="F431" s="78">
        <f>240.302-40-60</f>
        <v>140.30199999999999</v>
      </c>
      <c r="G431" s="80">
        <v>40</v>
      </c>
      <c r="H431" s="78">
        <v>60</v>
      </c>
      <c r="I431" s="78">
        <f t="shared" si="60"/>
        <v>0</v>
      </c>
      <c r="J431" s="80">
        <v>100</v>
      </c>
      <c r="K431" s="80">
        <v>300</v>
      </c>
      <c r="L431" s="78">
        <f t="shared" si="63"/>
        <v>1150</v>
      </c>
      <c r="M431" s="88">
        <v>600</v>
      </c>
      <c r="N431" s="78">
        <f>100</f>
        <v>100</v>
      </c>
      <c r="O431" s="80">
        <v>240</v>
      </c>
      <c r="P431" s="80">
        <v>40</v>
      </c>
      <c r="Q431" s="80">
        <f t="shared" si="64"/>
        <v>315</v>
      </c>
      <c r="R431" s="80">
        <f t="shared" si="65"/>
        <v>100</v>
      </c>
      <c r="S431" s="78">
        <f t="shared" si="66"/>
        <v>695</v>
      </c>
      <c r="T431" s="78">
        <f>50</f>
        <v>50</v>
      </c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</row>
    <row r="432" spans="1:30" ht="15.75" x14ac:dyDescent="0.25">
      <c r="A432" s="14">
        <v>54088</v>
      </c>
      <c r="B432" s="90">
        <v>31</v>
      </c>
      <c r="C432" s="78">
        <f>122.58</f>
        <v>122.58</v>
      </c>
      <c r="D432" s="78">
        <f>297.941</f>
        <v>297.94099999999997</v>
      </c>
      <c r="E432" s="86">
        <f>89.177</f>
        <v>89.177000000000007</v>
      </c>
      <c r="F432" s="78">
        <f>240.302-40-60</f>
        <v>140.30199999999999</v>
      </c>
      <c r="G432" s="80">
        <v>40</v>
      </c>
      <c r="H432" s="78">
        <v>60</v>
      </c>
      <c r="I432" s="78">
        <f t="shared" si="60"/>
        <v>0</v>
      </c>
      <c r="J432" s="80">
        <v>100</v>
      </c>
      <c r="K432" s="80">
        <v>300</v>
      </c>
      <c r="L432" s="78">
        <f t="shared" si="63"/>
        <v>1150</v>
      </c>
      <c r="M432" s="88">
        <v>600</v>
      </c>
      <c r="N432" s="78">
        <f>100</f>
        <v>100</v>
      </c>
      <c r="O432" s="80">
        <v>240</v>
      </c>
      <c r="P432" s="80">
        <v>40</v>
      </c>
      <c r="Q432" s="80">
        <f t="shared" si="64"/>
        <v>315</v>
      </c>
      <c r="R432" s="80">
        <f t="shared" si="65"/>
        <v>100</v>
      </c>
      <c r="S432" s="78">
        <f t="shared" si="66"/>
        <v>695</v>
      </c>
      <c r="T432" s="78">
        <f>50</f>
        <v>50</v>
      </c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</row>
    <row r="433" spans="1:30" ht="15.75" x14ac:dyDescent="0.25">
      <c r="A433" s="14">
        <v>54116</v>
      </c>
      <c r="B433" s="90">
        <v>29</v>
      </c>
      <c r="C433" s="78">
        <f>122.58</f>
        <v>122.58</v>
      </c>
      <c r="D433" s="78">
        <f>297.941</f>
        <v>297.94099999999997</v>
      </c>
      <c r="E433" s="86">
        <f>89.177</f>
        <v>89.177000000000007</v>
      </c>
      <c r="F433" s="78">
        <f>240.302-40-60</f>
        <v>140.30199999999999</v>
      </c>
      <c r="G433" s="80">
        <v>40</v>
      </c>
      <c r="H433" s="78">
        <v>60</v>
      </c>
      <c r="I433" s="78">
        <f t="shared" si="60"/>
        <v>0</v>
      </c>
      <c r="J433" s="80">
        <v>100</v>
      </c>
      <c r="K433" s="80">
        <v>300</v>
      </c>
      <c r="L433" s="78">
        <f t="shared" si="63"/>
        <v>1150</v>
      </c>
      <c r="M433" s="88">
        <v>600</v>
      </c>
      <c r="N433" s="78">
        <f>100</f>
        <v>100</v>
      </c>
      <c r="O433" s="80">
        <v>240</v>
      </c>
      <c r="P433" s="80">
        <v>40</v>
      </c>
      <c r="Q433" s="80">
        <f t="shared" si="64"/>
        <v>315</v>
      </c>
      <c r="R433" s="80">
        <f t="shared" si="65"/>
        <v>100</v>
      </c>
      <c r="S433" s="78">
        <f t="shared" si="66"/>
        <v>695</v>
      </c>
      <c r="T433" s="78">
        <f>50</f>
        <v>50</v>
      </c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</row>
    <row r="434" spans="1:30" ht="15.75" x14ac:dyDescent="0.25">
      <c r="A434" s="14">
        <v>54148</v>
      </c>
      <c r="B434" s="90">
        <v>31</v>
      </c>
      <c r="C434" s="78">
        <f>122.58</f>
        <v>122.58</v>
      </c>
      <c r="D434" s="78">
        <f>297.941</f>
        <v>297.94099999999997</v>
      </c>
      <c r="E434" s="86">
        <f>89.177</f>
        <v>89.177000000000007</v>
      </c>
      <c r="F434" s="78">
        <f>240.302-40-60</f>
        <v>140.30199999999999</v>
      </c>
      <c r="G434" s="80">
        <v>40</v>
      </c>
      <c r="H434" s="78">
        <v>60</v>
      </c>
      <c r="I434" s="78">
        <f t="shared" si="60"/>
        <v>0</v>
      </c>
      <c r="J434" s="80">
        <v>100</v>
      </c>
      <c r="K434" s="80">
        <v>300</v>
      </c>
      <c r="L434" s="78">
        <f t="shared" si="63"/>
        <v>1150</v>
      </c>
      <c r="M434" s="88">
        <v>600</v>
      </c>
      <c r="N434" s="78">
        <f>100</f>
        <v>100</v>
      </c>
      <c r="O434" s="80">
        <v>240</v>
      </c>
      <c r="P434" s="80">
        <v>40</v>
      </c>
      <c r="Q434" s="80">
        <f t="shared" si="64"/>
        <v>315</v>
      </c>
      <c r="R434" s="80">
        <f t="shared" si="65"/>
        <v>100</v>
      </c>
      <c r="S434" s="78">
        <f t="shared" si="66"/>
        <v>695</v>
      </c>
      <c r="T434" s="78">
        <f>50</f>
        <v>50</v>
      </c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</row>
    <row r="435" spans="1:30" ht="15.75" x14ac:dyDescent="0.25">
      <c r="A435" s="14">
        <v>54178</v>
      </c>
      <c r="B435" s="90">
        <v>30</v>
      </c>
      <c r="C435" s="78">
        <f>141.293</f>
        <v>141.29300000000001</v>
      </c>
      <c r="D435" s="78">
        <f>267.993</f>
        <v>267.99299999999999</v>
      </c>
      <c r="E435" s="86">
        <f>115.016</f>
        <v>115.01600000000001</v>
      </c>
      <c r="F435" s="78">
        <f>314.698-40-25-60</f>
        <v>189.69799999999998</v>
      </c>
      <c r="G435" s="80">
        <v>40</v>
      </c>
      <c r="H435" s="78">
        <f t="shared" ref="H435:H441" si="70">25+60</f>
        <v>85</v>
      </c>
      <c r="I435" s="78">
        <f t="shared" si="60"/>
        <v>0</v>
      </c>
      <c r="J435" s="80">
        <v>100</v>
      </c>
      <c r="K435" s="80">
        <v>300</v>
      </c>
      <c r="L435" s="78">
        <f t="shared" si="63"/>
        <v>1239</v>
      </c>
      <c r="M435" s="88">
        <v>600</v>
      </c>
      <c r="N435" s="78">
        <f>100</f>
        <v>100</v>
      </c>
      <c r="O435" s="80">
        <v>240</v>
      </c>
      <c r="P435" s="80">
        <v>160</v>
      </c>
      <c r="Q435" s="80">
        <f t="shared" si="64"/>
        <v>195</v>
      </c>
      <c r="R435" s="80">
        <f t="shared" si="65"/>
        <v>100</v>
      </c>
      <c r="S435" s="78">
        <f t="shared" si="66"/>
        <v>695</v>
      </c>
      <c r="T435" s="78">
        <f>50</f>
        <v>50</v>
      </c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</row>
    <row r="436" spans="1:30" ht="15.75" x14ac:dyDescent="0.25">
      <c r="A436" s="14">
        <v>54209</v>
      </c>
      <c r="B436" s="90">
        <v>31</v>
      </c>
      <c r="C436" s="78">
        <f>194.205</f>
        <v>194.20500000000001</v>
      </c>
      <c r="D436" s="78">
        <f>267.466</f>
        <v>267.46600000000001</v>
      </c>
      <c r="E436" s="86">
        <f>133.845</f>
        <v>133.845</v>
      </c>
      <c r="F436" s="78">
        <f>278.484-40-25-60</f>
        <v>153.48399999999998</v>
      </c>
      <c r="G436" s="80">
        <v>40</v>
      </c>
      <c r="H436" s="78">
        <f t="shared" si="70"/>
        <v>85</v>
      </c>
      <c r="I436" s="78">
        <f t="shared" ref="I436:I499" si="71">400-J436-K436</f>
        <v>0</v>
      </c>
      <c r="J436" s="80">
        <v>100</v>
      </c>
      <c r="K436" s="80">
        <v>300</v>
      </c>
      <c r="L436" s="78">
        <f t="shared" si="63"/>
        <v>1274</v>
      </c>
      <c r="M436" s="88">
        <v>600</v>
      </c>
      <c r="N436" s="78">
        <f>75</f>
        <v>75</v>
      </c>
      <c r="O436" s="80">
        <v>240</v>
      </c>
      <c r="P436" s="80">
        <v>160</v>
      </c>
      <c r="Q436" s="80">
        <f t="shared" si="64"/>
        <v>195</v>
      </c>
      <c r="R436" s="80">
        <f t="shared" si="65"/>
        <v>100</v>
      </c>
      <c r="S436" s="78">
        <f t="shared" si="66"/>
        <v>695</v>
      </c>
      <c r="T436" s="78">
        <f>50</f>
        <v>50</v>
      </c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</row>
    <row r="437" spans="1:30" ht="15.75" x14ac:dyDescent="0.25">
      <c r="A437" s="14">
        <v>54239</v>
      </c>
      <c r="B437" s="90">
        <v>30</v>
      </c>
      <c r="C437" s="78">
        <f>194.205</f>
        <v>194.20500000000001</v>
      </c>
      <c r="D437" s="78">
        <f>267.466</f>
        <v>267.46600000000001</v>
      </c>
      <c r="E437" s="86">
        <f>133.845</f>
        <v>133.845</v>
      </c>
      <c r="F437" s="78">
        <f>278.484-40-25-60</f>
        <v>153.48399999999998</v>
      </c>
      <c r="G437" s="80">
        <v>40</v>
      </c>
      <c r="H437" s="78">
        <f t="shared" si="70"/>
        <v>85</v>
      </c>
      <c r="I437" s="78">
        <f t="shared" si="71"/>
        <v>0</v>
      </c>
      <c r="J437" s="80">
        <v>100</v>
      </c>
      <c r="K437" s="80">
        <v>300</v>
      </c>
      <c r="L437" s="78">
        <f t="shared" si="63"/>
        <v>1274</v>
      </c>
      <c r="M437" s="88">
        <v>600</v>
      </c>
      <c r="N437" s="78">
        <f>30</f>
        <v>30</v>
      </c>
      <c r="O437" s="80">
        <v>240</v>
      </c>
      <c r="P437" s="80">
        <v>160</v>
      </c>
      <c r="Q437" s="80">
        <f t="shared" si="64"/>
        <v>195</v>
      </c>
      <c r="R437" s="80">
        <f t="shared" si="65"/>
        <v>100</v>
      </c>
      <c r="S437" s="78">
        <f t="shared" si="66"/>
        <v>695</v>
      </c>
      <c r="T437" s="78">
        <f>50</f>
        <v>50</v>
      </c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</row>
    <row r="438" spans="1:30" ht="15.75" x14ac:dyDescent="0.25">
      <c r="A438" s="14">
        <v>54270</v>
      </c>
      <c r="B438" s="90">
        <v>31</v>
      </c>
      <c r="C438" s="78">
        <f>194.205</f>
        <v>194.20500000000001</v>
      </c>
      <c r="D438" s="78">
        <f>267.466</f>
        <v>267.46600000000001</v>
      </c>
      <c r="E438" s="86">
        <f>133.845</f>
        <v>133.845</v>
      </c>
      <c r="F438" s="78">
        <f>278.484-40-25-60</f>
        <v>153.48399999999998</v>
      </c>
      <c r="G438" s="80">
        <v>40</v>
      </c>
      <c r="H438" s="78">
        <f t="shared" si="70"/>
        <v>85</v>
      </c>
      <c r="I438" s="78">
        <f t="shared" si="71"/>
        <v>0</v>
      </c>
      <c r="J438" s="80">
        <v>100</v>
      </c>
      <c r="K438" s="80">
        <v>300</v>
      </c>
      <c r="L438" s="78">
        <f t="shared" si="63"/>
        <v>1274</v>
      </c>
      <c r="M438" s="88">
        <v>600</v>
      </c>
      <c r="N438" s="78">
        <f>30</f>
        <v>30</v>
      </c>
      <c r="O438" s="80">
        <v>240</v>
      </c>
      <c r="P438" s="80">
        <v>160</v>
      </c>
      <c r="Q438" s="80">
        <f t="shared" si="64"/>
        <v>195</v>
      </c>
      <c r="R438" s="80">
        <f t="shared" si="65"/>
        <v>100</v>
      </c>
      <c r="S438" s="78">
        <f t="shared" si="66"/>
        <v>695</v>
      </c>
      <c r="T438" s="78">
        <f>0</f>
        <v>0</v>
      </c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</row>
    <row r="439" spans="1:30" ht="15.75" x14ac:dyDescent="0.25">
      <c r="A439" s="14">
        <v>54301</v>
      </c>
      <c r="B439" s="90">
        <v>31</v>
      </c>
      <c r="C439" s="78">
        <f>194.205</f>
        <v>194.20500000000001</v>
      </c>
      <c r="D439" s="78">
        <f>267.466</f>
        <v>267.46600000000001</v>
      </c>
      <c r="E439" s="86">
        <f>133.845</f>
        <v>133.845</v>
      </c>
      <c r="F439" s="78">
        <f>278.484-40-25-60</f>
        <v>153.48399999999998</v>
      </c>
      <c r="G439" s="80">
        <v>40</v>
      </c>
      <c r="H439" s="78">
        <f t="shared" si="70"/>
        <v>85</v>
      </c>
      <c r="I439" s="78">
        <f t="shared" si="71"/>
        <v>0</v>
      </c>
      <c r="J439" s="80">
        <v>100</v>
      </c>
      <c r="K439" s="80">
        <v>300</v>
      </c>
      <c r="L439" s="78">
        <f t="shared" si="63"/>
        <v>1274</v>
      </c>
      <c r="M439" s="88">
        <v>600</v>
      </c>
      <c r="N439" s="78">
        <f>30</f>
        <v>30</v>
      </c>
      <c r="O439" s="80">
        <v>240</v>
      </c>
      <c r="P439" s="80">
        <v>160</v>
      </c>
      <c r="Q439" s="80">
        <f t="shared" si="64"/>
        <v>195</v>
      </c>
      <c r="R439" s="80">
        <f t="shared" si="65"/>
        <v>100</v>
      </c>
      <c r="S439" s="78">
        <f t="shared" si="66"/>
        <v>695</v>
      </c>
      <c r="T439" s="78">
        <f>0</f>
        <v>0</v>
      </c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</row>
    <row r="440" spans="1:30" ht="15.75" x14ac:dyDescent="0.25">
      <c r="A440" s="14">
        <v>54331</v>
      </c>
      <c r="B440" s="90">
        <v>30</v>
      </c>
      <c r="C440" s="78">
        <f>194.205</f>
        <v>194.20500000000001</v>
      </c>
      <c r="D440" s="78">
        <f>267.466</f>
        <v>267.46600000000001</v>
      </c>
      <c r="E440" s="86">
        <f>133.845</f>
        <v>133.845</v>
      </c>
      <c r="F440" s="78">
        <f>278.484-40-25-60</f>
        <v>153.48399999999998</v>
      </c>
      <c r="G440" s="80">
        <v>40</v>
      </c>
      <c r="H440" s="78">
        <f t="shared" si="70"/>
        <v>85</v>
      </c>
      <c r="I440" s="78">
        <f t="shared" si="71"/>
        <v>0</v>
      </c>
      <c r="J440" s="80">
        <v>100</v>
      </c>
      <c r="K440" s="80">
        <v>300</v>
      </c>
      <c r="L440" s="78">
        <f t="shared" si="63"/>
        <v>1274</v>
      </c>
      <c r="M440" s="88">
        <v>600</v>
      </c>
      <c r="N440" s="78">
        <f>30</f>
        <v>30</v>
      </c>
      <c r="O440" s="80">
        <v>240</v>
      </c>
      <c r="P440" s="80">
        <v>160</v>
      </c>
      <c r="Q440" s="80">
        <f t="shared" si="64"/>
        <v>195</v>
      </c>
      <c r="R440" s="80">
        <f t="shared" si="65"/>
        <v>100</v>
      </c>
      <c r="S440" s="78">
        <f t="shared" si="66"/>
        <v>695</v>
      </c>
      <c r="T440" s="78">
        <f>0</f>
        <v>0</v>
      </c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</row>
    <row r="441" spans="1:30" ht="15.75" x14ac:dyDescent="0.25">
      <c r="A441" s="14">
        <v>54362</v>
      </c>
      <c r="B441" s="90">
        <v>31</v>
      </c>
      <c r="C441" s="78">
        <f>131.881</f>
        <v>131.881</v>
      </c>
      <c r="D441" s="78">
        <f>277.167</f>
        <v>277.16699999999997</v>
      </c>
      <c r="E441" s="86">
        <f>79.08</f>
        <v>79.08</v>
      </c>
      <c r="F441" s="78">
        <f>350.872-40-25-60</f>
        <v>225.87200000000001</v>
      </c>
      <c r="G441" s="80">
        <v>40</v>
      </c>
      <c r="H441" s="78">
        <f t="shared" si="70"/>
        <v>85</v>
      </c>
      <c r="I441" s="78">
        <f t="shared" si="71"/>
        <v>0</v>
      </c>
      <c r="J441" s="80">
        <v>100</v>
      </c>
      <c r="K441" s="80">
        <v>300</v>
      </c>
      <c r="L441" s="78">
        <f t="shared" si="63"/>
        <v>1239</v>
      </c>
      <c r="M441" s="88">
        <v>600</v>
      </c>
      <c r="N441" s="78">
        <f>75</f>
        <v>75</v>
      </c>
      <c r="O441" s="80">
        <v>240</v>
      </c>
      <c r="P441" s="80">
        <v>160</v>
      </c>
      <c r="Q441" s="80">
        <f t="shared" si="64"/>
        <v>195</v>
      </c>
      <c r="R441" s="80">
        <f t="shared" si="65"/>
        <v>100</v>
      </c>
      <c r="S441" s="78">
        <f t="shared" si="66"/>
        <v>695</v>
      </c>
      <c r="T441" s="78">
        <f>0</f>
        <v>0</v>
      </c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</row>
    <row r="442" spans="1:30" ht="15.75" x14ac:dyDescent="0.25">
      <c r="A442" s="14">
        <v>54392</v>
      </c>
      <c r="B442" s="90">
        <v>30</v>
      </c>
      <c r="C442" s="78">
        <f>122.58</f>
        <v>122.58</v>
      </c>
      <c r="D442" s="78">
        <f>297.941</f>
        <v>297.94099999999997</v>
      </c>
      <c r="E442" s="86">
        <f>89.177</f>
        <v>89.177000000000007</v>
      </c>
      <c r="F442" s="78">
        <f>240.302-40-60</f>
        <v>140.30199999999999</v>
      </c>
      <c r="G442" s="80">
        <v>40</v>
      </c>
      <c r="H442" s="78">
        <v>60</v>
      </c>
      <c r="I442" s="78">
        <f t="shared" si="71"/>
        <v>0</v>
      </c>
      <c r="J442" s="80">
        <v>100</v>
      </c>
      <c r="K442" s="80">
        <v>300</v>
      </c>
      <c r="L442" s="78">
        <f t="shared" si="63"/>
        <v>1150</v>
      </c>
      <c r="M442" s="88">
        <v>600</v>
      </c>
      <c r="N442" s="78">
        <f>100</f>
        <v>100</v>
      </c>
      <c r="O442" s="80">
        <v>240</v>
      </c>
      <c r="P442" s="80">
        <v>40</v>
      </c>
      <c r="Q442" s="80">
        <f t="shared" si="64"/>
        <v>315</v>
      </c>
      <c r="R442" s="80">
        <f t="shared" si="65"/>
        <v>100</v>
      </c>
      <c r="S442" s="78">
        <f t="shared" si="66"/>
        <v>695</v>
      </c>
      <c r="T442" s="78">
        <f>50</f>
        <v>50</v>
      </c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</row>
    <row r="443" spans="1:30" ht="15.75" x14ac:dyDescent="0.25">
      <c r="A443" s="14">
        <v>54423</v>
      </c>
      <c r="B443" s="90">
        <v>31</v>
      </c>
      <c r="C443" s="78">
        <f>122.58</f>
        <v>122.58</v>
      </c>
      <c r="D443" s="78">
        <f>297.941</f>
        <v>297.94099999999997</v>
      </c>
      <c r="E443" s="86">
        <f>89.177</f>
        <v>89.177000000000007</v>
      </c>
      <c r="F443" s="78">
        <f>240.302-40-60</f>
        <v>140.30199999999999</v>
      </c>
      <c r="G443" s="80">
        <v>40</v>
      </c>
      <c r="H443" s="78">
        <v>60</v>
      </c>
      <c r="I443" s="78">
        <f t="shared" si="71"/>
        <v>0</v>
      </c>
      <c r="J443" s="80">
        <v>100</v>
      </c>
      <c r="K443" s="80">
        <v>300</v>
      </c>
      <c r="L443" s="78">
        <f t="shared" si="63"/>
        <v>1150</v>
      </c>
      <c r="M443" s="88">
        <v>600</v>
      </c>
      <c r="N443" s="78">
        <f>100</f>
        <v>100</v>
      </c>
      <c r="O443" s="80">
        <v>240</v>
      </c>
      <c r="P443" s="80">
        <v>40</v>
      </c>
      <c r="Q443" s="80">
        <f t="shared" si="64"/>
        <v>315</v>
      </c>
      <c r="R443" s="80">
        <f t="shared" si="65"/>
        <v>100</v>
      </c>
      <c r="S443" s="78">
        <f t="shared" si="66"/>
        <v>695</v>
      </c>
      <c r="T443" s="78">
        <f>50</f>
        <v>50</v>
      </c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</row>
    <row r="444" spans="1:30" ht="15.75" x14ac:dyDescent="0.25">
      <c r="A444" s="14">
        <v>54454</v>
      </c>
      <c r="B444" s="90">
        <v>31</v>
      </c>
      <c r="C444" s="78">
        <f>122.58</f>
        <v>122.58</v>
      </c>
      <c r="D444" s="78">
        <f>297.941</f>
        <v>297.94099999999997</v>
      </c>
      <c r="E444" s="86">
        <f>89.177</f>
        <v>89.177000000000007</v>
      </c>
      <c r="F444" s="78">
        <f>240.302-40-60</f>
        <v>140.30199999999999</v>
      </c>
      <c r="G444" s="80">
        <v>40</v>
      </c>
      <c r="H444" s="78">
        <v>60</v>
      </c>
      <c r="I444" s="78">
        <f t="shared" si="71"/>
        <v>0</v>
      </c>
      <c r="J444" s="80">
        <v>100</v>
      </c>
      <c r="K444" s="80">
        <v>300</v>
      </c>
      <c r="L444" s="78">
        <f t="shared" si="63"/>
        <v>1150</v>
      </c>
      <c r="M444" s="88">
        <v>600</v>
      </c>
      <c r="N444" s="78">
        <f>100</f>
        <v>100</v>
      </c>
      <c r="O444" s="80">
        <v>240</v>
      </c>
      <c r="P444" s="80">
        <v>40</v>
      </c>
      <c r="Q444" s="80">
        <f t="shared" si="64"/>
        <v>315</v>
      </c>
      <c r="R444" s="80">
        <f t="shared" si="65"/>
        <v>100</v>
      </c>
      <c r="S444" s="78">
        <f t="shared" si="66"/>
        <v>695</v>
      </c>
      <c r="T444" s="78">
        <f>50</f>
        <v>50</v>
      </c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</row>
    <row r="445" spans="1:30" ht="15.75" x14ac:dyDescent="0.25">
      <c r="A445" s="14">
        <v>54482</v>
      </c>
      <c r="B445" s="90">
        <v>28</v>
      </c>
      <c r="C445" s="78">
        <f>122.58</f>
        <v>122.58</v>
      </c>
      <c r="D445" s="78">
        <f>297.941</f>
        <v>297.94099999999997</v>
      </c>
      <c r="E445" s="86">
        <f>89.177</f>
        <v>89.177000000000007</v>
      </c>
      <c r="F445" s="78">
        <f>240.302-40-60</f>
        <v>140.30199999999999</v>
      </c>
      <c r="G445" s="80">
        <v>40</v>
      </c>
      <c r="H445" s="78">
        <v>60</v>
      </c>
      <c r="I445" s="78">
        <f t="shared" si="71"/>
        <v>0</v>
      </c>
      <c r="J445" s="80">
        <v>100</v>
      </c>
      <c r="K445" s="80">
        <v>300</v>
      </c>
      <c r="L445" s="78">
        <f t="shared" si="63"/>
        <v>1150</v>
      </c>
      <c r="M445" s="88">
        <v>600</v>
      </c>
      <c r="N445" s="78">
        <f>100</f>
        <v>100</v>
      </c>
      <c r="O445" s="80">
        <v>240</v>
      </c>
      <c r="P445" s="80">
        <v>40</v>
      </c>
      <c r="Q445" s="80">
        <f t="shared" si="64"/>
        <v>315</v>
      </c>
      <c r="R445" s="80">
        <f t="shared" si="65"/>
        <v>100</v>
      </c>
      <c r="S445" s="78">
        <f t="shared" si="66"/>
        <v>695</v>
      </c>
      <c r="T445" s="78">
        <f>50</f>
        <v>50</v>
      </c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</row>
    <row r="446" spans="1:30" ht="15.75" x14ac:dyDescent="0.25">
      <c r="A446" s="14">
        <v>54513</v>
      </c>
      <c r="B446" s="90">
        <v>31</v>
      </c>
      <c r="C446" s="78">
        <f>122.58</f>
        <v>122.58</v>
      </c>
      <c r="D446" s="78">
        <f>297.941</f>
        <v>297.94099999999997</v>
      </c>
      <c r="E446" s="86">
        <f>89.177</f>
        <v>89.177000000000007</v>
      </c>
      <c r="F446" s="78">
        <f>240.302-40-60</f>
        <v>140.30199999999999</v>
      </c>
      <c r="G446" s="80">
        <v>40</v>
      </c>
      <c r="H446" s="78">
        <v>60</v>
      </c>
      <c r="I446" s="78">
        <f t="shared" si="71"/>
        <v>0</v>
      </c>
      <c r="J446" s="80">
        <v>100</v>
      </c>
      <c r="K446" s="80">
        <v>300</v>
      </c>
      <c r="L446" s="78">
        <f t="shared" si="63"/>
        <v>1150</v>
      </c>
      <c r="M446" s="88">
        <v>600</v>
      </c>
      <c r="N446" s="78">
        <f>100</f>
        <v>100</v>
      </c>
      <c r="O446" s="80">
        <v>240</v>
      </c>
      <c r="P446" s="80">
        <v>40</v>
      </c>
      <c r="Q446" s="80">
        <f t="shared" si="64"/>
        <v>315</v>
      </c>
      <c r="R446" s="80">
        <f t="shared" si="65"/>
        <v>100</v>
      </c>
      <c r="S446" s="78">
        <f t="shared" si="66"/>
        <v>695</v>
      </c>
      <c r="T446" s="78">
        <f>50</f>
        <v>50</v>
      </c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</row>
    <row r="447" spans="1:30" ht="15.75" x14ac:dyDescent="0.25">
      <c r="A447" s="14">
        <v>54543</v>
      </c>
      <c r="B447" s="90">
        <v>30</v>
      </c>
      <c r="C447" s="78">
        <f>141.293</f>
        <v>141.29300000000001</v>
      </c>
      <c r="D447" s="78">
        <f>267.993</f>
        <v>267.99299999999999</v>
      </c>
      <c r="E447" s="86">
        <f>115.016</f>
        <v>115.01600000000001</v>
      </c>
      <c r="F447" s="78">
        <f>314.698-40-25-60</f>
        <v>189.69799999999998</v>
      </c>
      <c r="G447" s="80">
        <v>40</v>
      </c>
      <c r="H447" s="78">
        <f t="shared" ref="H447:H453" si="72">25+60</f>
        <v>85</v>
      </c>
      <c r="I447" s="78">
        <f t="shared" si="71"/>
        <v>0</v>
      </c>
      <c r="J447" s="80">
        <v>100</v>
      </c>
      <c r="K447" s="80">
        <v>300</v>
      </c>
      <c r="L447" s="78">
        <f t="shared" si="63"/>
        <v>1239</v>
      </c>
      <c r="M447" s="88">
        <v>600</v>
      </c>
      <c r="N447" s="78">
        <f>100</f>
        <v>100</v>
      </c>
      <c r="O447" s="80">
        <v>240</v>
      </c>
      <c r="P447" s="80">
        <v>160</v>
      </c>
      <c r="Q447" s="80">
        <f t="shared" si="64"/>
        <v>195</v>
      </c>
      <c r="R447" s="80">
        <f t="shared" si="65"/>
        <v>100</v>
      </c>
      <c r="S447" s="78">
        <f t="shared" si="66"/>
        <v>695</v>
      </c>
      <c r="T447" s="78">
        <f>50</f>
        <v>50</v>
      </c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</row>
    <row r="448" spans="1:30" ht="15.75" x14ac:dyDescent="0.25">
      <c r="A448" s="14">
        <v>54574</v>
      </c>
      <c r="B448" s="90">
        <v>31</v>
      </c>
      <c r="C448" s="78">
        <f>194.205</f>
        <v>194.20500000000001</v>
      </c>
      <c r="D448" s="78">
        <f>267.466</f>
        <v>267.46600000000001</v>
      </c>
      <c r="E448" s="86">
        <f>133.845</f>
        <v>133.845</v>
      </c>
      <c r="F448" s="78">
        <f>278.484-40-25-60</f>
        <v>153.48399999999998</v>
      </c>
      <c r="G448" s="80">
        <v>40</v>
      </c>
      <c r="H448" s="78">
        <f t="shared" si="72"/>
        <v>85</v>
      </c>
      <c r="I448" s="78">
        <f t="shared" si="71"/>
        <v>0</v>
      </c>
      <c r="J448" s="80">
        <v>100</v>
      </c>
      <c r="K448" s="80">
        <v>300</v>
      </c>
      <c r="L448" s="78">
        <f t="shared" si="63"/>
        <v>1274</v>
      </c>
      <c r="M448" s="88">
        <v>600</v>
      </c>
      <c r="N448" s="78">
        <f>75</f>
        <v>75</v>
      </c>
      <c r="O448" s="80">
        <v>240</v>
      </c>
      <c r="P448" s="80">
        <v>160</v>
      </c>
      <c r="Q448" s="80">
        <f t="shared" si="64"/>
        <v>195</v>
      </c>
      <c r="R448" s="80">
        <f t="shared" si="65"/>
        <v>100</v>
      </c>
      <c r="S448" s="78">
        <f t="shared" si="66"/>
        <v>695</v>
      </c>
      <c r="T448" s="78">
        <f>50</f>
        <v>50</v>
      </c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</row>
    <row r="449" spans="1:30" ht="15.75" x14ac:dyDescent="0.25">
      <c r="A449" s="14">
        <v>54604</v>
      </c>
      <c r="B449" s="90">
        <v>30</v>
      </c>
      <c r="C449" s="78">
        <f>194.205</f>
        <v>194.20500000000001</v>
      </c>
      <c r="D449" s="78">
        <f>267.466</f>
        <v>267.46600000000001</v>
      </c>
      <c r="E449" s="86">
        <f>133.845</f>
        <v>133.845</v>
      </c>
      <c r="F449" s="78">
        <f>278.484-40-25-60</f>
        <v>153.48399999999998</v>
      </c>
      <c r="G449" s="80">
        <v>40</v>
      </c>
      <c r="H449" s="78">
        <f t="shared" si="72"/>
        <v>85</v>
      </c>
      <c r="I449" s="78">
        <f t="shared" si="71"/>
        <v>0</v>
      </c>
      <c r="J449" s="80">
        <v>100</v>
      </c>
      <c r="K449" s="80">
        <v>300</v>
      </c>
      <c r="L449" s="78">
        <f t="shared" si="63"/>
        <v>1274</v>
      </c>
      <c r="M449" s="88">
        <v>600</v>
      </c>
      <c r="N449" s="78">
        <f>30</f>
        <v>30</v>
      </c>
      <c r="O449" s="80">
        <v>240</v>
      </c>
      <c r="P449" s="80">
        <v>160</v>
      </c>
      <c r="Q449" s="80">
        <f t="shared" si="64"/>
        <v>195</v>
      </c>
      <c r="R449" s="80">
        <f t="shared" si="65"/>
        <v>100</v>
      </c>
      <c r="S449" s="78">
        <f t="shared" si="66"/>
        <v>695</v>
      </c>
      <c r="T449" s="78">
        <f>50</f>
        <v>50</v>
      </c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</row>
    <row r="450" spans="1:30" ht="15.75" x14ac:dyDescent="0.25">
      <c r="A450" s="14">
        <v>54635</v>
      </c>
      <c r="B450" s="90">
        <v>31</v>
      </c>
      <c r="C450" s="78">
        <f>194.205</f>
        <v>194.20500000000001</v>
      </c>
      <c r="D450" s="78">
        <f>267.466</f>
        <v>267.46600000000001</v>
      </c>
      <c r="E450" s="86">
        <f>133.845</f>
        <v>133.845</v>
      </c>
      <c r="F450" s="78">
        <f>278.484-40-25-60</f>
        <v>153.48399999999998</v>
      </c>
      <c r="G450" s="80">
        <v>40</v>
      </c>
      <c r="H450" s="78">
        <f t="shared" si="72"/>
        <v>85</v>
      </c>
      <c r="I450" s="78">
        <f t="shared" si="71"/>
        <v>0</v>
      </c>
      <c r="J450" s="80">
        <v>100</v>
      </c>
      <c r="K450" s="80">
        <v>300</v>
      </c>
      <c r="L450" s="78">
        <f t="shared" si="63"/>
        <v>1274</v>
      </c>
      <c r="M450" s="88">
        <v>600</v>
      </c>
      <c r="N450" s="78">
        <f>30</f>
        <v>30</v>
      </c>
      <c r="O450" s="80">
        <v>240</v>
      </c>
      <c r="P450" s="80">
        <v>160</v>
      </c>
      <c r="Q450" s="80">
        <f t="shared" si="64"/>
        <v>195</v>
      </c>
      <c r="R450" s="80">
        <f t="shared" si="65"/>
        <v>100</v>
      </c>
      <c r="S450" s="78">
        <f t="shared" si="66"/>
        <v>695</v>
      </c>
      <c r="T450" s="78">
        <f>0</f>
        <v>0</v>
      </c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</row>
    <row r="451" spans="1:30" ht="15.75" x14ac:dyDescent="0.25">
      <c r="A451" s="14">
        <v>54666</v>
      </c>
      <c r="B451" s="90">
        <v>31</v>
      </c>
      <c r="C451" s="78">
        <f>194.205</f>
        <v>194.20500000000001</v>
      </c>
      <c r="D451" s="78">
        <f>267.466</f>
        <v>267.46600000000001</v>
      </c>
      <c r="E451" s="86">
        <f>133.845</f>
        <v>133.845</v>
      </c>
      <c r="F451" s="78">
        <f>278.484-40-25-60</f>
        <v>153.48399999999998</v>
      </c>
      <c r="G451" s="80">
        <v>40</v>
      </c>
      <c r="H451" s="78">
        <f t="shared" si="72"/>
        <v>85</v>
      </c>
      <c r="I451" s="78">
        <f t="shared" si="71"/>
        <v>0</v>
      </c>
      <c r="J451" s="80">
        <v>100</v>
      </c>
      <c r="K451" s="80">
        <v>300</v>
      </c>
      <c r="L451" s="78">
        <f t="shared" si="63"/>
        <v>1274</v>
      </c>
      <c r="M451" s="88">
        <v>600</v>
      </c>
      <c r="N451" s="78">
        <f>30</f>
        <v>30</v>
      </c>
      <c r="O451" s="80">
        <v>240</v>
      </c>
      <c r="P451" s="80">
        <v>160</v>
      </c>
      <c r="Q451" s="80">
        <f t="shared" si="64"/>
        <v>195</v>
      </c>
      <c r="R451" s="80">
        <f t="shared" si="65"/>
        <v>100</v>
      </c>
      <c r="S451" s="78">
        <f t="shared" si="66"/>
        <v>695</v>
      </c>
      <c r="T451" s="78">
        <f>0</f>
        <v>0</v>
      </c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</row>
    <row r="452" spans="1:30" ht="15.75" x14ac:dyDescent="0.25">
      <c r="A452" s="14">
        <v>54696</v>
      </c>
      <c r="B452" s="90">
        <v>30</v>
      </c>
      <c r="C452" s="78">
        <f>194.205</f>
        <v>194.20500000000001</v>
      </c>
      <c r="D452" s="78">
        <f>267.466</f>
        <v>267.46600000000001</v>
      </c>
      <c r="E452" s="86">
        <f>133.845</f>
        <v>133.845</v>
      </c>
      <c r="F452" s="78">
        <f>278.484-40-25-60</f>
        <v>153.48399999999998</v>
      </c>
      <c r="G452" s="80">
        <v>40</v>
      </c>
      <c r="H452" s="78">
        <f t="shared" si="72"/>
        <v>85</v>
      </c>
      <c r="I452" s="78">
        <f t="shared" si="71"/>
        <v>0</v>
      </c>
      <c r="J452" s="80">
        <v>100</v>
      </c>
      <c r="K452" s="80">
        <v>300</v>
      </c>
      <c r="L452" s="78">
        <f t="shared" si="63"/>
        <v>1274</v>
      </c>
      <c r="M452" s="88">
        <v>600</v>
      </c>
      <c r="N452" s="78">
        <f>30</f>
        <v>30</v>
      </c>
      <c r="O452" s="80">
        <v>240</v>
      </c>
      <c r="P452" s="80">
        <v>160</v>
      </c>
      <c r="Q452" s="80">
        <f t="shared" si="64"/>
        <v>195</v>
      </c>
      <c r="R452" s="80">
        <f t="shared" si="65"/>
        <v>100</v>
      </c>
      <c r="S452" s="78">
        <f t="shared" si="66"/>
        <v>695</v>
      </c>
      <c r="T452" s="78">
        <f>0</f>
        <v>0</v>
      </c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</row>
    <row r="453" spans="1:30" ht="15.75" x14ac:dyDescent="0.25">
      <c r="A453" s="14">
        <v>54727</v>
      </c>
      <c r="B453" s="90">
        <v>31</v>
      </c>
      <c r="C453" s="78">
        <f>131.881</f>
        <v>131.881</v>
      </c>
      <c r="D453" s="78">
        <f>277.167</f>
        <v>277.16699999999997</v>
      </c>
      <c r="E453" s="86">
        <f>79.08</f>
        <v>79.08</v>
      </c>
      <c r="F453" s="78">
        <f>350.872-40-25-60</f>
        <v>225.87200000000001</v>
      </c>
      <c r="G453" s="80">
        <v>40</v>
      </c>
      <c r="H453" s="78">
        <f t="shared" si="72"/>
        <v>85</v>
      </c>
      <c r="I453" s="78">
        <f t="shared" si="71"/>
        <v>0</v>
      </c>
      <c r="J453" s="80">
        <v>100</v>
      </c>
      <c r="K453" s="80">
        <v>300</v>
      </c>
      <c r="L453" s="78">
        <f t="shared" si="63"/>
        <v>1239</v>
      </c>
      <c r="M453" s="88">
        <v>600</v>
      </c>
      <c r="N453" s="78">
        <f>75</f>
        <v>75</v>
      </c>
      <c r="O453" s="80">
        <v>240</v>
      </c>
      <c r="P453" s="80">
        <v>160</v>
      </c>
      <c r="Q453" s="80">
        <f t="shared" si="64"/>
        <v>195</v>
      </c>
      <c r="R453" s="80">
        <f t="shared" si="65"/>
        <v>100</v>
      </c>
      <c r="S453" s="78">
        <f t="shared" si="66"/>
        <v>695</v>
      </c>
      <c r="T453" s="78">
        <f>0</f>
        <v>0</v>
      </c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</row>
    <row r="454" spans="1:30" ht="15.75" x14ac:dyDescent="0.25">
      <c r="A454" s="14">
        <v>54757</v>
      </c>
      <c r="B454" s="90">
        <v>30</v>
      </c>
      <c r="C454" s="78">
        <f>122.58</f>
        <v>122.58</v>
      </c>
      <c r="D454" s="78">
        <f>297.941</f>
        <v>297.94099999999997</v>
      </c>
      <c r="E454" s="86">
        <f>89.177</f>
        <v>89.177000000000007</v>
      </c>
      <c r="F454" s="78">
        <f>240.302-40-60</f>
        <v>140.30199999999999</v>
      </c>
      <c r="G454" s="80">
        <v>40</v>
      </c>
      <c r="H454" s="78">
        <v>60</v>
      </c>
      <c r="I454" s="78">
        <f t="shared" si="71"/>
        <v>0</v>
      </c>
      <c r="J454" s="80">
        <v>100</v>
      </c>
      <c r="K454" s="80">
        <v>300</v>
      </c>
      <c r="L454" s="78">
        <f t="shared" si="63"/>
        <v>1150</v>
      </c>
      <c r="M454" s="88">
        <v>600</v>
      </c>
      <c r="N454" s="78">
        <f>100</f>
        <v>100</v>
      </c>
      <c r="O454" s="80">
        <v>240</v>
      </c>
      <c r="P454" s="80">
        <v>40</v>
      </c>
      <c r="Q454" s="80">
        <f t="shared" si="64"/>
        <v>315</v>
      </c>
      <c r="R454" s="80">
        <f t="shared" si="65"/>
        <v>100</v>
      </c>
      <c r="S454" s="78">
        <f t="shared" si="66"/>
        <v>695</v>
      </c>
      <c r="T454" s="78">
        <f>50</f>
        <v>50</v>
      </c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</row>
    <row r="455" spans="1:30" ht="15.75" x14ac:dyDescent="0.25">
      <c r="A455" s="14">
        <v>54788</v>
      </c>
      <c r="B455" s="90">
        <v>31</v>
      </c>
      <c r="C455" s="78">
        <f>122.58</f>
        <v>122.58</v>
      </c>
      <c r="D455" s="78">
        <f>297.941</f>
        <v>297.94099999999997</v>
      </c>
      <c r="E455" s="86">
        <f>89.177</f>
        <v>89.177000000000007</v>
      </c>
      <c r="F455" s="78">
        <f>240.302-40-60</f>
        <v>140.30199999999999</v>
      </c>
      <c r="G455" s="80">
        <v>40</v>
      </c>
      <c r="H455" s="78">
        <v>60</v>
      </c>
      <c r="I455" s="78">
        <f t="shared" si="71"/>
        <v>0</v>
      </c>
      <c r="J455" s="80">
        <v>100</v>
      </c>
      <c r="K455" s="80">
        <v>300</v>
      </c>
      <c r="L455" s="78">
        <f t="shared" si="63"/>
        <v>1150</v>
      </c>
      <c r="M455" s="88">
        <v>600</v>
      </c>
      <c r="N455" s="78">
        <f>100</f>
        <v>100</v>
      </c>
      <c r="O455" s="80">
        <v>240</v>
      </c>
      <c r="P455" s="80">
        <v>40</v>
      </c>
      <c r="Q455" s="80">
        <f t="shared" si="64"/>
        <v>315</v>
      </c>
      <c r="R455" s="80">
        <f t="shared" si="65"/>
        <v>100</v>
      </c>
      <c r="S455" s="78">
        <f t="shared" si="66"/>
        <v>695</v>
      </c>
      <c r="T455" s="78">
        <f>50</f>
        <v>50</v>
      </c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</row>
    <row r="456" spans="1:30" ht="15.75" x14ac:dyDescent="0.25">
      <c r="A456" s="14">
        <v>54819</v>
      </c>
      <c r="B456" s="90">
        <v>31</v>
      </c>
      <c r="C456" s="78">
        <f>122.58</f>
        <v>122.58</v>
      </c>
      <c r="D456" s="78">
        <f>297.941</f>
        <v>297.94099999999997</v>
      </c>
      <c r="E456" s="86">
        <f>89.177</f>
        <v>89.177000000000007</v>
      </c>
      <c r="F456" s="78">
        <f>240.302-40-60</f>
        <v>140.30199999999999</v>
      </c>
      <c r="G456" s="80">
        <v>40</v>
      </c>
      <c r="H456" s="78">
        <v>60</v>
      </c>
      <c r="I456" s="78">
        <f t="shared" si="71"/>
        <v>0</v>
      </c>
      <c r="J456" s="80">
        <v>100</v>
      </c>
      <c r="K456" s="80">
        <v>300</v>
      </c>
      <c r="L456" s="78">
        <f t="shared" si="63"/>
        <v>1150</v>
      </c>
      <c r="M456" s="88">
        <v>600</v>
      </c>
      <c r="N456" s="78">
        <f>100</f>
        <v>100</v>
      </c>
      <c r="O456" s="80">
        <v>240</v>
      </c>
      <c r="P456" s="80">
        <v>40</v>
      </c>
      <c r="Q456" s="80">
        <f t="shared" si="64"/>
        <v>315</v>
      </c>
      <c r="R456" s="80">
        <f t="shared" si="65"/>
        <v>100</v>
      </c>
      <c r="S456" s="78">
        <f t="shared" si="66"/>
        <v>695</v>
      </c>
      <c r="T456" s="78">
        <f>50</f>
        <v>50</v>
      </c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</row>
    <row r="457" spans="1:30" ht="15.75" x14ac:dyDescent="0.25">
      <c r="A457" s="14">
        <v>54847</v>
      </c>
      <c r="B457" s="90">
        <v>28</v>
      </c>
      <c r="C457" s="78">
        <f>122.58</f>
        <v>122.58</v>
      </c>
      <c r="D457" s="78">
        <f>297.941</f>
        <v>297.94099999999997</v>
      </c>
      <c r="E457" s="86">
        <f>89.177</f>
        <v>89.177000000000007</v>
      </c>
      <c r="F457" s="78">
        <f>240.302-40-60</f>
        <v>140.30199999999999</v>
      </c>
      <c r="G457" s="80">
        <v>40</v>
      </c>
      <c r="H457" s="78">
        <v>60</v>
      </c>
      <c r="I457" s="78">
        <f t="shared" si="71"/>
        <v>0</v>
      </c>
      <c r="J457" s="80">
        <v>100</v>
      </c>
      <c r="K457" s="80">
        <v>300</v>
      </c>
      <c r="L457" s="78">
        <f t="shared" si="63"/>
        <v>1150</v>
      </c>
      <c r="M457" s="88">
        <v>600</v>
      </c>
      <c r="N457" s="78">
        <f>100</f>
        <v>100</v>
      </c>
      <c r="O457" s="80">
        <v>240</v>
      </c>
      <c r="P457" s="80">
        <v>40</v>
      </c>
      <c r="Q457" s="80">
        <f t="shared" si="64"/>
        <v>315</v>
      </c>
      <c r="R457" s="80">
        <f t="shared" si="65"/>
        <v>100</v>
      </c>
      <c r="S457" s="78">
        <f t="shared" si="66"/>
        <v>695</v>
      </c>
      <c r="T457" s="78">
        <f>50</f>
        <v>50</v>
      </c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</row>
    <row r="458" spans="1:30" ht="15.75" x14ac:dyDescent="0.25">
      <c r="A458" s="14">
        <v>54878</v>
      </c>
      <c r="B458" s="90">
        <v>31</v>
      </c>
      <c r="C458" s="78">
        <f>122.58</f>
        <v>122.58</v>
      </c>
      <c r="D458" s="78">
        <f>297.941</f>
        <v>297.94099999999997</v>
      </c>
      <c r="E458" s="86">
        <f>89.177</f>
        <v>89.177000000000007</v>
      </c>
      <c r="F458" s="78">
        <f>240.302-40-60</f>
        <v>140.30199999999999</v>
      </c>
      <c r="G458" s="80">
        <v>40</v>
      </c>
      <c r="H458" s="78">
        <v>60</v>
      </c>
      <c r="I458" s="78">
        <f t="shared" si="71"/>
        <v>0</v>
      </c>
      <c r="J458" s="80">
        <v>100</v>
      </c>
      <c r="K458" s="80">
        <v>300</v>
      </c>
      <c r="L458" s="78">
        <f t="shared" si="63"/>
        <v>1150</v>
      </c>
      <c r="M458" s="88">
        <v>600</v>
      </c>
      <c r="N458" s="78">
        <f>100</f>
        <v>100</v>
      </c>
      <c r="O458" s="80">
        <v>240</v>
      </c>
      <c r="P458" s="80">
        <v>40</v>
      </c>
      <c r="Q458" s="80">
        <f t="shared" si="64"/>
        <v>315</v>
      </c>
      <c r="R458" s="80">
        <f t="shared" si="65"/>
        <v>100</v>
      </c>
      <c r="S458" s="78">
        <f t="shared" si="66"/>
        <v>695</v>
      </c>
      <c r="T458" s="78">
        <f>50</f>
        <v>50</v>
      </c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</row>
    <row r="459" spans="1:30" ht="15.75" x14ac:dyDescent="0.25">
      <c r="A459" s="14">
        <v>54908</v>
      </c>
      <c r="B459" s="90">
        <v>30</v>
      </c>
      <c r="C459" s="78">
        <f>141.293</f>
        <v>141.29300000000001</v>
      </c>
      <c r="D459" s="78">
        <f>267.993</f>
        <v>267.99299999999999</v>
      </c>
      <c r="E459" s="86">
        <f>115.016</f>
        <v>115.01600000000001</v>
      </c>
      <c r="F459" s="78">
        <f>314.698-40-25-60</f>
        <v>189.69799999999998</v>
      </c>
      <c r="G459" s="80">
        <v>40</v>
      </c>
      <c r="H459" s="78">
        <f t="shared" ref="H459:H465" si="73">25+60</f>
        <v>85</v>
      </c>
      <c r="I459" s="78">
        <f t="shared" si="71"/>
        <v>0</v>
      </c>
      <c r="J459" s="80">
        <v>100</v>
      </c>
      <c r="K459" s="80">
        <v>300</v>
      </c>
      <c r="L459" s="78">
        <f t="shared" si="63"/>
        <v>1239</v>
      </c>
      <c r="M459" s="88">
        <v>600</v>
      </c>
      <c r="N459" s="78">
        <f>100</f>
        <v>100</v>
      </c>
      <c r="O459" s="80">
        <v>240</v>
      </c>
      <c r="P459" s="80">
        <v>160</v>
      </c>
      <c r="Q459" s="80">
        <f t="shared" si="64"/>
        <v>195</v>
      </c>
      <c r="R459" s="80">
        <f t="shared" si="65"/>
        <v>100</v>
      </c>
      <c r="S459" s="78">
        <f t="shared" si="66"/>
        <v>695</v>
      </c>
      <c r="T459" s="78">
        <f>50</f>
        <v>50</v>
      </c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</row>
    <row r="460" spans="1:30" ht="15.75" x14ac:dyDescent="0.25">
      <c r="A460" s="14">
        <v>54939</v>
      </c>
      <c r="B460" s="90">
        <v>31</v>
      </c>
      <c r="C460" s="78">
        <f>194.205</f>
        <v>194.20500000000001</v>
      </c>
      <c r="D460" s="78">
        <f>267.466</f>
        <v>267.46600000000001</v>
      </c>
      <c r="E460" s="86">
        <f>133.845</f>
        <v>133.845</v>
      </c>
      <c r="F460" s="78">
        <f>278.484-40-25-60</f>
        <v>153.48399999999998</v>
      </c>
      <c r="G460" s="80">
        <v>40</v>
      </c>
      <c r="H460" s="78">
        <f t="shared" si="73"/>
        <v>85</v>
      </c>
      <c r="I460" s="78">
        <f t="shared" si="71"/>
        <v>0</v>
      </c>
      <c r="J460" s="80">
        <v>100</v>
      </c>
      <c r="K460" s="80">
        <v>300</v>
      </c>
      <c r="L460" s="78">
        <f t="shared" si="63"/>
        <v>1274</v>
      </c>
      <c r="M460" s="88">
        <v>600</v>
      </c>
      <c r="N460" s="78">
        <f>75</f>
        <v>75</v>
      </c>
      <c r="O460" s="80">
        <v>240</v>
      </c>
      <c r="P460" s="80">
        <v>160</v>
      </c>
      <c r="Q460" s="80">
        <f t="shared" si="64"/>
        <v>195</v>
      </c>
      <c r="R460" s="80">
        <f t="shared" si="65"/>
        <v>100</v>
      </c>
      <c r="S460" s="78">
        <f t="shared" si="66"/>
        <v>695</v>
      </c>
      <c r="T460" s="78">
        <f>50</f>
        <v>50</v>
      </c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</row>
    <row r="461" spans="1:30" ht="15.75" x14ac:dyDescent="0.25">
      <c r="A461" s="14">
        <v>54969</v>
      </c>
      <c r="B461" s="90">
        <v>30</v>
      </c>
      <c r="C461" s="78">
        <f>194.205</f>
        <v>194.20500000000001</v>
      </c>
      <c r="D461" s="78">
        <f>267.466</f>
        <v>267.46600000000001</v>
      </c>
      <c r="E461" s="86">
        <f>133.845</f>
        <v>133.845</v>
      </c>
      <c r="F461" s="78">
        <f>278.484-40-25-60</f>
        <v>153.48399999999998</v>
      </c>
      <c r="G461" s="80">
        <v>40</v>
      </c>
      <c r="H461" s="78">
        <f t="shared" si="73"/>
        <v>85</v>
      </c>
      <c r="I461" s="78">
        <f t="shared" si="71"/>
        <v>0</v>
      </c>
      <c r="J461" s="80">
        <v>100</v>
      </c>
      <c r="K461" s="80">
        <v>300</v>
      </c>
      <c r="L461" s="78">
        <f t="shared" si="63"/>
        <v>1274</v>
      </c>
      <c r="M461" s="88">
        <v>600</v>
      </c>
      <c r="N461" s="78">
        <f>30</f>
        <v>30</v>
      </c>
      <c r="O461" s="80">
        <v>240</v>
      </c>
      <c r="P461" s="80">
        <v>160</v>
      </c>
      <c r="Q461" s="80">
        <f t="shared" si="64"/>
        <v>195</v>
      </c>
      <c r="R461" s="80">
        <f t="shared" si="65"/>
        <v>100</v>
      </c>
      <c r="S461" s="78">
        <f t="shared" si="66"/>
        <v>695</v>
      </c>
      <c r="T461" s="78">
        <f>50</f>
        <v>50</v>
      </c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</row>
    <row r="462" spans="1:30" ht="15.75" x14ac:dyDescent="0.25">
      <c r="A462" s="14">
        <v>55000</v>
      </c>
      <c r="B462" s="90">
        <v>31</v>
      </c>
      <c r="C462" s="78">
        <f>194.205</f>
        <v>194.20500000000001</v>
      </c>
      <c r="D462" s="78">
        <f>267.466</f>
        <v>267.46600000000001</v>
      </c>
      <c r="E462" s="86">
        <f>133.845</f>
        <v>133.845</v>
      </c>
      <c r="F462" s="78">
        <f>278.484-40-25-60</f>
        <v>153.48399999999998</v>
      </c>
      <c r="G462" s="80">
        <v>40</v>
      </c>
      <c r="H462" s="78">
        <f t="shared" si="73"/>
        <v>85</v>
      </c>
      <c r="I462" s="78">
        <f t="shared" si="71"/>
        <v>0</v>
      </c>
      <c r="J462" s="80">
        <v>100</v>
      </c>
      <c r="K462" s="80">
        <v>300</v>
      </c>
      <c r="L462" s="78">
        <f t="shared" ref="L462:L525" si="74">SUM(C462:K462)</f>
        <v>1274</v>
      </c>
      <c r="M462" s="88">
        <v>600</v>
      </c>
      <c r="N462" s="78">
        <f>30</f>
        <v>30</v>
      </c>
      <c r="O462" s="80">
        <v>240</v>
      </c>
      <c r="P462" s="80">
        <v>160</v>
      </c>
      <c r="Q462" s="80">
        <f t="shared" ref="Q462:Q525" si="75">695-R462-O462-P462</f>
        <v>195</v>
      </c>
      <c r="R462" s="80">
        <f t="shared" ref="R462:R525" si="76">200-J462</f>
        <v>100</v>
      </c>
      <c r="S462" s="78">
        <f t="shared" ref="S462:S525" si="77">SUM(O462:R462)</f>
        <v>695</v>
      </c>
      <c r="T462" s="78">
        <f>0</f>
        <v>0</v>
      </c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</row>
    <row r="463" spans="1:30" ht="15.75" x14ac:dyDescent="0.25">
      <c r="A463" s="14">
        <v>55031</v>
      </c>
      <c r="B463" s="90">
        <v>31</v>
      </c>
      <c r="C463" s="78">
        <f>194.205</f>
        <v>194.20500000000001</v>
      </c>
      <c r="D463" s="78">
        <f>267.466</f>
        <v>267.46600000000001</v>
      </c>
      <c r="E463" s="86">
        <f>133.845</f>
        <v>133.845</v>
      </c>
      <c r="F463" s="78">
        <f>278.484-40-25-60</f>
        <v>153.48399999999998</v>
      </c>
      <c r="G463" s="80">
        <v>40</v>
      </c>
      <c r="H463" s="78">
        <f t="shared" si="73"/>
        <v>85</v>
      </c>
      <c r="I463" s="78">
        <f t="shared" si="71"/>
        <v>0</v>
      </c>
      <c r="J463" s="80">
        <v>100</v>
      </c>
      <c r="K463" s="80">
        <v>300</v>
      </c>
      <c r="L463" s="78">
        <f t="shared" si="74"/>
        <v>1274</v>
      </c>
      <c r="M463" s="88">
        <v>600</v>
      </c>
      <c r="N463" s="78">
        <f>30</f>
        <v>30</v>
      </c>
      <c r="O463" s="80">
        <v>240</v>
      </c>
      <c r="P463" s="80">
        <v>160</v>
      </c>
      <c r="Q463" s="80">
        <f t="shared" si="75"/>
        <v>195</v>
      </c>
      <c r="R463" s="80">
        <f t="shared" si="76"/>
        <v>100</v>
      </c>
      <c r="S463" s="78">
        <f t="shared" si="77"/>
        <v>695</v>
      </c>
      <c r="T463" s="78">
        <f>0</f>
        <v>0</v>
      </c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</row>
    <row r="464" spans="1:30" ht="15.75" x14ac:dyDescent="0.25">
      <c r="A464" s="14">
        <v>55061</v>
      </c>
      <c r="B464" s="90">
        <v>30</v>
      </c>
      <c r="C464" s="78">
        <f>194.205</f>
        <v>194.20500000000001</v>
      </c>
      <c r="D464" s="78">
        <f>267.466</f>
        <v>267.46600000000001</v>
      </c>
      <c r="E464" s="86">
        <f>133.845</f>
        <v>133.845</v>
      </c>
      <c r="F464" s="78">
        <f>278.484-40-25-60</f>
        <v>153.48399999999998</v>
      </c>
      <c r="G464" s="80">
        <v>40</v>
      </c>
      <c r="H464" s="78">
        <f t="shared" si="73"/>
        <v>85</v>
      </c>
      <c r="I464" s="78">
        <f t="shared" si="71"/>
        <v>0</v>
      </c>
      <c r="J464" s="80">
        <v>100</v>
      </c>
      <c r="K464" s="80">
        <v>300</v>
      </c>
      <c r="L464" s="78">
        <f t="shared" si="74"/>
        <v>1274</v>
      </c>
      <c r="M464" s="88">
        <v>600</v>
      </c>
      <c r="N464" s="78">
        <f>30</f>
        <v>30</v>
      </c>
      <c r="O464" s="80">
        <v>240</v>
      </c>
      <c r="P464" s="80">
        <v>160</v>
      </c>
      <c r="Q464" s="80">
        <f t="shared" si="75"/>
        <v>195</v>
      </c>
      <c r="R464" s="80">
        <f t="shared" si="76"/>
        <v>100</v>
      </c>
      <c r="S464" s="78">
        <f t="shared" si="77"/>
        <v>695</v>
      </c>
      <c r="T464" s="78">
        <f>0</f>
        <v>0</v>
      </c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</row>
    <row r="465" spans="1:30" ht="15.75" x14ac:dyDescent="0.25">
      <c r="A465" s="14">
        <v>55092</v>
      </c>
      <c r="B465" s="90">
        <v>31</v>
      </c>
      <c r="C465" s="78">
        <f>131.881</f>
        <v>131.881</v>
      </c>
      <c r="D465" s="78">
        <f>277.167</f>
        <v>277.16699999999997</v>
      </c>
      <c r="E465" s="86">
        <f>79.08</f>
        <v>79.08</v>
      </c>
      <c r="F465" s="78">
        <f>350.872-40-25-60</f>
        <v>225.87200000000001</v>
      </c>
      <c r="G465" s="80">
        <v>40</v>
      </c>
      <c r="H465" s="78">
        <f t="shared" si="73"/>
        <v>85</v>
      </c>
      <c r="I465" s="78">
        <f t="shared" si="71"/>
        <v>0</v>
      </c>
      <c r="J465" s="80">
        <v>100</v>
      </c>
      <c r="K465" s="80">
        <v>300</v>
      </c>
      <c r="L465" s="78">
        <f t="shared" si="74"/>
        <v>1239</v>
      </c>
      <c r="M465" s="88">
        <v>600</v>
      </c>
      <c r="N465" s="78">
        <f>75</f>
        <v>75</v>
      </c>
      <c r="O465" s="80">
        <v>240</v>
      </c>
      <c r="P465" s="80">
        <v>160</v>
      </c>
      <c r="Q465" s="80">
        <f t="shared" si="75"/>
        <v>195</v>
      </c>
      <c r="R465" s="80">
        <f t="shared" si="76"/>
        <v>100</v>
      </c>
      <c r="S465" s="78">
        <f t="shared" si="77"/>
        <v>695</v>
      </c>
      <c r="T465" s="78">
        <f>0</f>
        <v>0</v>
      </c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</row>
    <row r="466" spans="1:30" ht="15.75" x14ac:dyDescent="0.25">
      <c r="A466" s="14">
        <v>55122</v>
      </c>
      <c r="B466" s="90">
        <v>30</v>
      </c>
      <c r="C466" s="78">
        <f>122.58</f>
        <v>122.58</v>
      </c>
      <c r="D466" s="78">
        <f>297.941</f>
        <v>297.94099999999997</v>
      </c>
      <c r="E466" s="86">
        <f>89.177</f>
        <v>89.177000000000007</v>
      </c>
      <c r="F466" s="78">
        <f>240.302-40-60</f>
        <v>140.30199999999999</v>
      </c>
      <c r="G466" s="80">
        <v>40</v>
      </c>
      <c r="H466" s="78">
        <v>60</v>
      </c>
      <c r="I466" s="78">
        <f t="shared" si="71"/>
        <v>0</v>
      </c>
      <c r="J466" s="80">
        <v>100</v>
      </c>
      <c r="K466" s="80">
        <v>300</v>
      </c>
      <c r="L466" s="78">
        <f t="shared" si="74"/>
        <v>1150</v>
      </c>
      <c r="M466" s="88">
        <v>600</v>
      </c>
      <c r="N466" s="78">
        <f>100</f>
        <v>100</v>
      </c>
      <c r="O466" s="80">
        <v>240</v>
      </c>
      <c r="P466" s="80">
        <v>40</v>
      </c>
      <c r="Q466" s="80">
        <f t="shared" si="75"/>
        <v>315</v>
      </c>
      <c r="R466" s="80">
        <f t="shared" si="76"/>
        <v>100</v>
      </c>
      <c r="S466" s="78">
        <f t="shared" si="77"/>
        <v>695</v>
      </c>
      <c r="T466" s="78">
        <f>50</f>
        <v>50</v>
      </c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</row>
    <row r="467" spans="1:30" ht="15.75" x14ac:dyDescent="0.25">
      <c r="A467" s="14">
        <v>55153</v>
      </c>
      <c r="B467" s="90">
        <v>31</v>
      </c>
      <c r="C467" s="78">
        <f>122.58</f>
        <v>122.58</v>
      </c>
      <c r="D467" s="78">
        <f>297.941</f>
        <v>297.94099999999997</v>
      </c>
      <c r="E467" s="86">
        <f>89.177</f>
        <v>89.177000000000007</v>
      </c>
      <c r="F467" s="78">
        <f>240.302-40-60</f>
        <v>140.30199999999999</v>
      </c>
      <c r="G467" s="80">
        <v>40</v>
      </c>
      <c r="H467" s="78">
        <v>60</v>
      </c>
      <c r="I467" s="78">
        <f t="shared" si="71"/>
        <v>0</v>
      </c>
      <c r="J467" s="80">
        <v>100</v>
      </c>
      <c r="K467" s="80">
        <v>300</v>
      </c>
      <c r="L467" s="78">
        <f t="shared" si="74"/>
        <v>1150</v>
      </c>
      <c r="M467" s="88">
        <v>600</v>
      </c>
      <c r="N467" s="78">
        <f>100</f>
        <v>100</v>
      </c>
      <c r="O467" s="80">
        <v>240</v>
      </c>
      <c r="P467" s="80">
        <v>40</v>
      </c>
      <c r="Q467" s="80">
        <f t="shared" si="75"/>
        <v>315</v>
      </c>
      <c r="R467" s="80">
        <f t="shared" si="76"/>
        <v>100</v>
      </c>
      <c r="S467" s="78">
        <f t="shared" si="77"/>
        <v>695</v>
      </c>
      <c r="T467" s="78">
        <f>50</f>
        <v>50</v>
      </c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</row>
    <row r="468" spans="1:30" ht="15.75" x14ac:dyDescent="0.25">
      <c r="A468" s="14">
        <v>55184</v>
      </c>
      <c r="B468" s="90">
        <v>31</v>
      </c>
      <c r="C468" s="78">
        <f>122.58</f>
        <v>122.58</v>
      </c>
      <c r="D468" s="78">
        <f>297.941</f>
        <v>297.94099999999997</v>
      </c>
      <c r="E468" s="86">
        <f>89.177</f>
        <v>89.177000000000007</v>
      </c>
      <c r="F468" s="78">
        <f>240.302-40-60</f>
        <v>140.30199999999999</v>
      </c>
      <c r="G468" s="80">
        <v>40</v>
      </c>
      <c r="H468" s="78">
        <v>60</v>
      </c>
      <c r="I468" s="78">
        <f t="shared" si="71"/>
        <v>0</v>
      </c>
      <c r="J468" s="80">
        <v>100</v>
      </c>
      <c r="K468" s="80">
        <v>300</v>
      </c>
      <c r="L468" s="78">
        <f t="shared" si="74"/>
        <v>1150</v>
      </c>
      <c r="M468" s="88">
        <v>600</v>
      </c>
      <c r="N468" s="78">
        <f>100</f>
        <v>100</v>
      </c>
      <c r="O468" s="80">
        <v>240</v>
      </c>
      <c r="P468" s="80">
        <v>40</v>
      </c>
      <c r="Q468" s="80">
        <f t="shared" si="75"/>
        <v>315</v>
      </c>
      <c r="R468" s="80">
        <f t="shared" si="76"/>
        <v>100</v>
      </c>
      <c r="S468" s="78">
        <f t="shared" si="77"/>
        <v>695</v>
      </c>
      <c r="T468" s="78">
        <f>50</f>
        <v>50</v>
      </c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</row>
    <row r="469" spans="1:30" ht="15.75" x14ac:dyDescent="0.25">
      <c r="A469" s="14">
        <v>55212</v>
      </c>
      <c r="B469" s="90">
        <v>28</v>
      </c>
      <c r="C469" s="78">
        <f>122.58</f>
        <v>122.58</v>
      </c>
      <c r="D469" s="78">
        <f>297.941</f>
        <v>297.94099999999997</v>
      </c>
      <c r="E469" s="86">
        <f>89.177</f>
        <v>89.177000000000007</v>
      </c>
      <c r="F469" s="78">
        <f>240.302-40-60</f>
        <v>140.30199999999999</v>
      </c>
      <c r="G469" s="80">
        <v>40</v>
      </c>
      <c r="H469" s="78">
        <v>60</v>
      </c>
      <c r="I469" s="78">
        <f t="shared" si="71"/>
        <v>0</v>
      </c>
      <c r="J469" s="80">
        <v>100</v>
      </c>
      <c r="K469" s="80">
        <v>300</v>
      </c>
      <c r="L469" s="78">
        <f t="shared" si="74"/>
        <v>1150</v>
      </c>
      <c r="M469" s="88">
        <v>600</v>
      </c>
      <c r="N469" s="78">
        <f>100</f>
        <v>100</v>
      </c>
      <c r="O469" s="80">
        <v>240</v>
      </c>
      <c r="P469" s="80">
        <v>40</v>
      </c>
      <c r="Q469" s="80">
        <f t="shared" si="75"/>
        <v>315</v>
      </c>
      <c r="R469" s="80">
        <f t="shared" si="76"/>
        <v>100</v>
      </c>
      <c r="S469" s="78">
        <f t="shared" si="77"/>
        <v>695</v>
      </c>
      <c r="T469" s="78">
        <f>50</f>
        <v>50</v>
      </c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</row>
    <row r="470" spans="1:30" ht="15.75" x14ac:dyDescent="0.25">
      <c r="A470" s="14">
        <v>55243</v>
      </c>
      <c r="B470" s="90">
        <v>31</v>
      </c>
      <c r="C470" s="78">
        <f>122.58</f>
        <v>122.58</v>
      </c>
      <c r="D470" s="78">
        <f>297.941</f>
        <v>297.94099999999997</v>
      </c>
      <c r="E470" s="86">
        <f>89.177</f>
        <v>89.177000000000007</v>
      </c>
      <c r="F470" s="78">
        <f>240.302-40-60</f>
        <v>140.30199999999999</v>
      </c>
      <c r="G470" s="80">
        <v>40</v>
      </c>
      <c r="H470" s="78">
        <v>60</v>
      </c>
      <c r="I470" s="78">
        <f t="shared" si="71"/>
        <v>0</v>
      </c>
      <c r="J470" s="80">
        <v>100</v>
      </c>
      <c r="K470" s="80">
        <v>300</v>
      </c>
      <c r="L470" s="78">
        <f t="shared" si="74"/>
        <v>1150</v>
      </c>
      <c r="M470" s="88">
        <v>600</v>
      </c>
      <c r="N470" s="78">
        <f>100</f>
        <v>100</v>
      </c>
      <c r="O470" s="80">
        <v>240</v>
      </c>
      <c r="P470" s="80">
        <v>40</v>
      </c>
      <c r="Q470" s="80">
        <f t="shared" si="75"/>
        <v>315</v>
      </c>
      <c r="R470" s="80">
        <f t="shared" si="76"/>
        <v>100</v>
      </c>
      <c r="S470" s="78">
        <f t="shared" si="77"/>
        <v>695</v>
      </c>
      <c r="T470" s="78">
        <f>50</f>
        <v>50</v>
      </c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</row>
    <row r="471" spans="1:30" ht="15.75" x14ac:dyDescent="0.25">
      <c r="A471" s="14">
        <v>55273</v>
      </c>
      <c r="B471" s="90">
        <v>30</v>
      </c>
      <c r="C471" s="78">
        <f>141.293</f>
        <v>141.29300000000001</v>
      </c>
      <c r="D471" s="78">
        <f>267.993</f>
        <v>267.99299999999999</v>
      </c>
      <c r="E471" s="86">
        <f>115.016</f>
        <v>115.01600000000001</v>
      </c>
      <c r="F471" s="78">
        <f>314.698-40-25-60</f>
        <v>189.69799999999998</v>
      </c>
      <c r="G471" s="80">
        <v>40</v>
      </c>
      <c r="H471" s="78">
        <f t="shared" ref="H471:H477" si="78">25+60</f>
        <v>85</v>
      </c>
      <c r="I471" s="78">
        <f t="shared" si="71"/>
        <v>0</v>
      </c>
      <c r="J471" s="80">
        <v>100</v>
      </c>
      <c r="K471" s="80">
        <v>300</v>
      </c>
      <c r="L471" s="78">
        <f t="shared" si="74"/>
        <v>1239</v>
      </c>
      <c r="M471" s="88">
        <v>600</v>
      </c>
      <c r="N471" s="78">
        <f>100</f>
        <v>100</v>
      </c>
      <c r="O471" s="80">
        <v>240</v>
      </c>
      <c r="P471" s="80">
        <v>160</v>
      </c>
      <c r="Q471" s="80">
        <f t="shared" si="75"/>
        <v>195</v>
      </c>
      <c r="R471" s="80">
        <f t="shared" si="76"/>
        <v>100</v>
      </c>
      <c r="S471" s="78">
        <f t="shared" si="77"/>
        <v>695</v>
      </c>
      <c r="T471" s="78">
        <f>50</f>
        <v>50</v>
      </c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</row>
    <row r="472" spans="1:30" ht="15.75" x14ac:dyDescent="0.25">
      <c r="A472" s="14">
        <v>55304</v>
      </c>
      <c r="B472" s="90">
        <v>31</v>
      </c>
      <c r="C472" s="78">
        <f>194.205</f>
        <v>194.20500000000001</v>
      </c>
      <c r="D472" s="78">
        <f>267.466</f>
        <v>267.46600000000001</v>
      </c>
      <c r="E472" s="86">
        <f>133.845</f>
        <v>133.845</v>
      </c>
      <c r="F472" s="78">
        <f>278.484-40-25-60</f>
        <v>153.48399999999998</v>
      </c>
      <c r="G472" s="80">
        <v>40</v>
      </c>
      <c r="H472" s="78">
        <f t="shared" si="78"/>
        <v>85</v>
      </c>
      <c r="I472" s="78">
        <f t="shared" si="71"/>
        <v>0</v>
      </c>
      <c r="J472" s="80">
        <v>100</v>
      </c>
      <c r="K472" s="80">
        <v>300</v>
      </c>
      <c r="L472" s="78">
        <f t="shared" si="74"/>
        <v>1274</v>
      </c>
      <c r="M472" s="88">
        <v>600</v>
      </c>
      <c r="N472" s="78">
        <f>75</f>
        <v>75</v>
      </c>
      <c r="O472" s="80">
        <v>240</v>
      </c>
      <c r="P472" s="80">
        <v>160</v>
      </c>
      <c r="Q472" s="80">
        <f t="shared" si="75"/>
        <v>195</v>
      </c>
      <c r="R472" s="80">
        <f t="shared" si="76"/>
        <v>100</v>
      </c>
      <c r="S472" s="78">
        <f t="shared" si="77"/>
        <v>695</v>
      </c>
      <c r="T472" s="78">
        <f>50</f>
        <v>50</v>
      </c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</row>
    <row r="473" spans="1:30" ht="15.75" x14ac:dyDescent="0.25">
      <c r="A473" s="14">
        <v>55334</v>
      </c>
      <c r="B473" s="90">
        <v>30</v>
      </c>
      <c r="C473" s="78">
        <f>194.205</f>
        <v>194.20500000000001</v>
      </c>
      <c r="D473" s="78">
        <f>267.466</f>
        <v>267.46600000000001</v>
      </c>
      <c r="E473" s="86">
        <f>133.845</f>
        <v>133.845</v>
      </c>
      <c r="F473" s="78">
        <f>278.484-40-25-60</f>
        <v>153.48399999999998</v>
      </c>
      <c r="G473" s="80">
        <v>40</v>
      </c>
      <c r="H473" s="78">
        <f t="shared" si="78"/>
        <v>85</v>
      </c>
      <c r="I473" s="78">
        <f t="shared" si="71"/>
        <v>0</v>
      </c>
      <c r="J473" s="80">
        <v>100</v>
      </c>
      <c r="K473" s="80">
        <v>300</v>
      </c>
      <c r="L473" s="78">
        <f t="shared" si="74"/>
        <v>1274</v>
      </c>
      <c r="M473" s="88">
        <v>600</v>
      </c>
      <c r="N473" s="78">
        <f>30</f>
        <v>30</v>
      </c>
      <c r="O473" s="80">
        <v>240</v>
      </c>
      <c r="P473" s="80">
        <v>160</v>
      </c>
      <c r="Q473" s="80">
        <f t="shared" si="75"/>
        <v>195</v>
      </c>
      <c r="R473" s="80">
        <f t="shared" si="76"/>
        <v>100</v>
      </c>
      <c r="S473" s="78">
        <f t="shared" si="77"/>
        <v>695</v>
      </c>
      <c r="T473" s="78">
        <f>50</f>
        <v>50</v>
      </c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</row>
    <row r="474" spans="1:30" ht="15.75" x14ac:dyDescent="0.25">
      <c r="A474" s="14">
        <v>55365</v>
      </c>
      <c r="B474" s="90">
        <v>31</v>
      </c>
      <c r="C474" s="78">
        <f>194.205</f>
        <v>194.20500000000001</v>
      </c>
      <c r="D474" s="78">
        <f>267.466</f>
        <v>267.46600000000001</v>
      </c>
      <c r="E474" s="86">
        <f>133.845</f>
        <v>133.845</v>
      </c>
      <c r="F474" s="78">
        <f>278.484-40-25-60</f>
        <v>153.48399999999998</v>
      </c>
      <c r="G474" s="80">
        <v>40</v>
      </c>
      <c r="H474" s="78">
        <f t="shared" si="78"/>
        <v>85</v>
      </c>
      <c r="I474" s="78">
        <f t="shared" si="71"/>
        <v>0</v>
      </c>
      <c r="J474" s="80">
        <v>100</v>
      </c>
      <c r="K474" s="80">
        <v>300</v>
      </c>
      <c r="L474" s="78">
        <f t="shared" si="74"/>
        <v>1274</v>
      </c>
      <c r="M474" s="88">
        <v>600</v>
      </c>
      <c r="N474" s="78">
        <f>30</f>
        <v>30</v>
      </c>
      <c r="O474" s="80">
        <v>240</v>
      </c>
      <c r="P474" s="80">
        <v>160</v>
      </c>
      <c r="Q474" s="80">
        <f t="shared" si="75"/>
        <v>195</v>
      </c>
      <c r="R474" s="80">
        <f t="shared" si="76"/>
        <v>100</v>
      </c>
      <c r="S474" s="78">
        <f t="shared" si="77"/>
        <v>695</v>
      </c>
      <c r="T474" s="78">
        <f>0</f>
        <v>0</v>
      </c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</row>
    <row r="475" spans="1:30" ht="15.75" x14ac:dyDescent="0.25">
      <c r="A475" s="14">
        <v>55396</v>
      </c>
      <c r="B475" s="90">
        <v>31</v>
      </c>
      <c r="C475" s="78">
        <f>194.205</f>
        <v>194.20500000000001</v>
      </c>
      <c r="D475" s="78">
        <f>267.466</f>
        <v>267.46600000000001</v>
      </c>
      <c r="E475" s="86">
        <f>133.845</f>
        <v>133.845</v>
      </c>
      <c r="F475" s="78">
        <f>278.484-40-25-60</f>
        <v>153.48399999999998</v>
      </c>
      <c r="G475" s="80">
        <v>40</v>
      </c>
      <c r="H475" s="78">
        <f t="shared" si="78"/>
        <v>85</v>
      </c>
      <c r="I475" s="78">
        <f t="shared" si="71"/>
        <v>0</v>
      </c>
      <c r="J475" s="80">
        <v>100</v>
      </c>
      <c r="K475" s="80">
        <v>300</v>
      </c>
      <c r="L475" s="78">
        <f t="shared" si="74"/>
        <v>1274</v>
      </c>
      <c r="M475" s="88">
        <v>600</v>
      </c>
      <c r="N475" s="78">
        <f>30</f>
        <v>30</v>
      </c>
      <c r="O475" s="80">
        <v>240</v>
      </c>
      <c r="P475" s="80">
        <v>160</v>
      </c>
      <c r="Q475" s="80">
        <f t="shared" si="75"/>
        <v>195</v>
      </c>
      <c r="R475" s="80">
        <f t="shared" si="76"/>
        <v>100</v>
      </c>
      <c r="S475" s="78">
        <f t="shared" si="77"/>
        <v>695</v>
      </c>
      <c r="T475" s="78">
        <f>0</f>
        <v>0</v>
      </c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</row>
    <row r="476" spans="1:30" ht="15.75" x14ac:dyDescent="0.25">
      <c r="A476" s="14">
        <v>55426</v>
      </c>
      <c r="B476" s="90">
        <v>30</v>
      </c>
      <c r="C476" s="78">
        <f>194.205</f>
        <v>194.20500000000001</v>
      </c>
      <c r="D476" s="78">
        <f>267.466</f>
        <v>267.46600000000001</v>
      </c>
      <c r="E476" s="86">
        <f>133.845</f>
        <v>133.845</v>
      </c>
      <c r="F476" s="78">
        <f>278.484-40-25-60</f>
        <v>153.48399999999998</v>
      </c>
      <c r="G476" s="80">
        <v>40</v>
      </c>
      <c r="H476" s="78">
        <f t="shared" si="78"/>
        <v>85</v>
      </c>
      <c r="I476" s="78">
        <f t="shared" si="71"/>
        <v>0</v>
      </c>
      <c r="J476" s="80">
        <v>100</v>
      </c>
      <c r="K476" s="80">
        <v>300</v>
      </c>
      <c r="L476" s="78">
        <f t="shared" si="74"/>
        <v>1274</v>
      </c>
      <c r="M476" s="88">
        <v>600</v>
      </c>
      <c r="N476" s="78">
        <f>30</f>
        <v>30</v>
      </c>
      <c r="O476" s="80">
        <v>240</v>
      </c>
      <c r="P476" s="80">
        <v>160</v>
      </c>
      <c r="Q476" s="80">
        <f t="shared" si="75"/>
        <v>195</v>
      </c>
      <c r="R476" s="80">
        <f t="shared" si="76"/>
        <v>100</v>
      </c>
      <c r="S476" s="78">
        <f t="shared" si="77"/>
        <v>695</v>
      </c>
      <c r="T476" s="78">
        <f>0</f>
        <v>0</v>
      </c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</row>
    <row r="477" spans="1:30" ht="15.75" x14ac:dyDescent="0.25">
      <c r="A477" s="14">
        <v>55457</v>
      </c>
      <c r="B477" s="90">
        <v>31</v>
      </c>
      <c r="C477" s="78">
        <f>131.881</f>
        <v>131.881</v>
      </c>
      <c r="D477" s="78">
        <f>277.167</f>
        <v>277.16699999999997</v>
      </c>
      <c r="E477" s="86">
        <f>79.08</f>
        <v>79.08</v>
      </c>
      <c r="F477" s="78">
        <f>350.872-40-25-60</f>
        <v>225.87200000000001</v>
      </c>
      <c r="G477" s="80">
        <v>40</v>
      </c>
      <c r="H477" s="78">
        <f t="shared" si="78"/>
        <v>85</v>
      </c>
      <c r="I477" s="78">
        <f t="shared" si="71"/>
        <v>0</v>
      </c>
      <c r="J477" s="80">
        <v>100</v>
      </c>
      <c r="K477" s="80">
        <v>300</v>
      </c>
      <c r="L477" s="78">
        <f t="shared" si="74"/>
        <v>1239</v>
      </c>
      <c r="M477" s="88">
        <v>600</v>
      </c>
      <c r="N477" s="78">
        <f>75</f>
        <v>75</v>
      </c>
      <c r="O477" s="80">
        <v>240</v>
      </c>
      <c r="P477" s="80">
        <v>160</v>
      </c>
      <c r="Q477" s="80">
        <f t="shared" si="75"/>
        <v>195</v>
      </c>
      <c r="R477" s="80">
        <f t="shared" si="76"/>
        <v>100</v>
      </c>
      <c r="S477" s="78">
        <f t="shared" si="77"/>
        <v>695</v>
      </c>
      <c r="T477" s="78">
        <f>0</f>
        <v>0</v>
      </c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</row>
    <row r="478" spans="1:30" ht="15.75" x14ac:dyDescent="0.25">
      <c r="A478" s="14">
        <v>55487</v>
      </c>
      <c r="B478" s="90">
        <v>30</v>
      </c>
      <c r="C478" s="78">
        <f>122.58</f>
        <v>122.58</v>
      </c>
      <c r="D478" s="78">
        <f>297.941</f>
        <v>297.94099999999997</v>
      </c>
      <c r="E478" s="86">
        <f>89.177</f>
        <v>89.177000000000007</v>
      </c>
      <c r="F478" s="78">
        <f>240.302-40-60</f>
        <v>140.30199999999999</v>
      </c>
      <c r="G478" s="80">
        <v>40</v>
      </c>
      <c r="H478" s="78">
        <v>60</v>
      </c>
      <c r="I478" s="78">
        <f t="shared" si="71"/>
        <v>0</v>
      </c>
      <c r="J478" s="80">
        <v>100</v>
      </c>
      <c r="K478" s="80">
        <v>300</v>
      </c>
      <c r="L478" s="78">
        <f t="shared" si="74"/>
        <v>1150</v>
      </c>
      <c r="M478" s="88">
        <v>600</v>
      </c>
      <c r="N478" s="78">
        <f>100</f>
        <v>100</v>
      </c>
      <c r="O478" s="80">
        <v>240</v>
      </c>
      <c r="P478" s="80">
        <v>40</v>
      </c>
      <c r="Q478" s="80">
        <f t="shared" si="75"/>
        <v>315</v>
      </c>
      <c r="R478" s="80">
        <f t="shared" si="76"/>
        <v>100</v>
      </c>
      <c r="S478" s="78">
        <f t="shared" si="77"/>
        <v>695</v>
      </c>
      <c r="T478" s="78">
        <f>50</f>
        <v>50</v>
      </c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</row>
    <row r="479" spans="1:30" ht="15.75" x14ac:dyDescent="0.25">
      <c r="A479" s="14">
        <v>55518</v>
      </c>
      <c r="B479" s="90">
        <v>31</v>
      </c>
      <c r="C479" s="78">
        <f>122.58</f>
        <v>122.58</v>
      </c>
      <c r="D479" s="78">
        <f>297.941</f>
        <v>297.94099999999997</v>
      </c>
      <c r="E479" s="86">
        <f>89.177</f>
        <v>89.177000000000007</v>
      </c>
      <c r="F479" s="78">
        <f>240.302-40-60</f>
        <v>140.30199999999999</v>
      </c>
      <c r="G479" s="80">
        <v>40</v>
      </c>
      <c r="H479" s="78">
        <v>60</v>
      </c>
      <c r="I479" s="78">
        <f t="shared" si="71"/>
        <v>0</v>
      </c>
      <c r="J479" s="80">
        <v>100</v>
      </c>
      <c r="K479" s="80">
        <v>300</v>
      </c>
      <c r="L479" s="78">
        <f t="shared" si="74"/>
        <v>1150</v>
      </c>
      <c r="M479" s="88">
        <v>600</v>
      </c>
      <c r="N479" s="78">
        <f>100</f>
        <v>100</v>
      </c>
      <c r="O479" s="80">
        <v>240</v>
      </c>
      <c r="P479" s="80">
        <v>40</v>
      </c>
      <c r="Q479" s="80">
        <f t="shared" si="75"/>
        <v>315</v>
      </c>
      <c r="R479" s="80">
        <f t="shared" si="76"/>
        <v>100</v>
      </c>
      <c r="S479" s="78">
        <f t="shared" si="77"/>
        <v>695</v>
      </c>
      <c r="T479" s="78">
        <f>50</f>
        <v>50</v>
      </c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</row>
    <row r="480" spans="1:30" ht="15.75" x14ac:dyDescent="0.25">
      <c r="A480" s="14">
        <v>55549</v>
      </c>
      <c r="B480" s="90">
        <v>31</v>
      </c>
      <c r="C480" s="78">
        <f>122.58</f>
        <v>122.58</v>
      </c>
      <c r="D480" s="78">
        <f>297.941</f>
        <v>297.94099999999997</v>
      </c>
      <c r="E480" s="86">
        <f>89.177</f>
        <v>89.177000000000007</v>
      </c>
      <c r="F480" s="78">
        <f>240.302-40-60</f>
        <v>140.30199999999999</v>
      </c>
      <c r="G480" s="80">
        <v>40</v>
      </c>
      <c r="H480" s="78">
        <v>60</v>
      </c>
      <c r="I480" s="78">
        <f t="shared" si="71"/>
        <v>0</v>
      </c>
      <c r="J480" s="80">
        <v>100</v>
      </c>
      <c r="K480" s="80">
        <v>300</v>
      </c>
      <c r="L480" s="78">
        <f t="shared" si="74"/>
        <v>1150</v>
      </c>
      <c r="M480" s="88">
        <v>600</v>
      </c>
      <c r="N480" s="78">
        <f>100</f>
        <v>100</v>
      </c>
      <c r="O480" s="80">
        <v>240</v>
      </c>
      <c r="P480" s="80">
        <v>40</v>
      </c>
      <c r="Q480" s="80">
        <f t="shared" si="75"/>
        <v>315</v>
      </c>
      <c r="R480" s="80">
        <f t="shared" si="76"/>
        <v>100</v>
      </c>
      <c r="S480" s="78">
        <f t="shared" si="77"/>
        <v>695</v>
      </c>
      <c r="T480" s="78">
        <f>50</f>
        <v>50</v>
      </c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</row>
    <row r="481" spans="1:30" ht="15.75" x14ac:dyDescent="0.25">
      <c r="A481" s="14">
        <v>55577</v>
      </c>
      <c r="B481" s="90">
        <v>29</v>
      </c>
      <c r="C481" s="78">
        <f>122.58</f>
        <v>122.58</v>
      </c>
      <c r="D481" s="78">
        <f>297.941</f>
        <v>297.94099999999997</v>
      </c>
      <c r="E481" s="86">
        <f>89.177</f>
        <v>89.177000000000007</v>
      </c>
      <c r="F481" s="78">
        <f>240.302-40-60</f>
        <v>140.30199999999999</v>
      </c>
      <c r="G481" s="80">
        <v>40</v>
      </c>
      <c r="H481" s="78">
        <v>60</v>
      </c>
      <c r="I481" s="78">
        <f t="shared" si="71"/>
        <v>0</v>
      </c>
      <c r="J481" s="80">
        <v>100</v>
      </c>
      <c r="K481" s="80">
        <v>300</v>
      </c>
      <c r="L481" s="78">
        <f t="shared" si="74"/>
        <v>1150</v>
      </c>
      <c r="M481" s="88">
        <v>600</v>
      </c>
      <c r="N481" s="78">
        <f>100</f>
        <v>100</v>
      </c>
      <c r="O481" s="80">
        <v>240</v>
      </c>
      <c r="P481" s="80">
        <v>40</v>
      </c>
      <c r="Q481" s="80">
        <f t="shared" si="75"/>
        <v>315</v>
      </c>
      <c r="R481" s="80">
        <f t="shared" si="76"/>
        <v>100</v>
      </c>
      <c r="S481" s="78">
        <f t="shared" si="77"/>
        <v>695</v>
      </c>
      <c r="T481" s="78">
        <f>50</f>
        <v>50</v>
      </c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</row>
    <row r="482" spans="1:30" ht="15.75" x14ac:dyDescent="0.25">
      <c r="A482" s="14">
        <v>55609</v>
      </c>
      <c r="B482" s="90">
        <v>31</v>
      </c>
      <c r="C482" s="78">
        <f>122.58</f>
        <v>122.58</v>
      </c>
      <c r="D482" s="78">
        <f>297.941</f>
        <v>297.94099999999997</v>
      </c>
      <c r="E482" s="86">
        <f>89.177</f>
        <v>89.177000000000007</v>
      </c>
      <c r="F482" s="78">
        <f>240.302-40-60</f>
        <v>140.30199999999999</v>
      </c>
      <c r="G482" s="80">
        <v>40</v>
      </c>
      <c r="H482" s="78">
        <v>60</v>
      </c>
      <c r="I482" s="78">
        <f t="shared" si="71"/>
        <v>0</v>
      </c>
      <c r="J482" s="80">
        <v>100</v>
      </c>
      <c r="K482" s="80">
        <v>300</v>
      </c>
      <c r="L482" s="78">
        <f t="shared" si="74"/>
        <v>1150</v>
      </c>
      <c r="M482" s="88">
        <v>600</v>
      </c>
      <c r="N482" s="78">
        <f>100</f>
        <v>100</v>
      </c>
      <c r="O482" s="80">
        <v>240</v>
      </c>
      <c r="P482" s="80">
        <v>40</v>
      </c>
      <c r="Q482" s="80">
        <f t="shared" si="75"/>
        <v>315</v>
      </c>
      <c r="R482" s="80">
        <f t="shared" si="76"/>
        <v>100</v>
      </c>
      <c r="S482" s="78">
        <f t="shared" si="77"/>
        <v>695</v>
      </c>
      <c r="T482" s="78">
        <f>50</f>
        <v>50</v>
      </c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</row>
    <row r="483" spans="1:30" ht="15.75" x14ac:dyDescent="0.25">
      <c r="A483" s="14">
        <v>55639</v>
      </c>
      <c r="B483" s="90">
        <v>30</v>
      </c>
      <c r="C483" s="78">
        <f>141.293</f>
        <v>141.29300000000001</v>
      </c>
      <c r="D483" s="78">
        <f>267.993</f>
        <v>267.99299999999999</v>
      </c>
      <c r="E483" s="86">
        <f>115.016</f>
        <v>115.01600000000001</v>
      </c>
      <c r="F483" s="78">
        <f>314.698-40-25-60</f>
        <v>189.69799999999998</v>
      </c>
      <c r="G483" s="80">
        <v>40</v>
      </c>
      <c r="H483" s="78">
        <f t="shared" ref="H483:H489" si="79">25+60</f>
        <v>85</v>
      </c>
      <c r="I483" s="78">
        <f t="shared" si="71"/>
        <v>0</v>
      </c>
      <c r="J483" s="80">
        <v>100</v>
      </c>
      <c r="K483" s="80">
        <v>300</v>
      </c>
      <c r="L483" s="78">
        <f t="shared" si="74"/>
        <v>1239</v>
      </c>
      <c r="M483" s="88">
        <v>600</v>
      </c>
      <c r="N483" s="78">
        <f>100</f>
        <v>100</v>
      </c>
      <c r="O483" s="80">
        <v>240</v>
      </c>
      <c r="P483" s="80">
        <v>160</v>
      </c>
      <c r="Q483" s="80">
        <f t="shared" si="75"/>
        <v>195</v>
      </c>
      <c r="R483" s="80">
        <f t="shared" si="76"/>
        <v>100</v>
      </c>
      <c r="S483" s="78">
        <f t="shared" si="77"/>
        <v>695</v>
      </c>
      <c r="T483" s="78">
        <f>50</f>
        <v>50</v>
      </c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</row>
    <row r="484" spans="1:30" ht="15.75" x14ac:dyDescent="0.25">
      <c r="A484" s="14">
        <v>55670</v>
      </c>
      <c r="B484" s="90">
        <v>31</v>
      </c>
      <c r="C484" s="78">
        <f>194.205</f>
        <v>194.20500000000001</v>
      </c>
      <c r="D484" s="78">
        <f>267.466</f>
        <v>267.46600000000001</v>
      </c>
      <c r="E484" s="86">
        <f>133.845</f>
        <v>133.845</v>
      </c>
      <c r="F484" s="78">
        <f>278.484-40-25-60</f>
        <v>153.48399999999998</v>
      </c>
      <c r="G484" s="80">
        <v>40</v>
      </c>
      <c r="H484" s="78">
        <f t="shared" si="79"/>
        <v>85</v>
      </c>
      <c r="I484" s="78">
        <f t="shared" si="71"/>
        <v>0</v>
      </c>
      <c r="J484" s="80">
        <v>100</v>
      </c>
      <c r="K484" s="80">
        <v>300</v>
      </c>
      <c r="L484" s="78">
        <f t="shared" si="74"/>
        <v>1274</v>
      </c>
      <c r="M484" s="88">
        <v>600</v>
      </c>
      <c r="N484" s="78">
        <f>75</f>
        <v>75</v>
      </c>
      <c r="O484" s="80">
        <v>240</v>
      </c>
      <c r="P484" s="80">
        <v>160</v>
      </c>
      <c r="Q484" s="80">
        <f t="shared" si="75"/>
        <v>195</v>
      </c>
      <c r="R484" s="80">
        <f t="shared" si="76"/>
        <v>100</v>
      </c>
      <c r="S484" s="78">
        <f t="shared" si="77"/>
        <v>695</v>
      </c>
      <c r="T484" s="78">
        <f>50</f>
        <v>50</v>
      </c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</row>
    <row r="485" spans="1:30" ht="15.75" x14ac:dyDescent="0.25">
      <c r="A485" s="14">
        <v>55700</v>
      </c>
      <c r="B485" s="90">
        <v>30</v>
      </c>
      <c r="C485" s="78">
        <f>194.205</f>
        <v>194.20500000000001</v>
      </c>
      <c r="D485" s="78">
        <f>267.466</f>
        <v>267.46600000000001</v>
      </c>
      <c r="E485" s="86">
        <f>133.845</f>
        <v>133.845</v>
      </c>
      <c r="F485" s="78">
        <f>278.484-40-25-60</f>
        <v>153.48399999999998</v>
      </c>
      <c r="G485" s="80">
        <v>40</v>
      </c>
      <c r="H485" s="78">
        <f t="shared" si="79"/>
        <v>85</v>
      </c>
      <c r="I485" s="78">
        <f t="shared" si="71"/>
        <v>0</v>
      </c>
      <c r="J485" s="80">
        <v>100</v>
      </c>
      <c r="K485" s="80">
        <v>300</v>
      </c>
      <c r="L485" s="78">
        <f t="shared" si="74"/>
        <v>1274</v>
      </c>
      <c r="M485" s="88">
        <v>600</v>
      </c>
      <c r="N485" s="78">
        <f>30</f>
        <v>30</v>
      </c>
      <c r="O485" s="80">
        <v>240</v>
      </c>
      <c r="P485" s="80">
        <v>160</v>
      </c>
      <c r="Q485" s="80">
        <f t="shared" si="75"/>
        <v>195</v>
      </c>
      <c r="R485" s="80">
        <f t="shared" si="76"/>
        <v>100</v>
      </c>
      <c r="S485" s="78">
        <f t="shared" si="77"/>
        <v>695</v>
      </c>
      <c r="T485" s="78">
        <f>50</f>
        <v>50</v>
      </c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</row>
    <row r="486" spans="1:30" ht="15.75" x14ac:dyDescent="0.25">
      <c r="A486" s="14">
        <v>55731</v>
      </c>
      <c r="B486" s="90">
        <v>31</v>
      </c>
      <c r="C486" s="78">
        <f>194.205</f>
        <v>194.20500000000001</v>
      </c>
      <c r="D486" s="78">
        <f>267.466</f>
        <v>267.46600000000001</v>
      </c>
      <c r="E486" s="86">
        <f>133.845</f>
        <v>133.845</v>
      </c>
      <c r="F486" s="78">
        <f>278.484-40-25-60</f>
        <v>153.48399999999998</v>
      </c>
      <c r="G486" s="80">
        <v>40</v>
      </c>
      <c r="H486" s="78">
        <f t="shared" si="79"/>
        <v>85</v>
      </c>
      <c r="I486" s="78">
        <f t="shared" si="71"/>
        <v>0</v>
      </c>
      <c r="J486" s="80">
        <v>100</v>
      </c>
      <c r="K486" s="80">
        <v>300</v>
      </c>
      <c r="L486" s="78">
        <f t="shared" si="74"/>
        <v>1274</v>
      </c>
      <c r="M486" s="88">
        <v>600</v>
      </c>
      <c r="N486" s="78">
        <f>30</f>
        <v>30</v>
      </c>
      <c r="O486" s="80">
        <v>240</v>
      </c>
      <c r="P486" s="80">
        <v>160</v>
      </c>
      <c r="Q486" s="80">
        <f t="shared" si="75"/>
        <v>195</v>
      </c>
      <c r="R486" s="80">
        <f t="shared" si="76"/>
        <v>100</v>
      </c>
      <c r="S486" s="78">
        <f t="shared" si="77"/>
        <v>695</v>
      </c>
      <c r="T486" s="78">
        <f>0</f>
        <v>0</v>
      </c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</row>
    <row r="487" spans="1:30" ht="15.75" x14ac:dyDescent="0.25">
      <c r="A487" s="14">
        <v>55762</v>
      </c>
      <c r="B487" s="90">
        <v>31</v>
      </c>
      <c r="C487" s="78">
        <f>194.205</f>
        <v>194.20500000000001</v>
      </c>
      <c r="D487" s="78">
        <f>267.466</f>
        <v>267.46600000000001</v>
      </c>
      <c r="E487" s="86">
        <f>133.845</f>
        <v>133.845</v>
      </c>
      <c r="F487" s="78">
        <f>278.484-40-25-60</f>
        <v>153.48399999999998</v>
      </c>
      <c r="G487" s="80">
        <v>40</v>
      </c>
      <c r="H487" s="78">
        <f t="shared" si="79"/>
        <v>85</v>
      </c>
      <c r="I487" s="78">
        <f t="shared" si="71"/>
        <v>0</v>
      </c>
      <c r="J487" s="80">
        <v>100</v>
      </c>
      <c r="K487" s="80">
        <v>300</v>
      </c>
      <c r="L487" s="78">
        <f t="shared" si="74"/>
        <v>1274</v>
      </c>
      <c r="M487" s="88">
        <v>600</v>
      </c>
      <c r="N487" s="78">
        <f>30</f>
        <v>30</v>
      </c>
      <c r="O487" s="80">
        <v>240</v>
      </c>
      <c r="P487" s="80">
        <v>160</v>
      </c>
      <c r="Q487" s="80">
        <f t="shared" si="75"/>
        <v>195</v>
      </c>
      <c r="R487" s="80">
        <f t="shared" si="76"/>
        <v>100</v>
      </c>
      <c r="S487" s="78">
        <f t="shared" si="77"/>
        <v>695</v>
      </c>
      <c r="T487" s="78">
        <f>0</f>
        <v>0</v>
      </c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</row>
    <row r="488" spans="1:30" ht="15.75" x14ac:dyDescent="0.25">
      <c r="A488" s="14">
        <v>55792</v>
      </c>
      <c r="B488" s="90">
        <v>30</v>
      </c>
      <c r="C488" s="78">
        <f>194.205</f>
        <v>194.20500000000001</v>
      </c>
      <c r="D488" s="78">
        <f>267.466</f>
        <v>267.46600000000001</v>
      </c>
      <c r="E488" s="86">
        <f>133.845</f>
        <v>133.845</v>
      </c>
      <c r="F488" s="78">
        <f>278.484-40-25-60</f>
        <v>153.48399999999998</v>
      </c>
      <c r="G488" s="80">
        <v>40</v>
      </c>
      <c r="H488" s="78">
        <f t="shared" si="79"/>
        <v>85</v>
      </c>
      <c r="I488" s="78">
        <f t="shared" si="71"/>
        <v>0</v>
      </c>
      <c r="J488" s="80">
        <v>100</v>
      </c>
      <c r="K488" s="80">
        <v>300</v>
      </c>
      <c r="L488" s="78">
        <f t="shared" si="74"/>
        <v>1274</v>
      </c>
      <c r="M488" s="88">
        <v>600</v>
      </c>
      <c r="N488" s="78">
        <f>30</f>
        <v>30</v>
      </c>
      <c r="O488" s="80">
        <v>240</v>
      </c>
      <c r="P488" s="80">
        <v>160</v>
      </c>
      <c r="Q488" s="80">
        <f t="shared" si="75"/>
        <v>195</v>
      </c>
      <c r="R488" s="80">
        <f t="shared" si="76"/>
        <v>100</v>
      </c>
      <c r="S488" s="78">
        <f t="shared" si="77"/>
        <v>695</v>
      </c>
      <c r="T488" s="78">
        <f>0</f>
        <v>0</v>
      </c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</row>
    <row r="489" spans="1:30" ht="15.75" x14ac:dyDescent="0.25">
      <c r="A489" s="14">
        <v>55823</v>
      </c>
      <c r="B489" s="90">
        <v>31</v>
      </c>
      <c r="C489" s="78">
        <f>131.881</f>
        <v>131.881</v>
      </c>
      <c r="D489" s="78">
        <f>277.167</f>
        <v>277.16699999999997</v>
      </c>
      <c r="E489" s="86">
        <f>79.08</f>
        <v>79.08</v>
      </c>
      <c r="F489" s="78">
        <f>350.872-40-25-60</f>
        <v>225.87200000000001</v>
      </c>
      <c r="G489" s="80">
        <v>40</v>
      </c>
      <c r="H489" s="78">
        <f t="shared" si="79"/>
        <v>85</v>
      </c>
      <c r="I489" s="78">
        <f t="shared" si="71"/>
        <v>0</v>
      </c>
      <c r="J489" s="80">
        <v>100</v>
      </c>
      <c r="K489" s="80">
        <v>300</v>
      </c>
      <c r="L489" s="78">
        <f t="shared" si="74"/>
        <v>1239</v>
      </c>
      <c r="M489" s="88">
        <v>600</v>
      </c>
      <c r="N489" s="78">
        <f>75</f>
        <v>75</v>
      </c>
      <c r="O489" s="80">
        <v>240</v>
      </c>
      <c r="P489" s="80">
        <v>160</v>
      </c>
      <c r="Q489" s="80">
        <f t="shared" si="75"/>
        <v>195</v>
      </c>
      <c r="R489" s="80">
        <f t="shared" si="76"/>
        <v>100</v>
      </c>
      <c r="S489" s="78">
        <f t="shared" si="77"/>
        <v>695</v>
      </c>
      <c r="T489" s="78">
        <f>0</f>
        <v>0</v>
      </c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</row>
    <row r="490" spans="1:30" ht="15.75" x14ac:dyDescent="0.25">
      <c r="A490" s="14">
        <v>55853</v>
      </c>
      <c r="B490" s="90">
        <v>30</v>
      </c>
      <c r="C490" s="78">
        <f>122.58</f>
        <v>122.58</v>
      </c>
      <c r="D490" s="78">
        <f>297.941</f>
        <v>297.94099999999997</v>
      </c>
      <c r="E490" s="86">
        <f>89.177</f>
        <v>89.177000000000007</v>
      </c>
      <c r="F490" s="78">
        <f>240.302-40-60</f>
        <v>140.30199999999999</v>
      </c>
      <c r="G490" s="80">
        <v>40</v>
      </c>
      <c r="H490" s="78">
        <v>60</v>
      </c>
      <c r="I490" s="78">
        <f t="shared" si="71"/>
        <v>0</v>
      </c>
      <c r="J490" s="80">
        <v>100</v>
      </c>
      <c r="K490" s="80">
        <v>300</v>
      </c>
      <c r="L490" s="78">
        <f t="shared" si="74"/>
        <v>1150</v>
      </c>
      <c r="M490" s="88">
        <v>600</v>
      </c>
      <c r="N490" s="78">
        <f>100</f>
        <v>100</v>
      </c>
      <c r="O490" s="80">
        <v>240</v>
      </c>
      <c r="P490" s="80">
        <v>40</v>
      </c>
      <c r="Q490" s="80">
        <f t="shared" si="75"/>
        <v>315</v>
      </c>
      <c r="R490" s="80">
        <f t="shared" si="76"/>
        <v>100</v>
      </c>
      <c r="S490" s="78">
        <f t="shared" si="77"/>
        <v>695</v>
      </c>
      <c r="T490" s="78">
        <f>50</f>
        <v>50</v>
      </c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</row>
    <row r="491" spans="1:30" ht="15.75" x14ac:dyDescent="0.25">
      <c r="A491" s="14">
        <v>55884</v>
      </c>
      <c r="B491" s="90">
        <v>31</v>
      </c>
      <c r="C491" s="78">
        <f>122.58</f>
        <v>122.58</v>
      </c>
      <c r="D491" s="78">
        <f>297.941</f>
        <v>297.94099999999997</v>
      </c>
      <c r="E491" s="86">
        <f>89.177</f>
        <v>89.177000000000007</v>
      </c>
      <c r="F491" s="78">
        <f>240.302-40-60</f>
        <v>140.30199999999999</v>
      </c>
      <c r="G491" s="80">
        <v>40</v>
      </c>
      <c r="H491" s="78">
        <v>60</v>
      </c>
      <c r="I491" s="78">
        <f t="shared" si="71"/>
        <v>0</v>
      </c>
      <c r="J491" s="80">
        <v>100</v>
      </c>
      <c r="K491" s="80">
        <v>300</v>
      </c>
      <c r="L491" s="78">
        <f t="shared" si="74"/>
        <v>1150</v>
      </c>
      <c r="M491" s="88">
        <v>600</v>
      </c>
      <c r="N491" s="78">
        <f>100</f>
        <v>100</v>
      </c>
      <c r="O491" s="80">
        <v>240</v>
      </c>
      <c r="P491" s="80">
        <v>40</v>
      </c>
      <c r="Q491" s="80">
        <f t="shared" si="75"/>
        <v>315</v>
      </c>
      <c r="R491" s="80">
        <f t="shared" si="76"/>
        <v>100</v>
      </c>
      <c r="S491" s="78">
        <f t="shared" si="77"/>
        <v>695</v>
      </c>
      <c r="T491" s="78">
        <f>50</f>
        <v>50</v>
      </c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</row>
    <row r="492" spans="1:30" ht="15.75" x14ac:dyDescent="0.25">
      <c r="A492" s="14">
        <v>55915</v>
      </c>
      <c r="B492" s="90">
        <v>31</v>
      </c>
      <c r="C492" s="78">
        <f>122.58</f>
        <v>122.58</v>
      </c>
      <c r="D492" s="78">
        <f>297.941</f>
        <v>297.94099999999997</v>
      </c>
      <c r="E492" s="86">
        <f>89.177</f>
        <v>89.177000000000007</v>
      </c>
      <c r="F492" s="78">
        <f>240.302-40-60</f>
        <v>140.30199999999999</v>
      </c>
      <c r="G492" s="80">
        <v>40</v>
      </c>
      <c r="H492" s="78">
        <v>60</v>
      </c>
      <c r="I492" s="78">
        <f t="shared" si="71"/>
        <v>0</v>
      </c>
      <c r="J492" s="80">
        <v>100</v>
      </c>
      <c r="K492" s="80">
        <v>300</v>
      </c>
      <c r="L492" s="78">
        <f t="shared" si="74"/>
        <v>1150</v>
      </c>
      <c r="M492" s="88">
        <v>600</v>
      </c>
      <c r="N492" s="78">
        <f>100</f>
        <v>100</v>
      </c>
      <c r="O492" s="80">
        <v>240</v>
      </c>
      <c r="P492" s="80">
        <v>40</v>
      </c>
      <c r="Q492" s="80">
        <f t="shared" si="75"/>
        <v>315</v>
      </c>
      <c r="R492" s="80">
        <f t="shared" si="76"/>
        <v>100</v>
      </c>
      <c r="S492" s="78">
        <f t="shared" si="77"/>
        <v>695</v>
      </c>
      <c r="T492" s="78">
        <f>50</f>
        <v>50</v>
      </c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</row>
    <row r="493" spans="1:30" ht="15.75" x14ac:dyDescent="0.25">
      <c r="A493" s="14">
        <v>55943</v>
      </c>
      <c r="B493" s="90">
        <v>28</v>
      </c>
      <c r="C493" s="78">
        <f>122.58</f>
        <v>122.58</v>
      </c>
      <c r="D493" s="78">
        <f>297.941</f>
        <v>297.94099999999997</v>
      </c>
      <c r="E493" s="86">
        <f>89.177</f>
        <v>89.177000000000007</v>
      </c>
      <c r="F493" s="78">
        <f>240.302-40-60</f>
        <v>140.30199999999999</v>
      </c>
      <c r="G493" s="80">
        <v>40</v>
      </c>
      <c r="H493" s="78">
        <v>60</v>
      </c>
      <c r="I493" s="78">
        <f t="shared" si="71"/>
        <v>0</v>
      </c>
      <c r="J493" s="80">
        <v>100</v>
      </c>
      <c r="K493" s="80">
        <v>300</v>
      </c>
      <c r="L493" s="78">
        <f t="shared" si="74"/>
        <v>1150</v>
      </c>
      <c r="M493" s="88">
        <v>600</v>
      </c>
      <c r="N493" s="78">
        <f>100</f>
        <v>100</v>
      </c>
      <c r="O493" s="80">
        <v>240</v>
      </c>
      <c r="P493" s="80">
        <v>40</v>
      </c>
      <c r="Q493" s="80">
        <f t="shared" si="75"/>
        <v>315</v>
      </c>
      <c r="R493" s="80">
        <f t="shared" si="76"/>
        <v>100</v>
      </c>
      <c r="S493" s="78">
        <f t="shared" si="77"/>
        <v>695</v>
      </c>
      <c r="T493" s="78">
        <f>50</f>
        <v>50</v>
      </c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</row>
    <row r="494" spans="1:30" ht="15.75" x14ac:dyDescent="0.25">
      <c r="A494" s="14">
        <v>55974</v>
      </c>
      <c r="B494" s="90">
        <v>31</v>
      </c>
      <c r="C494" s="78">
        <f>122.58</f>
        <v>122.58</v>
      </c>
      <c r="D494" s="78">
        <f>297.941</f>
        <v>297.94099999999997</v>
      </c>
      <c r="E494" s="86">
        <f>89.177</f>
        <v>89.177000000000007</v>
      </c>
      <c r="F494" s="78">
        <f>240.302-40-60</f>
        <v>140.30199999999999</v>
      </c>
      <c r="G494" s="80">
        <v>40</v>
      </c>
      <c r="H494" s="78">
        <v>60</v>
      </c>
      <c r="I494" s="78">
        <f t="shared" si="71"/>
        <v>0</v>
      </c>
      <c r="J494" s="80">
        <v>100</v>
      </c>
      <c r="K494" s="80">
        <v>300</v>
      </c>
      <c r="L494" s="78">
        <f t="shared" si="74"/>
        <v>1150</v>
      </c>
      <c r="M494" s="88">
        <v>600</v>
      </c>
      <c r="N494" s="78">
        <f>100</f>
        <v>100</v>
      </c>
      <c r="O494" s="80">
        <v>240</v>
      </c>
      <c r="P494" s="80">
        <v>40</v>
      </c>
      <c r="Q494" s="80">
        <f t="shared" si="75"/>
        <v>315</v>
      </c>
      <c r="R494" s="80">
        <f t="shared" si="76"/>
        <v>100</v>
      </c>
      <c r="S494" s="78">
        <f t="shared" si="77"/>
        <v>695</v>
      </c>
      <c r="T494" s="78">
        <f>50</f>
        <v>50</v>
      </c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</row>
    <row r="495" spans="1:30" ht="15.75" x14ac:dyDescent="0.25">
      <c r="A495" s="14">
        <v>56004</v>
      </c>
      <c r="B495" s="90">
        <v>30</v>
      </c>
      <c r="C495" s="78">
        <f>141.293</f>
        <v>141.29300000000001</v>
      </c>
      <c r="D495" s="78">
        <f>267.993</f>
        <v>267.99299999999999</v>
      </c>
      <c r="E495" s="86">
        <f>115.016</f>
        <v>115.01600000000001</v>
      </c>
      <c r="F495" s="78">
        <f>314.698-40-25-60</f>
        <v>189.69799999999998</v>
      </c>
      <c r="G495" s="80">
        <v>40</v>
      </c>
      <c r="H495" s="78">
        <f t="shared" ref="H495:H501" si="80">25+60</f>
        <v>85</v>
      </c>
      <c r="I495" s="78">
        <f t="shared" si="71"/>
        <v>0</v>
      </c>
      <c r="J495" s="80">
        <v>100</v>
      </c>
      <c r="K495" s="80">
        <v>300</v>
      </c>
      <c r="L495" s="78">
        <f t="shared" si="74"/>
        <v>1239</v>
      </c>
      <c r="M495" s="88">
        <v>600</v>
      </c>
      <c r="N495" s="78">
        <f>100</f>
        <v>100</v>
      </c>
      <c r="O495" s="80">
        <v>240</v>
      </c>
      <c r="P495" s="80">
        <v>160</v>
      </c>
      <c r="Q495" s="80">
        <f t="shared" si="75"/>
        <v>195</v>
      </c>
      <c r="R495" s="80">
        <f t="shared" si="76"/>
        <v>100</v>
      </c>
      <c r="S495" s="78">
        <f t="shared" si="77"/>
        <v>695</v>
      </c>
      <c r="T495" s="78">
        <f>50</f>
        <v>50</v>
      </c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</row>
    <row r="496" spans="1:30" ht="15.75" x14ac:dyDescent="0.25">
      <c r="A496" s="14">
        <v>56035</v>
      </c>
      <c r="B496" s="90">
        <v>31</v>
      </c>
      <c r="C496" s="78">
        <f>194.205</f>
        <v>194.20500000000001</v>
      </c>
      <c r="D496" s="78">
        <f>267.466</f>
        <v>267.46600000000001</v>
      </c>
      <c r="E496" s="86">
        <f>133.845</f>
        <v>133.845</v>
      </c>
      <c r="F496" s="78">
        <f>278.484-40-25-60</f>
        <v>153.48399999999998</v>
      </c>
      <c r="G496" s="80">
        <v>40</v>
      </c>
      <c r="H496" s="78">
        <f t="shared" si="80"/>
        <v>85</v>
      </c>
      <c r="I496" s="78">
        <f t="shared" si="71"/>
        <v>0</v>
      </c>
      <c r="J496" s="80">
        <v>100</v>
      </c>
      <c r="K496" s="80">
        <v>300</v>
      </c>
      <c r="L496" s="78">
        <f t="shared" si="74"/>
        <v>1274</v>
      </c>
      <c r="M496" s="88">
        <v>600</v>
      </c>
      <c r="N496" s="78">
        <f>75</f>
        <v>75</v>
      </c>
      <c r="O496" s="80">
        <v>240</v>
      </c>
      <c r="P496" s="80">
        <v>160</v>
      </c>
      <c r="Q496" s="80">
        <f t="shared" si="75"/>
        <v>195</v>
      </c>
      <c r="R496" s="80">
        <f t="shared" si="76"/>
        <v>100</v>
      </c>
      <c r="S496" s="78">
        <f t="shared" si="77"/>
        <v>695</v>
      </c>
      <c r="T496" s="78">
        <f>50</f>
        <v>50</v>
      </c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</row>
    <row r="497" spans="1:30" ht="15.75" x14ac:dyDescent="0.25">
      <c r="A497" s="14">
        <v>56065</v>
      </c>
      <c r="B497" s="90">
        <v>30</v>
      </c>
      <c r="C497" s="78">
        <f>194.205</f>
        <v>194.20500000000001</v>
      </c>
      <c r="D497" s="78">
        <f>267.466</f>
        <v>267.46600000000001</v>
      </c>
      <c r="E497" s="86">
        <f>133.845</f>
        <v>133.845</v>
      </c>
      <c r="F497" s="78">
        <f>278.484-40-25-60</f>
        <v>153.48399999999998</v>
      </c>
      <c r="G497" s="80">
        <v>40</v>
      </c>
      <c r="H497" s="78">
        <f t="shared" si="80"/>
        <v>85</v>
      </c>
      <c r="I497" s="78">
        <f t="shared" si="71"/>
        <v>0</v>
      </c>
      <c r="J497" s="80">
        <v>100</v>
      </c>
      <c r="K497" s="80">
        <v>300</v>
      </c>
      <c r="L497" s="78">
        <f t="shared" si="74"/>
        <v>1274</v>
      </c>
      <c r="M497" s="88">
        <v>600</v>
      </c>
      <c r="N497" s="78">
        <f>30</f>
        <v>30</v>
      </c>
      <c r="O497" s="80">
        <v>240</v>
      </c>
      <c r="P497" s="80">
        <v>160</v>
      </c>
      <c r="Q497" s="80">
        <f t="shared" si="75"/>
        <v>195</v>
      </c>
      <c r="R497" s="80">
        <f t="shared" si="76"/>
        <v>100</v>
      </c>
      <c r="S497" s="78">
        <f t="shared" si="77"/>
        <v>695</v>
      </c>
      <c r="T497" s="78">
        <f>50</f>
        <v>50</v>
      </c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</row>
    <row r="498" spans="1:30" ht="15.75" x14ac:dyDescent="0.25">
      <c r="A498" s="14">
        <v>56096</v>
      </c>
      <c r="B498" s="90">
        <v>31</v>
      </c>
      <c r="C498" s="78">
        <f>194.205</f>
        <v>194.20500000000001</v>
      </c>
      <c r="D498" s="78">
        <f>267.466</f>
        <v>267.46600000000001</v>
      </c>
      <c r="E498" s="86">
        <f>133.845</f>
        <v>133.845</v>
      </c>
      <c r="F498" s="78">
        <f>278.484-40-25-60</f>
        <v>153.48399999999998</v>
      </c>
      <c r="G498" s="80">
        <v>40</v>
      </c>
      <c r="H498" s="78">
        <f t="shared" si="80"/>
        <v>85</v>
      </c>
      <c r="I498" s="78">
        <f t="shared" si="71"/>
        <v>0</v>
      </c>
      <c r="J498" s="80">
        <v>100</v>
      </c>
      <c r="K498" s="80">
        <v>300</v>
      </c>
      <c r="L498" s="78">
        <f t="shared" si="74"/>
        <v>1274</v>
      </c>
      <c r="M498" s="88">
        <v>600</v>
      </c>
      <c r="N498" s="78">
        <f>30</f>
        <v>30</v>
      </c>
      <c r="O498" s="80">
        <v>240</v>
      </c>
      <c r="P498" s="80">
        <v>160</v>
      </c>
      <c r="Q498" s="80">
        <f t="shared" si="75"/>
        <v>195</v>
      </c>
      <c r="R498" s="80">
        <f t="shared" si="76"/>
        <v>100</v>
      </c>
      <c r="S498" s="78">
        <f t="shared" si="77"/>
        <v>695</v>
      </c>
      <c r="T498" s="78">
        <f>0</f>
        <v>0</v>
      </c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</row>
    <row r="499" spans="1:30" ht="15.75" x14ac:dyDescent="0.25">
      <c r="A499" s="14">
        <v>56127</v>
      </c>
      <c r="B499" s="90">
        <v>31</v>
      </c>
      <c r="C499" s="78">
        <f>194.205</f>
        <v>194.20500000000001</v>
      </c>
      <c r="D499" s="78">
        <f>267.466</f>
        <v>267.46600000000001</v>
      </c>
      <c r="E499" s="86">
        <f>133.845</f>
        <v>133.845</v>
      </c>
      <c r="F499" s="78">
        <f>278.484-40-25-60</f>
        <v>153.48399999999998</v>
      </c>
      <c r="G499" s="80">
        <v>40</v>
      </c>
      <c r="H499" s="78">
        <f t="shared" si="80"/>
        <v>85</v>
      </c>
      <c r="I499" s="78">
        <f t="shared" si="71"/>
        <v>0</v>
      </c>
      <c r="J499" s="80">
        <v>100</v>
      </c>
      <c r="K499" s="80">
        <v>300</v>
      </c>
      <c r="L499" s="78">
        <f t="shared" si="74"/>
        <v>1274</v>
      </c>
      <c r="M499" s="88">
        <v>600</v>
      </c>
      <c r="N499" s="78">
        <f>30</f>
        <v>30</v>
      </c>
      <c r="O499" s="80">
        <v>240</v>
      </c>
      <c r="P499" s="80">
        <v>160</v>
      </c>
      <c r="Q499" s="80">
        <f t="shared" si="75"/>
        <v>195</v>
      </c>
      <c r="R499" s="80">
        <f t="shared" si="76"/>
        <v>100</v>
      </c>
      <c r="S499" s="78">
        <f t="shared" si="77"/>
        <v>695</v>
      </c>
      <c r="T499" s="78">
        <f>0</f>
        <v>0</v>
      </c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</row>
    <row r="500" spans="1:30" ht="15.75" x14ac:dyDescent="0.25">
      <c r="A500" s="14">
        <v>56157</v>
      </c>
      <c r="B500" s="90">
        <v>30</v>
      </c>
      <c r="C500" s="78">
        <f>194.205</f>
        <v>194.20500000000001</v>
      </c>
      <c r="D500" s="78">
        <f>267.466</f>
        <v>267.46600000000001</v>
      </c>
      <c r="E500" s="86">
        <f>133.845</f>
        <v>133.845</v>
      </c>
      <c r="F500" s="78">
        <f>278.484-40-25-60</f>
        <v>153.48399999999998</v>
      </c>
      <c r="G500" s="80">
        <v>40</v>
      </c>
      <c r="H500" s="78">
        <f t="shared" si="80"/>
        <v>85</v>
      </c>
      <c r="I500" s="78">
        <f t="shared" ref="I500:I563" si="81">400-J500-K500</f>
        <v>0</v>
      </c>
      <c r="J500" s="80">
        <v>100</v>
      </c>
      <c r="K500" s="80">
        <v>300</v>
      </c>
      <c r="L500" s="78">
        <f t="shared" si="74"/>
        <v>1274</v>
      </c>
      <c r="M500" s="88">
        <v>600</v>
      </c>
      <c r="N500" s="78">
        <f>30</f>
        <v>30</v>
      </c>
      <c r="O500" s="80">
        <v>240</v>
      </c>
      <c r="P500" s="80">
        <v>160</v>
      </c>
      <c r="Q500" s="80">
        <f t="shared" si="75"/>
        <v>195</v>
      </c>
      <c r="R500" s="80">
        <f t="shared" si="76"/>
        <v>100</v>
      </c>
      <c r="S500" s="78">
        <f t="shared" si="77"/>
        <v>695</v>
      </c>
      <c r="T500" s="78">
        <f>0</f>
        <v>0</v>
      </c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</row>
    <row r="501" spans="1:30" ht="15.75" x14ac:dyDescent="0.25">
      <c r="A501" s="14">
        <v>56188</v>
      </c>
      <c r="B501" s="90">
        <v>31</v>
      </c>
      <c r="C501" s="78">
        <f>131.881</f>
        <v>131.881</v>
      </c>
      <c r="D501" s="78">
        <f>277.167</f>
        <v>277.16699999999997</v>
      </c>
      <c r="E501" s="86">
        <f>79.08</f>
        <v>79.08</v>
      </c>
      <c r="F501" s="78">
        <f>350.872-40-25-60</f>
        <v>225.87200000000001</v>
      </c>
      <c r="G501" s="80">
        <v>40</v>
      </c>
      <c r="H501" s="78">
        <f t="shared" si="80"/>
        <v>85</v>
      </c>
      <c r="I501" s="78">
        <f t="shared" si="81"/>
        <v>0</v>
      </c>
      <c r="J501" s="80">
        <v>100</v>
      </c>
      <c r="K501" s="80">
        <v>300</v>
      </c>
      <c r="L501" s="78">
        <f t="shared" si="74"/>
        <v>1239</v>
      </c>
      <c r="M501" s="88">
        <v>600</v>
      </c>
      <c r="N501" s="78">
        <f>75</f>
        <v>75</v>
      </c>
      <c r="O501" s="80">
        <v>240</v>
      </c>
      <c r="P501" s="80">
        <v>160</v>
      </c>
      <c r="Q501" s="80">
        <f t="shared" si="75"/>
        <v>195</v>
      </c>
      <c r="R501" s="80">
        <f t="shared" si="76"/>
        <v>100</v>
      </c>
      <c r="S501" s="78">
        <f t="shared" si="77"/>
        <v>695</v>
      </c>
      <c r="T501" s="78">
        <f>0</f>
        <v>0</v>
      </c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</row>
    <row r="502" spans="1:30" ht="15.75" x14ac:dyDescent="0.25">
      <c r="A502" s="14">
        <v>56218</v>
      </c>
      <c r="B502" s="90">
        <v>30</v>
      </c>
      <c r="C502" s="78">
        <f>122.58</f>
        <v>122.58</v>
      </c>
      <c r="D502" s="78">
        <f>297.941</f>
        <v>297.94099999999997</v>
      </c>
      <c r="E502" s="86">
        <f>89.177</f>
        <v>89.177000000000007</v>
      </c>
      <c r="F502" s="78">
        <f>240.302-40-60</f>
        <v>140.30199999999999</v>
      </c>
      <c r="G502" s="80">
        <v>40</v>
      </c>
      <c r="H502" s="78">
        <v>60</v>
      </c>
      <c r="I502" s="78">
        <f t="shared" si="81"/>
        <v>0</v>
      </c>
      <c r="J502" s="80">
        <v>100</v>
      </c>
      <c r="K502" s="80">
        <v>300</v>
      </c>
      <c r="L502" s="78">
        <f t="shared" si="74"/>
        <v>1150</v>
      </c>
      <c r="M502" s="88">
        <v>600</v>
      </c>
      <c r="N502" s="78">
        <f>100</f>
        <v>100</v>
      </c>
      <c r="O502" s="80">
        <v>240</v>
      </c>
      <c r="P502" s="80">
        <v>40</v>
      </c>
      <c r="Q502" s="80">
        <f t="shared" si="75"/>
        <v>315</v>
      </c>
      <c r="R502" s="80">
        <f t="shared" si="76"/>
        <v>100</v>
      </c>
      <c r="S502" s="78">
        <f t="shared" si="77"/>
        <v>695</v>
      </c>
      <c r="T502" s="78">
        <f>50</f>
        <v>50</v>
      </c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</row>
    <row r="503" spans="1:30" ht="15.75" x14ac:dyDescent="0.25">
      <c r="A503" s="14">
        <v>56249</v>
      </c>
      <c r="B503" s="90">
        <v>31</v>
      </c>
      <c r="C503" s="78">
        <f>122.58</f>
        <v>122.58</v>
      </c>
      <c r="D503" s="78">
        <f>297.941</f>
        <v>297.94099999999997</v>
      </c>
      <c r="E503" s="86">
        <f>89.177</f>
        <v>89.177000000000007</v>
      </c>
      <c r="F503" s="78">
        <f>240.302-40-60</f>
        <v>140.30199999999999</v>
      </c>
      <c r="G503" s="80">
        <v>40</v>
      </c>
      <c r="H503" s="78">
        <v>60</v>
      </c>
      <c r="I503" s="78">
        <f t="shared" si="81"/>
        <v>0</v>
      </c>
      <c r="J503" s="80">
        <v>100</v>
      </c>
      <c r="K503" s="80">
        <v>300</v>
      </c>
      <c r="L503" s="78">
        <f t="shared" si="74"/>
        <v>1150</v>
      </c>
      <c r="M503" s="88">
        <v>600</v>
      </c>
      <c r="N503" s="78">
        <f>100</f>
        <v>100</v>
      </c>
      <c r="O503" s="80">
        <v>240</v>
      </c>
      <c r="P503" s="80">
        <v>40</v>
      </c>
      <c r="Q503" s="80">
        <f t="shared" si="75"/>
        <v>315</v>
      </c>
      <c r="R503" s="80">
        <f t="shared" si="76"/>
        <v>100</v>
      </c>
      <c r="S503" s="78">
        <f t="shared" si="77"/>
        <v>695</v>
      </c>
      <c r="T503" s="78">
        <f>50</f>
        <v>50</v>
      </c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</row>
    <row r="504" spans="1:30" ht="15.75" x14ac:dyDescent="0.25">
      <c r="A504" s="14">
        <v>56280</v>
      </c>
      <c r="B504" s="90">
        <v>31</v>
      </c>
      <c r="C504" s="78">
        <f>122.58</f>
        <v>122.58</v>
      </c>
      <c r="D504" s="78">
        <f>297.941</f>
        <v>297.94099999999997</v>
      </c>
      <c r="E504" s="86">
        <f>89.177</f>
        <v>89.177000000000007</v>
      </c>
      <c r="F504" s="78">
        <f>240.302-40-60</f>
        <v>140.30199999999999</v>
      </c>
      <c r="G504" s="80">
        <v>40</v>
      </c>
      <c r="H504" s="78">
        <v>60</v>
      </c>
      <c r="I504" s="78">
        <f t="shared" si="81"/>
        <v>0</v>
      </c>
      <c r="J504" s="80">
        <v>100</v>
      </c>
      <c r="K504" s="80">
        <v>300</v>
      </c>
      <c r="L504" s="78">
        <f t="shared" si="74"/>
        <v>1150</v>
      </c>
      <c r="M504" s="88">
        <v>600</v>
      </c>
      <c r="N504" s="78">
        <f>100</f>
        <v>100</v>
      </c>
      <c r="O504" s="80">
        <v>240</v>
      </c>
      <c r="P504" s="80">
        <v>40</v>
      </c>
      <c r="Q504" s="80">
        <f t="shared" si="75"/>
        <v>315</v>
      </c>
      <c r="R504" s="80">
        <f t="shared" si="76"/>
        <v>100</v>
      </c>
      <c r="S504" s="78">
        <f t="shared" si="77"/>
        <v>695</v>
      </c>
      <c r="T504" s="78">
        <f>50</f>
        <v>50</v>
      </c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</row>
    <row r="505" spans="1:30" ht="15.75" x14ac:dyDescent="0.25">
      <c r="A505" s="14">
        <v>56308</v>
      </c>
      <c r="B505" s="90">
        <v>28</v>
      </c>
      <c r="C505" s="78">
        <f>122.58</f>
        <v>122.58</v>
      </c>
      <c r="D505" s="78">
        <f>297.941</f>
        <v>297.94099999999997</v>
      </c>
      <c r="E505" s="86">
        <f>89.177</f>
        <v>89.177000000000007</v>
      </c>
      <c r="F505" s="78">
        <f>240.302-40-60</f>
        <v>140.30199999999999</v>
      </c>
      <c r="G505" s="80">
        <v>40</v>
      </c>
      <c r="H505" s="78">
        <v>60</v>
      </c>
      <c r="I505" s="78">
        <f t="shared" si="81"/>
        <v>0</v>
      </c>
      <c r="J505" s="80">
        <v>100</v>
      </c>
      <c r="K505" s="80">
        <v>300</v>
      </c>
      <c r="L505" s="78">
        <f t="shared" si="74"/>
        <v>1150</v>
      </c>
      <c r="M505" s="88">
        <v>600</v>
      </c>
      <c r="N505" s="78">
        <f>100</f>
        <v>100</v>
      </c>
      <c r="O505" s="80">
        <v>240</v>
      </c>
      <c r="P505" s="80">
        <v>40</v>
      </c>
      <c r="Q505" s="80">
        <f t="shared" si="75"/>
        <v>315</v>
      </c>
      <c r="R505" s="80">
        <f t="shared" si="76"/>
        <v>100</v>
      </c>
      <c r="S505" s="78">
        <f t="shared" si="77"/>
        <v>695</v>
      </c>
      <c r="T505" s="78">
        <f>50</f>
        <v>50</v>
      </c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</row>
    <row r="506" spans="1:30" ht="15.75" x14ac:dyDescent="0.25">
      <c r="A506" s="14">
        <v>56339</v>
      </c>
      <c r="B506" s="90">
        <v>31</v>
      </c>
      <c r="C506" s="78">
        <f>122.58</f>
        <v>122.58</v>
      </c>
      <c r="D506" s="78">
        <f>297.941</f>
        <v>297.94099999999997</v>
      </c>
      <c r="E506" s="86">
        <f>89.177</f>
        <v>89.177000000000007</v>
      </c>
      <c r="F506" s="78">
        <f>240.302-40-60</f>
        <v>140.30199999999999</v>
      </c>
      <c r="G506" s="80">
        <v>40</v>
      </c>
      <c r="H506" s="78">
        <v>60</v>
      </c>
      <c r="I506" s="78">
        <f t="shared" si="81"/>
        <v>0</v>
      </c>
      <c r="J506" s="80">
        <v>100</v>
      </c>
      <c r="K506" s="80">
        <v>300</v>
      </c>
      <c r="L506" s="78">
        <f t="shared" si="74"/>
        <v>1150</v>
      </c>
      <c r="M506" s="88">
        <v>600</v>
      </c>
      <c r="N506" s="78">
        <f>100</f>
        <v>100</v>
      </c>
      <c r="O506" s="80">
        <v>240</v>
      </c>
      <c r="P506" s="80">
        <v>40</v>
      </c>
      <c r="Q506" s="80">
        <f t="shared" si="75"/>
        <v>315</v>
      </c>
      <c r="R506" s="80">
        <f t="shared" si="76"/>
        <v>100</v>
      </c>
      <c r="S506" s="78">
        <f t="shared" si="77"/>
        <v>695</v>
      </c>
      <c r="T506" s="78">
        <f>50</f>
        <v>50</v>
      </c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</row>
    <row r="507" spans="1:30" ht="15.75" x14ac:dyDescent="0.25">
      <c r="A507" s="14">
        <v>56369</v>
      </c>
      <c r="B507" s="90">
        <v>30</v>
      </c>
      <c r="C507" s="78">
        <f>141.293</f>
        <v>141.29300000000001</v>
      </c>
      <c r="D507" s="78">
        <f>267.993</f>
        <v>267.99299999999999</v>
      </c>
      <c r="E507" s="86">
        <f>115.016</f>
        <v>115.01600000000001</v>
      </c>
      <c r="F507" s="78">
        <f>314.698-40-25-60</f>
        <v>189.69799999999998</v>
      </c>
      <c r="G507" s="80">
        <v>40</v>
      </c>
      <c r="H507" s="78">
        <f t="shared" ref="H507:H513" si="82">25+60</f>
        <v>85</v>
      </c>
      <c r="I507" s="78">
        <f t="shared" si="81"/>
        <v>0</v>
      </c>
      <c r="J507" s="80">
        <v>100</v>
      </c>
      <c r="K507" s="80">
        <v>300</v>
      </c>
      <c r="L507" s="78">
        <f t="shared" si="74"/>
        <v>1239</v>
      </c>
      <c r="M507" s="88">
        <v>600</v>
      </c>
      <c r="N507" s="78">
        <f>100</f>
        <v>100</v>
      </c>
      <c r="O507" s="80">
        <v>240</v>
      </c>
      <c r="P507" s="80">
        <v>160</v>
      </c>
      <c r="Q507" s="80">
        <f t="shared" si="75"/>
        <v>195</v>
      </c>
      <c r="R507" s="80">
        <f t="shared" si="76"/>
        <v>100</v>
      </c>
      <c r="S507" s="78">
        <f t="shared" si="77"/>
        <v>695</v>
      </c>
      <c r="T507" s="78">
        <f>50</f>
        <v>50</v>
      </c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</row>
    <row r="508" spans="1:30" ht="15.75" x14ac:dyDescent="0.25">
      <c r="A508" s="14">
        <v>56400</v>
      </c>
      <c r="B508" s="90">
        <v>31</v>
      </c>
      <c r="C508" s="78">
        <f>194.205</f>
        <v>194.20500000000001</v>
      </c>
      <c r="D508" s="78">
        <f>267.466</f>
        <v>267.46600000000001</v>
      </c>
      <c r="E508" s="86">
        <f>133.845</f>
        <v>133.845</v>
      </c>
      <c r="F508" s="78">
        <f>278.484-40-25-60</f>
        <v>153.48399999999998</v>
      </c>
      <c r="G508" s="80">
        <v>40</v>
      </c>
      <c r="H508" s="78">
        <f t="shared" si="82"/>
        <v>85</v>
      </c>
      <c r="I508" s="78">
        <f t="shared" si="81"/>
        <v>0</v>
      </c>
      <c r="J508" s="80">
        <v>100</v>
      </c>
      <c r="K508" s="80">
        <v>300</v>
      </c>
      <c r="L508" s="78">
        <f t="shared" si="74"/>
        <v>1274</v>
      </c>
      <c r="M508" s="88">
        <v>600</v>
      </c>
      <c r="N508" s="78">
        <f>75</f>
        <v>75</v>
      </c>
      <c r="O508" s="80">
        <v>240</v>
      </c>
      <c r="P508" s="80">
        <v>160</v>
      </c>
      <c r="Q508" s="80">
        <f t="shared" si="75"/>
        <v>195</v>
      </c>
      <c r="R508" s="80">
        <f t="shared" si="76"/>
        <v>100</v>
      </c>
      <c r="S508" s="78">
        <f t="shared" si="77"/>
        <v>695</v>
      </c>
      <c r="T508" s="78">
        <f>50</f>
        <v>50</v>
      </c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</row>
    <row r="509" spans="1:30" ht="15.75" x14ac:dyDescent="0.25">
      <c r="A509" s="14">
        <v>56430</v>
      </c>
      <c r="B509" s="90">
        <v>30</v>
      </c>
      <c r="C509" s="78">
        <f>194.205</f>
        <v>194.20500000000001</v>
      </c>
      <c r="D509" s="78">
        <f>267.466</f>
        <v>267.46600000000001</v>
      </c>
      <c r="E509" s="86">
        <f>133.845</f>
        <v>133.845</v>
      </c>
      <c r="F509" s="78">
        <f>278.484-40-25-60</f>
        <v>153.48399999999998</v>
      </c>
      <c r="G509" s="80">
        <v>40</v>
      </c>
      <c r="H509" s="78">
        <f t="shared" si="82"/>
        <v>85</v>
      </c>
      <c r="I509" s="78">
        <f t="shared" si="81"/>
        <v>0</v>
      </c>
      <c r="J509" s="80">
        <v>100</v>
      </c>
      <c r="K509" s="80">
        <v>300</v>
      </c>
      <c r="L509" s="78">
        <f t="shared" si="74"/>
        <v>1274</v>
      </c>
      <c r="M509" s="88">
        <v>600</v>
      </c>
      <c r="N509" s="78">
        <f>30</f>
        <v>30</v>
      </c>
      <c r="O509" s="80">
        <v>240</v>
      </c>
      <c r="P509" s="80">
        <v>160</v>
      </c>
      <c r="Q509" s="80">
        <f t="shared" si="75"/>
        <v>195</v>
      </c>
      <c r="R509" s="80">
        <f t="shared" si="76"/>
        <v>100</v>
      </c>
      <c r="S509" s="78">
        <f t="shared" si="77"/>
        <v>695</v>
      </c>
      <c r="T509" s="78">
        <f>50</f>
        <v>50</v>
      </c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</row>
    <row r="510" spans="1:30" ht="15.75" x14ac:dyDescent="0.25">
      <c r="A510" s="14">
        <v>56461</v>
      </c>
      <c r="B510" s="90">
        <v>31</v>
      </c>
      <c r="C510" s="78">
        <f>194.205</f>
        <v>194.20500000000001</v>
      </c>
      <c r="D510" s="78">
        <f>267.466</f>
        <v>267.46600000000001</v>
      </c>
      <c r="E510" s="86">
        <f>133.845</f>
        <v>133.845</v>
      </c>
      <c r="F510" s="78">
        <f>278.484-40-25-60</f>
        <v>153.48399999999998</v>
      </c>
      <c r="G510" s="80">
        <v>40</v>
      </c>
      <c r="H510" s="78">
        <f t="shared" si="82"/>
        <v>85</v>
      </c>
      <c r="I510" s="78">
        <f t="shared" si="81"/>
        <v>0</v>
      </c>
      <c r="J510" s="80">
        <v>100</v>
      </c>
      <c r="K510" s="80">
        <v>300</v>
      </c>
      <c r="L510" s="78">
        <f t="shared" si="74"/>
        <v>1274</v>
      </c>
      <c r="M510" s="88">
        <v>600</v>
      </c>
      <c r="N510" s="78">
        <f>30</f>
        <v>30</v>
      </c>
      <c r="O510" s="80">
        <v>240</v>
      </c>
      <c r="P510" s="80">
        <v>160</v>
      </c>
      <c r="Q510" s="80">
        <f t="shared" si="75"/>
        <v>195</v>
      </c>
      <c r="R510" s="80">
        <f t="shared" si="76"/>
        <v>100</v>
      </c>
      <c r="S510" s="78">
        <f t="shared" si="77"/>
        <v>695</v>
      </c>
      <c r="T510" s="78">
        <f>0</f>
        <v>0</v>
      </c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</row>
    <row r="511" spans="1:30" ht="15.75" x14ac:dyDescent="0.25">
      <c r="A511" s="14">
        <v>56492</v>
      </c>
      <c r="B511" s="90">
        <v>31</v>
      </c>
      <c r="C511" s="78">
        <f>194.205</f>
        <v>194.20500000000001</v>
      </c>
      <c r="D511" s="78">
        <f>267.466</f>
        <v>267.46600000000001</v>
      </c>
      <c r="E511" s="86">
        <f>133.845</f>
        <v>133.845</v>
      </c>
      <c r="F511" s="78">
        <f>278.484-40-25-60</f>
        <v>153.48399999999998</v>
      </c>
      <c r="G511" s="80">
        <v>40</v>
      </c>
      <c r="H511" s="78">
        <f t="shared" si="82"/>
        <v>85</v>
      </c>
      <c r="I511" s="78">
        <f t="shared" si="81"/>
        <v>0</v>
      </c>
      <c r="J511" s="80">
        <v>100</v>
      </c>
      <c r="K511" s="80">
        <v>300</v>
      </c>
      <c r="L511" s="78">
        <f t="shared" si="74"/>
        <v>1274</v>
      </c>
      <c r="M511" s="88">
        <v>600</v>
      </c>
      <c r="N511" s="78">
        <f>30</f>
        <v>30</v>
      </c>
      <c r="O511" s="80">
        <v>240</v>
      </c>
      <c r="P511" s="80">
        <v>160</v>
      </c>
      <c r="Q511" s="80">
        <f t="shared" si="75"/>
        <v>195</v>
      </c>
      <c r="R511" s="80">
        <f t="shared" si="76"/>
        <v>100</v>
      </c>
      <c r="S511" s="78">
        <f t="shared" si="77"/>
        <v>695</v>
      </c>
      <c r="T511" s="78">
        <f>0</f>
        <v>0</v>
      </c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</row>
    <row r="512" spans="1:30" ht="15.75" x14ac:dyDescent="0.25">
      <c r="A512" s="14">
        <v>56522</v>
      </c>
      <c r="B512" s="90">
        <v>30</v>
      </c>
      <c r="C512" s="78">
        <f>194.205</f>
        <v>194.20500000000001</v>
      </c>
      <c r="D512" s="78">
        <f>267.466</f>
        <v>267.46600000000001</v>
      </c>
      <c r="E512" s="86">
        <f>133.845</f>
        <v>133.845</v>
      </c>
      <c r="F512" s="78">
        <f>278.484-40-25-60</f>
        <v>153.48399999999998</v>
      </c>
      <c r="G512" s="80">
        <v>40</v>
      </c>
      <c r="H512" s="78">
        <f t="shared" si="82"/>
        <v>85</v>
      </c>
      <c r="I512" s="78">
        <f t="shared" si="81"/>
        <v>0</v>
      </c>
      <c r="J512" s="80">
        <v>100</v>
      </c>
      <c r="K512" s="80">
        <v>300</v>
      </c>
      <c r="L512" s="78">
        <f t="shared" si="74"/>
        <v>1274</v>
      </c>
      <c r="M512" s="88">
        <v>600</v>
      </c>
      <c r="N512" s="78">
        <f>30</f>
        <v>30</v>
      </c>
      <c r="O512" s="80">
        <v>240</v>
      </c>
      <c r="P512" s="80">
        <v>160</v>
      </c>
      <c r="Q512" s="80">
        <f t="shared" si="75"/>
        <v>195</v>
      </c>
      <c r="R512" s="80">
        <f t="shared" si="76"/>
        <v>100</v>
      </c>
      <c r="S512" s="78">
        <f t="shared" si="77"/>
        <v>695</v>
      </c>
      <c r="T512" s="78">
        <f>0</f>
        <v>0</v>
      </c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</row>
    <row r="513" spans="1:30" ht="15.75" x14ac:dyDescent="0.25">
      <c r="A513" s="14">
        <v>56553</v>
      </c>
      <c r="B513" s="90">
        <v>31</v>
      </c>
      <c r="C513" s="78">
        <f>131.881</f>
        <v>131.881</v>
      </c>
      <c r="D513" s="78">
        <f>277.167</f>
        <v>277.16699999999997</v>
      </c>
      <c r="E513" s="86">
        <f>79.08</f>
        <v>79.08</v>
      </c>
      <c r="F513" s="78">
        <f>350.872-40-25-60</f>
        <v>225.87200000000001</v>
      </c>
      <c r="G513" s="80">
        <v>40</v>
      </c>
      <c r="H513" s="78">
        <f t="shared" si="82"/>
        <v>85</v>
      </c>
      <c r="I513" s="78">
        <f t="shared" si="81"/>
        <v>0</v>
      </c>
      <c r="J513" s="80">
        <v>100</v>
      </c>
      <c r="K513" s="80">
        <v>300</v>
      </c>
      <c r="L513" s="78">
        <f t="shared" si="74"/>
        <v>1239</v>
      </c>
      <c r="M513" s="88">
        <v>600</v>
      </c>
      <c r="N513" s="78">
        <f>75</f>
        <v>75</v>
      </c>
      <c r="O513" s="80">
        <v>240</v>
      </c>
      <c r="P513" s="80">
        <v>160</v>
      </c>
      <c r="Q513" s="80">
        <f t="shared" si="75"/>
        <v>195</v>
      </c>
      <c r="R513" s="80">
        <f t="shared" si="76"/>
        <v>100</v>
      </c>
      <c r="S513" s="78">
        <f t="shared" si="77"/>
        <v>695</v>
      </c>
      <c r="T513" s="78">
        <f>0</f>
        <v>0</v>
      </c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</row>
    <row r="514" spans="1:30" ht="15.75" x14ac:dyDescent="0.25">
      <c r="A514" s="14">
        <v>56583</v>
      </c>
      <c r="B514" s="90">
        <v>30</v>
      </c>
      <c r="C514" s="78">
        <f>122.58</f>
        <v>122.58</v>
      </c>
      <c r="D514" s="78">
        <f>297.941</f>
        <v>297.94099999999997</v>
      </c>
      <c r="E514" s="86">
        <f>89.177</f>
        <v>89.177000000000007</v>
      </c>
      <c r="F514" s="78">
        <f>240.302-40-60</f>
        <v>140.30199999999999</v>
      </c>
      <c r="G514" s="80">
        <v>40</v>
      </c>
      <c r="H514" s="78">
        <v>60</v>
      </c>
      <c r="I514" s="78">
        <f t="shared" si="81"/>
        <v>0</v>
      </c>
      <c r="J514" s="80">
        <v>100</v>
      </c>
      <c r="K514" s="80">
        <v>300</v>
      </c>
      <c r="L514" s="78">
        <f t="shared" si="74"/>
        <v>1150</v>
      </c>
      <c r="M514" s="88">
        <v>600</v>
      </c>
      <c r="N514" s="78">
        <f>100</f>
        <v>100</v>
      </c>
      <c r="O514" s="80">
        <v>240</v>
      </c>
      <c r="P514" s="80">
        <v>40</v>
      </c>
      <c r="Q514" s="80">
        <f t="shared" si="75"/>
        <v>315</v>
      </c>
      <c r="R514" s="80">
        <f t="shared" si="76"/>
        <v>100</v>
      </c>
      <c r="S514" s="78">
        <f t="shared" si="77"/>
        <v>695</v>
      </c>
      <c r="T514" s="78">
        <f>50</f>
        <v>50</v>
      </c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</row>
    <row r="515" spans="1:30" ht="15.75" x14ac:dyDescent="0.25">
      <c r="A515" s="14">
        <v>56614</v>
      </c>
      <c r="B515" s="90">
        <v>31</v>
      </c>
      <c r="C515" s="78">
        <f>122.58</f>
        <v>122.58</v>
      </c>
      <c r="D515" s="78">
        <f>297.941</f>
        <v>297.94099999999997</v>
      </c>
      <c r="E515" s="86">
        <f>89.177</f>
        <v>89.177000000000007</v>
      </c>
      <c r="F515" s="78">
        <f>240.302-40-60</f>
        <v>140.30199999999999</v>
      </c>
      <c r="G515" s="80">
        <v>40</v>
      </c>
      <c r="H515" s="78">
        <v>60</v>
      </c>
      <c r="I515" s="78">
        <f t="shared" si="81"/>
        <v>0</v>
      </c>
      <c r="J515" s="80">
        <v>100</v>
      </c>
      <c r="K515" s="80">
        <v>300</v>
      </c>
      <c r="L515" s="78">
        <f t="shared" si="74"/>
        <v>1150</v>
      </c>
      <c r="M515" s="88">
        <v>600</v>
      </c>
      <c r="N515" s="78">
        <f>100</f>
        <v>100</v>
      </c>
      <c r="O515" s="80">
        <v>240</v>
      </c>
      <c r="P515" s="80">
        <v>40</v>
      </c>
      <c r="Q515" s="80">
        <f t="shared" si="75"/>
        <v>315</v>
      </c>
      <c r="R515" s="80">
        <f t="shared" si="76"/>
        <v>100</v>
      </c>
      <c r="S515" s="78">
        <f t="shared" si="77"/>
        <v>695</v>
      </c>
      <c r="T515" s="78">
        <f>50</f>
        <v>50</v>
      </c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</row>
    <row r="516" spans="1:30" ht="15.75" x14ac:dyDescent="0.25">
      <c r="A516" s="13">
        <v>56645</v>
      </c>
      <c r="B516" s="89">
        <v>31</v>
      </c>
      <c r="C516" s="78">
        <f>122.58</f>
        <v>122.58</v>
      </c>
      <c r="D516" s="78">
        <f>297.941</f>
        <v>297.94099999999997</v>
      </c>
      <c r="E516" s="86">
        <f>89.177</f>
        <v>89.177000000000007</v>
      </c>
      <c r="F516" s="78">
        <f>240.302-40-60</f>
        <v>140.30199999999999</v>
      </c>
      <c r="G516" s="80">
        <v>40</v>
      </c>
      <c r="H516" s="78">
        <v>60</v>
      </c>
      <c r="I516" s="78">
        <f t="shared" si="81"/>
        <v>0</v>
      </c>
      <c r="J516" s="80">
        <v>100</v>
      </c>
      <c r="K516" s="80">
        <v>300</v>
      </c>
      <c r="L516" s="78">
        <f t="shared" si="74"/>
        <v>1150</v>
      </c>
      <c r="M516" s="88">
        <v>600</v>
      </c>
      <c r="N516" s="78">
        <f>100</f>
        <v>100</v>
      </c>
      <c r="O516" s="80">
        <v>240</v>
      </c>
      <c r="P516" s="80">
        <v>40</v>
      </c>
      <c r="Q516" s="80">
        <f t="shared" si="75"/>
        <v>315</v>
      </c>
      <c r="R516" s="80">
        <f t="shared" si="76"/>
        <v>100</v>
      </c>
      <c r="S516" s="78">
        <f t="shared" si="77"/>
        <v>695</v>
      </c>
      <c r="T516" s="78">
        <f>50</f>
        <v>50</v>
      </c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</row>
    <row r="517" spans="1:30" ht="15.75" x14ac:dyDescent="0.25">
      <c r="A517" s="13">
        <v>56673</v>
      </c>
      <c r="B517" s="89">
        <v>28</v>
      </c>
      <c r="C517" s="78">
        <f>122.58</f>
        <v>122.58</v>
      </c>
      <c r="D517" s="78">
        <f>297.941</f>
        <v>297.94099999999997</v>
      </c>
      <c r="E517" s="86">
        <f>89.177</f>
        <v>89.177000000000007</v>
      </c>
      <c r="F517" s="78">
        <f>240.302-40-60</f>
        <v>140.30199999999999</v>
      </c>
      <c r="G517" s="80">
        <v>40</v>
      </c>
      <c r="H517" s="78">
        <v>60</v>
      </c>
      <c r="I517" s="78">
        <f t="shared" si="81"/>
        <v>0</v>
      </c>
      <c r="J517" s="80">
        <v>100</v>
      </c>
      <c r="K517" s="80">
        <v>300</v>
      </c>
      <c r="L517" s="78">
        <f t="shared" si="74"/>
        <v>1150</v>
      </c>
      <c r="M517" s="88">
        <v>600</v>
      </c>
      <c r="N517" s="78">
        <f>100</f>
        <v>100</v>
      </c>
      <c r="O517" s="80">
        <v>240</v>
      </c>
      <c r="P517" s="80">
        <v>40</v>
      </c>
      <c r="Q517" s="80">
        <f t="shared" si="75"/>
        <v>315</v>
      </c>
      <c r="R517" s="80">
        <f t="shared" si="76"/>
        <v>100</v>
      </c>
      <c r="S517" s="78">
        <f t="shared" si="77"/>
        <v>695</v>
      </c>
      <c r="T517" s="78">
        <f>50</f>
        <v>50</v>
      </c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</row>
    <row r="518" spans="1:30" ht="15.75" x14ac:dyDescent="0.25">
      <c r="A518" s="13">
        <v>56704</v>
      </c>
      <c r="B518" s="89">
        <v>31</v>
      </c>
      <c r="C518" s="78">
        <f>122.58</f>
        <v>122.58</v>
      </c>
      <c r="D518" s="78">
        <f>297.941</f>
        <v>297.94099999999997</v>
      </c>
      <c r="E518" s="86">
        <f>89.177</f>
        <v>89.177000000000007</v>
      </c>
      <c r="F518" s="78">
        <f>240.302-40-60</f>
        <v>140.30199999999999</v>
      </c>
      <c r="G518" s="80">
        <v>40</v>
      </c>
      <c r="H518" s="78">
        <v>60</v>
      </c>
      <c r="I518" s="78">
        <f t="shared" si="81"/>
        <v>0</v>
      </c>
      <c r="J518" s="80">
        <v>100</v>
      </c>
      <c r="K518" s="80">
        <v>300</v>
      </c>
      <c r="L518" s="78">
        <f t="shared" si="74"/>
        <v>1150</v>
      </c>
      <c r="M518" s="88">
        <v>600</v>
      </c>
      <c r="N518" s="78">
        <f>100</f>
        <v>100</v>
      </c>
      <c r="O518" s="80">
        <v>240</v>
      </c>
      <c r="P518" s="80">
        <v>40</v>
      </c>
      <c r="Q518" s="80">
        <f t="shared" si="75"/>
        <v>315</v>
      </c>
      <c r="R518" s="80">
        <f t="shared" si="76"/>
        <v>100</v>
      </c>
      <c r="S518" s="78">
        <f t="shared" si="77"/>
        <v>695</v>
      </c>
      <c r="T518" s="78">
        <f>50</f>
        <v>50</v>
      </c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</row>
    <row r="519" spans="1:30" ht="15.75" x14ac:dyDescent="0.25">
      <c r="A519" s="13">
        <v>56734</v>
      </c>
      <c r="B519" s="89">
        <v>30</v>
      </c>
      <c r="C519" s="78">
        <f>141.293</f>
        <v>141.29300000000001</v>
      </c>
      <c r="D519" s="78">
        <f>267.993</f>
        <v>267.99299999999999</v>
      </c>
      <c r="E519" s="86">
        <f>115.016</f>
        <v>115.01600000000001</v>
      </c>
      <c r="F519" s="78">
        <f>314.698-40-25-60</f>
        <v>189.69799999999998</v>
      </c>
      <c r="G519" s="80">
        <v>40</v>
      </c>
      <c r="H519" s="78">
        <f t="shared" ref="H519:H525" si="83">25+60</f>
        <v>85</v>
      </c>
      <c r="I519" s="78">
        <f t="shared" si="81"/>
        <v>0</v>
      </c>
      <c r="J519" s="80">
        <v>100</v>
      </c>
      <c r="K519" s="80">
        <v>300</v>
      </c>
      <c r="L519" s="78">
        <f t="shared" si="74"/>
        <v>1239</v>
      </c>
      <c r="M519" s="88">
        <v>600</v>
      </c>
      <c r="N519" s="78">
        <f>100</f>
        <v>100</v>
      </c>
      <c r="O519" s="80">
        <v>240</v>
      </c>
      <c r="P519" s="80">
        <v>160</v>
      </c>
      <c r="Q519" s="80">
        <f t="shared" si="75"/>
        <v>195</v>
      </c>
      <c r="R519" s="80">
        <f t="shared" si="76"/>
        <v>100</v>
      </c>
      <c r="S519" s="78">
        <f t="shared" si="77"/>
        <v>695</v>
      </c>
      <c r="T519" s="78">
        <f>50</f>
        <v>50</v>
      </c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</row>
    <row r="520" spans="1:30" ht="15.75" x14ac:dyDescent="0.25">
      <c r="A520" s="13">
        <v>56765</v>
      </c>
      <c r="B520" s="89">
        <v>31</v>
      </c>
      <c r="C520" s="78">
        <f>194.205</f>
        <v>194.20500000000001</v>
      </c>
      <c r="D520" s="78">
        <f>267.466</f>
        <v>267.46600000000001</v>
      </c>
      <c r="E520" s="86">
        <f>133.845</f>
        <v>133.845</v>
      </c>
      <c r="F520" s="78">
        <f>278.484-40-25-60</f>
        <v>153.48399999999998</v>
      </c>
      <c r="G520" s="80">
        <v>40</v>
      </c>
      <c r="H520" s="78">
        <f t="shared" si="83"/>
        <v>85</v>
      </c>
      <c r="I520" s="78">
        <f t="shared" si="81"/>
        <v>0</v>
      </c>
      <c r="J520" s="80">
        <v>100</v>
      </c>
      <c r="K520" s="80">
        <v>300</v>
      </c>
      <c r="L520" s="78">
        <f t="shared" si="74"/>
        <v>1274</v>
      </c>
      <c r="M520" s="88">
        <v>600</v>
      </c>
      <c r="N520" s="78">
        <f>75</f>
        <v>75</v>
      </c>
      <c r="O520" s="80">
        <v>240</v>
      </c>
      <c r="P520" s="80">
        <v>160</v>
      </c>
      <c r="Q520" s="80">
        <f t="shared" si="75"/>
        <v>195</v>
      </c>
      <c r="R520" s="80">
        <f t="shared" si="76"/>
        <v>100</v>
      </c>
      <c r="S520" s="78">
        <f t="shared" si="77"/>
        <v>695</v>
      </c>
      <c r="T520" s="78">
        <f>50</f>
        <v>50</v>
      </c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</row>
    <row r="521" spans="1:30" ht="15.75" x14ac:dyDescent="0.25">
      <c r="A521" s="13">
        <v>56795</v>
      </c>
      <c r="B521" s="89">
        <v>30</v>
      </c>
      <c r="C521" s="78">
        <f>194.205</f>
        <v>194.20500000000001</v>
      </c>
      <c r="D521" s="78">
        <f>267.466</f>
        <v>267.46600000000001</v>
      </c>
      <c r="E521" s="86">
        <f>133.845</f>
        <v>133.845</v>
      </c>
      <c r="F521" s="78">
        <f>278.484-40-25-60</f>
        <v>153.48399999999998</v>
      </c>
      <c r="G521" s="80">
        <v>40</v>
      </c>
      <c r="H521" s="78">
        <f t="shared" si="83"/>
        <v>85</v>
      </c>
      <c r="I521" s="78">
        <f t="shared" si="81"/>
        <v>0</v>
      </c>
      <c r="J521" s="80">
        <v>100</v>
      </c>
      <c r="K521" s="80">
        <v>300</v>
      </c>
      <c r="L521" s="78">
        <f t="shared" si="74"/>
        <v>1274</v>
      </c>
      <c r="M521" s="88">
        <v>600</v>
      </c>
      <c r="N521" s="78">
        <f>30</f>
        <v>30</v>
      </c>
      <c r="O521" s="80">
        <v>240</v>
      </c>
      <c r="P521" s="80">
        <v>160</v>
      </c>
      <c r="Q521" s="80">
        <f t="shared" si="75"/>
        <v>195</v>
      </c>
      <c r="R521" s="80">
        <f t="shared" si="76"/>
        <v>100</v>
      </c>
      <c r="S521" s="78">
        <f t="shared" si="77"/>
        <v>695</v>
      </c>
      <c r="T521" s="78">
        <f>50</f>
        <v>50</v>
      </c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</row>
    <row r="522" spans="1:30" ht="15.75" x14ac:dyDescent="0.25">
      <c r="A522" s="13">
        <v>56826</v>
      </c>
      <c r="B522" s="89">
        <v>31</v>
      </c>
      <c r="C522" s="78">
        <f>194.205</f>
        <v>194.20500000000001</v>
      </c>
      <c r="D522" s="78">
        <f>267.466</f>
        <v>267.46600000000001</v>
      </c>
      <c r="E522" s="86">
        <f>133.845</f>
        <v>133.845</v>
      </c>
      <c r="F522" s="78">
        <f>278.484-40-25-60</f>
        <v>153.48399999999998</v>
      </c>
      <c r="G522" s="80">
        <v>40</v>
      </c>
      <c r="H522" s="78">
        <f t="shared" si="83"/>
        <v>85</v>
      </c>
      <c r="I522" s="78">
        <f t="shared" si="81"/>
        <v>0</v>
      </c>
      <c r="J522" s="80">
        <v>100</v>
      </c>
      <c r="K522" s="80">
        <v>300</v>
      </c>
      <c r="L522" s="78">
        <f t="shared" si="74"/>
        <v>1274</v>
      </c>
      <c r="M522" s="88">
        <v>600</v>
      </c>
      <c r="N522" s="78">
        <f>30</f>
        <v>30</v>
      </c>
      <c r="O522" s="80">
        <v>240</v>
      </c>
      <c r="P522" s="80">
        <v>160</v>
      </c>
      <c r="Q522" s="80">
        <f t="shared" si="75"/>
        <v>195</v>
      </c>
      <c r="R522" s="80">
        <f t="shared" si="76"/>
        <v>100</v>
      </c>
      <c r="S522" s="78">
        <f t="shared" si="77"/>
        <v>695</v>
      </c>
      <c r="T522" s="78">
        <f>0</f>
        <v>0</v>
      </c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</row>
    <row r="523" spans="1:30" ht="15.75" x14ac:dyDescent="0.25">
      <c r="A523" s="13">
        <v>56857</v>
      </c>
      <c r="B523" s="89">
        <v>31</v>
      </c>
      <c r="C523" s="78">
        <f>194.205</f>
        <v>194.20500000000001</v>
      </c>
      <c r="D523" s="78">
        <f>267.466</f>
        <v>267.46600000000001</v>
      </c>
      <c r="E523" s="86">
        <f>133.845</f>
        <v>133.845</v>
      </c>
      <c r="F523" s="78">
        <f>278.484-40-25-60</f>
        <v>153.48399999999998</v>
      </c>
      <c r="G523" s="80">
        <v>40</v>
      </c>
      <c r="H523" s="78">
        <f t="shared" si="83"/>
        <v>85</v>
      </c>
      <c r="I523" s="78">
        <f t="shared" si="81"/>
        <v>0</v>
      </c>
      <c r="J523" s="80">
        <v>100</v>
      </c>
      <c r="K523" s="80">
        <v>300</v>
      </c>
      <c r="L523" s="78">
        <f t="shared" si="74"/>
        <v>1274</v>
      </c>
      <c r="M523" s="88">
        <v>600</v>
      </c>
      <c r="N523" s="78">
        <f>30</f>
        <v>30</v>
      </c>
      <c r="O523" s="80">
        <v>240</v>
      </c>
      <c r="P523" s="80">
        <v>160</v>
      </c>
      <c r="Q523" s="80">
        <f t="shared" si="75"/>
        <v>195</v>
      </c>
      <c r="R523" s="80">
        <f t="shared" si="76"/>
        <v>100</v>
      </c>
      <c r="S523" s="78">
        <f t="shared" si="77"/>
        <v>695</v>
      </c>
      <c r="T523" s="78">
        <f>0</f>
        <v>0</v>
      </c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</row>
    <row r="524" spans="1:30" ht="15.75" x14ac:dyDescent="0.25">
      <c r="A524" s="13">
        <v>56887</v>
      </c>
      <c r="B524" s="89">
        <v>30</v>
      </c>
      <c r="C524" s="78">
        <f>194.205</f>
        <v>194.20500000000001</v>
      </c>
      <c r="D524" s="78">
        <f>267.466</f>
        <v>267.46600000000001</v>
      </c>
      <c r="E524" s="86">
        <f>133.845</f>
        <v>133.845</v>
      </c>
      <c r="F524" s="78">
        <f>278.484-40-25-60</f>
        <v>153.48399999999998</v>
      </c>
      <c r="G524" s="80">
        <v>40</v>
      </c>
      <c r="H524" s="78">
        <f t="shared" si="83"/>
        <v>85</v>
      </c>
      <c r="I524" s="78">
        <f t="shared" si="81"/>
        <v>0</v>
      </c>
      <c r="J524" s="80">
        <v>100</v>
      </c>
      <c r="K524" s="80">
        <v>300</v>
      </c>
      <c r="L524" s="78">
        <f t="shared" si="74"/>
        <v>1274</v>
      </c>
      <c r="M524" s="88">
        <v>600</v>
      </c>
      <c r="N524" s="78">
        <f>30</f>
        <v>30</v>
      </c>
      <c r="O524" s="80">
        <v>240</v>
      </c>
      <c r="P524" s="80">
        <v>160</v>
      </c>
      <c r="Q524" s="80">
        <f t="shared" si="75"/>
        <v>195</v>
      </c>
      <c r="R524" s="80">
        <f t="shared" si="76"/>
        <v>100</v>
      </c>
      <c r="S524" s="78">
        <f t="shared" si="77"/>
        <v>695</v>
      </c>
      <c r="T524" s="78">
        <f>0</f>
        <v>0</v>
      </c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</row>
    <row r="525" spans="1:30" ht="15.75" x14ac:dyDescent="0.25">
      <c r="A525" s="13">
        <v>56918</v>
      </c>
      <c r="B525" s="89">
        <v>31</v>
      </c>
      <c r="C525" s="78">
        <f>131.881</f>
        <v>131.881</v>
      </c>
      <c r="D525" s="78">
        <f>277.167</f>
        <v>277.16699999999997</v>
      </c>
      <c r="E525" s="86">
        <f>79.08</f>
        <v>79.08</v>
      </c>
      <c r="F525" s="78">
        <f>350.872-40-25-60</f>
        <v>225.87200000000001</v>
      </c>
      <c r="G525" s="80">
        <v>40</v>
      </c>
      <c r="H525" s="78">
        <f t="shared" si="83"/>
        <v>85</v>
      </c>
      <c r="I525" s="78">
        <f t="shared" si="81"/>
        <v>0</v>
      </c>
      <c r="J525" s="80">
        <v>100</v>
      </c>
      <c r="K525" s="80">
        <v>300</v>
      </c>
      <c r="L525" s="78">
        <f t="shared" si="74"/>
        <v>1239</v>
      </c>
      <c r="M525" s="88">
        <v>600</v>
      </c>
      <c r="N525" s="78">
        <f>75</f>
        <v>75</v>
      </c>
      <c r="O525" s="80">
        <v>240</v>
      </c>
      <c r="P525" s="80">
        <v>160</v>
      </c>
      <c r="Q525" s="80">
        <f t="shared" si="75"/>
        <v>195</v>
      </c>
      <c r="R525" s="80">
        <f t="shared" si="76"/>
        <v>100</v>
      </c>
      <c r="S525" s="78">
        <f t="shared" si="77"/>
        <v>695</v>
      </c>
      <c r="T525" s="78">
        <f>0</f>
        <v>0</v>
      </c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</row>
    <row r="526" spans="1:30" ht="15.75" x14ac:dyDescent="0.25">
      <c r="A526" s="13">
        <v>56948</v>
      </c>
      <c r="B526" s="89">
        <v>30</v>
      </c>
      <c r="C526" s="78">
        <f>122.58</f>
        <v>122.58</v>
      </c>
      <c r="D526" s="78">
        <f>297.941</f>
        <v>297.94099999999997</v>
      </c>
      <c r="E526" s="86">
        <f>89.177</f>
        <v>89.177000000000007</v>
      </c>
      <c r="F526" s="78">
        <f>240.302-40-60</f>
        <v>140.30199999999999</v>
      </c>
      <c r="G526" s="80">
        <v>40</v>
      </c>
      <c r="H526" s="78">
        <v>60</v>
      </c>
      <c r="I526" s="78">
        <f t="shared" si="81"/>
        <v>0</v>
      </c>
      <c r="J526" s="80">
        <v>100</v>
      </c>
      <c r="K526" s="80">
        <v>300</v>
      </c>
      <c r="L526" s="78">
        <f t="shared" ref="L526:L589" si="84">SUM(C526:K526)</f>
        <v>1150</v>
      </c>
      <c r="M526" s="88">
        <v>600</v>
      </c>
      <c r="N526" s="78">
        <f>100</f>
        <v>100</v>
      </c>
      <c r="O526" s="80">
        <v>240</v>
      </c>
      <c r="P526" s="80">
        <v>40</v>
      </c>
      <c r="Q526" s="80">
        <f t="shared" ref="Q526:Q589" si="85">695-R526-O526-P526</f>
        <v>315</v>
      </c>
      <c r="R526" s="80">
        <f t="shared" ref="R526:R589" si="86">200-J526</f>
        <v>100</v>
      </c>
      <c r="S526" s="78">
        <f t="shared" ref="S526:S589" si="87">SUM(O526:R526)</f>
        <v>695</v>
      </c>
      <c r="T526" s="78">
        <f>50</f>
        <v>50</v>
      </c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</row>
    <row r="527" spans="1:30" ht="15.75" x14ac:dyDescent="0.25">
      <c r="A527" s="13">
        <v>56979</v>
      </c>
      <c r="B527" s="89">
        <v>31</v>
      </c>
      <c r="C527" s="78">
        <f>122.58</f>
        <v>122.58</v>
      </c>
      <c r="D527" s="78">
        <f>297.941</f>
        <v>297.94099999999997</v>
      </c>
      <c r="E527" s="86">
        <f>89.177</f>
        <v>89.177000000000007</v>
      </c>
      <c r="F527" s="78">
        <f>240.302-40-60</f>
        <v>140.30199999999999</v>
      </c>
      <c r="G527" s="80">
        <v>40</v>
      </c>
      <c r="H527" s="78">
        <v>60</v>
      </c>
      <c r="I527" s="78">
        <f t="shared" si="81"/>
        <v>0</v>
      </c>
      <c r="J527" s="80">
        <v>100</v>
      </c>
      <c r="K527" s="80">
        <v>300</v>
      </c>
      <c r="L527" s="78">
        <f t="shared" si="84"/>
        <v>1150</v>
      </c>
      <c r="M527" s="88">
        <v>600</v>
      </c>
      <c r="N527" s="78">
        <f>100</f>
        <v>100</v>
      </c>
      <c r="O527" s="80">
        <v>240</v>
      </c>
      <c r="P527" s="80">
        <v>40</v>
      </c>
      <c r="Q527" s="80">
        <f t="shared" si="85"/>
        <v>315</v>
      </c>
      <c r="R527" s="80">
        <f t="shared" si="86"/>
        <v>100</v>
      </c>
      <c r="S527" s="78">
        <f t="shared" si="87"/>
        <v>695</v>
      </c>
      <c r="T527" s="78">
        <f>50</f>
        <v>50</v>
      </c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</row>
    <row r="528" spans="1:30" ht="15.75" x14ac:dyDescent="0.25">
      <c r="A528" s="13">
        <v>57010</v>
      </c>
      <c r="B528" s="89">
        <v>31</v>
      </c>
      <c r="C528" s="78">
        <f>122.58</f>
        <v>122.58</v>
      </c>
      <c r="D528" s="78">
        <f>297.941</f>
        <v>297.94099999999997</v>
      </c>
      <c r="E528" s="86">
        <f>89.177</f>
        <v>89.177000000000007</v>
      </c>
      <c r="F528" s="78">
        <f>240.302-40-60</f>
        <v>140.30199999999999</v>
      </c>
      <c r="G528" s="80">
        <v>40</v>
      </c>
      <c r="H528" s="78">
        <v>60</v>
      </c>
      <c r="I528" s="78">
        <f t="shared" si="81"/>
        <v>0</v>
      </c>
      <c r="J528" s="80">
        <v>100</v>
      </c>
      <c r="K528" s="80">
        <v>300</v>
      </c>
      <c r="L528" s="78">
        <f t="shared" si="84"/>
        <v>1150</v>
      </c>
      <c r="M528" s="88">
        <v>600</v>
      </c>
      <c r="N528" s="78">
        <f>100</f>
        <v>100</v>
      </c>
      <c r="O528" s="80">
        <v>240</v>
      </c>
      <c r="P528" s="80">
        <v>40</v>
      </c>
      <c r="Q528" s="80">
        <f t="shared" si="85"/>
        <v>315</v>
      </c>
      <c r="R528" s="80">
        <f t="shared" si="86"/>
        <v>100</v>
      </c>
      <c r="S528" s="78">
        <f t="shared" si="87"/>
        <v>695</v>
      </c>
      <c r="T528" s="78">
        <f>50</f>
        <v>50</v>
      </c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</row>
    <row r="529" spans="1:30" ht="15.75" x14ac:dyDescent="0.25">
      <c r="A529" s="13">
        <v>57038</v>
      </c>
      <c r="B529" s="89">
        <v>29</v>
      </c>
      <c r="C529" s="78">
        <f>122.58</f>
        <v>122.58</v>
      </c>
      <c r="D529" s="78">
        <f>297.941</f>
        <v>297.94099999999997</v>
      </c>
      <c r="E529" s="86">
        <f>89.177</f>
        <v>89.177000000000007</v>
      </c>
      <c r="F529" s="78">
        <f>240.302-40-60</f>
        <v>140.30199999999999</v>
      </c>
      <c r="G529" s="80">
        <v>40</v>
      </c>
      <c r="H529" s="78">
        <v>60</v>
      </c>
      <c r="I529" s="78">
        <f t="shared" si="81"/>
        <v>0</v>
      </c>
      <c r="J529" s="80">
        <v>100</v>
      </c>
      <c r="K529" s="80">
        <v>300</v>
      </c>
      <c r="L529" s="78">
        <f t="shared" si="84"/>
        <v>1150</v>
      </c>
      <c r="M529" s="88">
        <v>600</v>
      </c>
      <c r="N529" s="78">
        <f>100</f>
        <v>100</v>
      </c>
      <c r="O529" s="80">
        <v>240</v>
      </c>
      <c r="P529" s="80">
        <v>40</v>
      </c>
      <c r="Q529" s="80">
        <f t="shared" si="85"/>
        <v>315</v>
      </c>
      <c r="R529" s="80">
        <f t="shared" si="86"/>
        <v>100</v>
      </c>
      <c r="S529" s="78">
        <f t="shared" si="87"/>
        <v>695</v>
      </c>
      <c r="T529" s="78">
        <f>50</f>
        <v>50</v>
      </c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</row>
    <row r="530" spans="1:30" ht="15.75" x14ac:dyDescent="0.25">
      <c r="A530" s="13">
        <v>57070</v>
      </c>
      <c r="B530" s="89">
        <v>31</v>
      </c>
      <c r="C530" s="78">
        <f>122.58</f>
        <v>122.58</v>
      </c>
      <c r="D530" s="78">
        <f>297.941</f>
        <v>297.94099999999997</v>
      </c>
      <c r="E530" s="86">
        <f>89.177</f>
        <v>89.177000000000007</v>
      </c>
      <c r="F530" s="78">
        <f>240.302-40-60</f>
        <v>140.30199999999999</v>
      </c>
      <c r="G530" s="80">
        <v>40</v>
      </c>
      <c r="H530" s="78">
        <v>60</v>
      </c>
      <c r="I530" s="78">
        <f t="shared" si="81"/>
        <v>0</v>
      </c>
      <c r="J530" s="80">
        <v>100</v>
      </c>
      <c r="K530" s="80">
        <v>300</v>
      </c>
      <c r="L530" s="78">
        <f t="shared" si="84"/>
        <v>1150</v>
      </c>
      <c r="M530" s="88">
        <v>600</v>
      </c>
      <c r="N530" s="78">
        <f>100</f>
        <v>100</v>
      </c>
      <c r="O530" s="80">
        <v>240</v>
      </c>
      <c r="P530" s="80">
        <v>40</v>
      </c>
      <c r="Q530" s="80">
        <f t="shared" si="85"/>
        <v>315</v>
      </c>
      <c r="R530" s="80">
        <f t="shared" si="86"/>
        <v>100</v>
      </c>
      <c r="S530" s="78">
        <f t="shared" si="87"/>
        <v>695</v>
      </c>
      <c r="T530" s="78">
        <f>50</f>
        <v>50</v>
      </c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</row>
    <row r="531" spans="1:30" ht="15.75" x14ac:dyDescent="0.25">
      <c r="A531" s="13">
        <v>57100</v>
      </c>
      <c r="B531" s="89">
        <v>30</v>
      </c>
      <c r="C531" s="78">
        <f>141.293</f>
        <v>141.29300000000001</v>
      </c>
      <c r="D531" s="78">
        <f>267.993</f>
        <v>267.99299999999999</v>
      </c>
      <c r="E531" s="86">
        <f>115.016</f>
        <v>115.01600000000001</v>
      </c>
      <c r="F531" s="78">
        <f>314.698-40-25-60</f>
        <v>189.69799999999998</v>
      </c>
      <c r="G531" s="80">
        <v>40</v>
      </c>
      <c r="H531" s="78">
        <f t="shared" ref="H531:H537" si="88">25+60</f>
        <v>85</v>
      </c>
      <c r="I531" s="78">
        <f t="shared" si="81"/>
        <v>0</v>
      </c>
      <c r="J531" s="80">
        <v>100</v>
      </c>
      <c r="K531" s="80">
        <v>300</v>
      </c>
      <c r="L531" s="78">
        <f t="shared" si="84"/>
        <v>1239</v>
      </c>
      <c r="M531" s="88">
        <v>600</v>
      </c>
      <c r="N531" s="78">
        <f>100</f>
        <v>100</v>
      </c>
      <c r="O531" s="80">
        <v>240</v>
      </c>
      <c r="P531" s="80">
        <v>160</v>
      </c>
      <c r="Q531" s="80">
        <f t="shared" si="85"/>
        <v>195</v>
      </c>
      <c r="R531" s="80">
        <f t="shared" si="86"/>
        <v>100</v>
      </c>
      <c r="S531" s="78">
        <f t="shared" si="87"/>
        <v>695</v>
      </c>
      <c r="T531" s="78">
        <f>50</f>
        <v>50</v>
      </c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</row>
    <row r="532" spans="1:30" ht="15.75" x14ac:dyDescent="0.25">
      <c r="A532" s="13">
        <v>57131</v>
      </c>
      <c r="B532" s="89">
        <v>31</v>
      </c>
      <c r="C532" s="78">
        <f>194.205</f>
        <v>194.20500000000001</v>
      </c>
      <c r="D532" s="78">
        <f>267.466</f>
        <v>267.46600000000001</v>
      </c>
      <c r="E532" s="86">
        <f>133.845</f>
        <v>133.845</v>
      </c>
      <c r="F532" s="78">
        <f>278.484-40-25-60</f>
        <v>153.48399999999998</v>
      </c>
      <c r="G532" s="80">
        <v>40</v>
      </c>
      <c r="H532" s="78">
        <f t="shared" si="88"/>
        <v>85</v>
      </c>
      <c r="I532" s="78">
        <f t="shared" si="81"/>
        <v>0</v>
      </c>
      <c r="J532" s="80">
        <v>100</v>
      </c>
      <c r="K532" s="80">
        <v>300</v>
      </c>
      <c r="L532" s="78">
        <f t="shared" si="84"/>
        <v>1274</v>
      </c>
      <c r="M532" s="88">
        <v>600</v>
      </c>
      <c r="N532" s="78">
        <f>75</f>
        <v>75</v>
      </c>
      <c r="O532" s="80">
        <v>240</v>
      </c>
      <c r="P532" s="80">
        <v>160</v>
      </c>
      <c r="Q532" s="80">
        <f t="shared" si="85"/>
        <v>195</v>
      </c>
      <c r="R532" s="80">
        <f t="shared" si="86"/>
        <v>100</v>
      </c>
      <c r="S532" s="78">
        <f t="shared" si="87"/>
        <v>695</v>
      </c>
      <c r="T532" s="78">
        <f>50</f>
        <v>50</v>
      </c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</row>
    <row r="533" spans="1:30" ht="15.75" x14ac:dyDescent="0.25">
      <c r="A533" s="13">
        <v>57161</v>
      </c>
      <c r="B533" s="89">
        <v>30</v>
      </c>
      <c r="C533" s="78">
        <f>194.205</f>
        <v>194.20500000000001</v>
      </c>
      <c r="D533" s="78">
        <f>267.466</f>
        <v>267.46600000000001</v>
      </c>
      <c r="E533" s="86">
        <f>133.845</f>
        <v>133.845</v>
      </c>
      <c r="F533" s="78">
        <f>278.484-40-25-60</f>
        <v>153.48399999999998</v>
      </c>
      <c r="G533" s="80">
        <v>40</v>
      </c>
      <c r="H533" s="78">
        <f t="shared" si="88"/>
        <v>85</v>
      </c>
      <c r="I533" s="78">
        <f t="shared" si="81"/>
        <v>0</v>
      </c>
      <c r="J533" s="80">
        <v>100</v>
      </c>
      <c r="K533" s="80">
        <v>300</v>
      </c>
      <c r="L533" s="78">
        <f t="shared" si="84"/>
        <v>1274</v>
      </c>
      <c r="M533" s="88">
        <v>600</v>
      </c>
      <c r="N533" s="78">
        <f>30</f>
        <v>30</v>
      </c>
      <c r="O533" s="80">
        <v>240</v>
      </c>
      <c r="P533" s="80">
        <v>160</v>
      </c>
      <c r="Q533" s="80">
        <f t="shared" si="85"/>
        <v>195</v>
      </c>
      <c r="R533" s="80">
        <f t="shared" si="86"/>
        <v>100</v>
      </c>
      <c r="S533" s="78">
        <f t="shared" si="87"/>
        <v>695</v>
      </c>
      <c r="T533" s="78">
        <f>50</f>
        <v>50</v>
      </c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</row>
    <row r="534" spans="1:30" ht="15.75" x14ac:dyDescent="0.25">
      <c r="A534" s="13">
        <v>57192</v>
      </c>
      <c r="B534" s="89">
        <v>31</v>
      </c>
      <c r="C534" s="78">
        <f>194.205</f>
        <v>194.20500000000001</v>
      </c>
      <c r="D534" s="78">
        <f>267.466</f>
        <v>267.46600000000001</v>
      </c>
      <c r="E534" s="86">
        <f>133.845</f>
        <v>133.845</v>
      </c>
      <c r="F534" s="78">
        <f>278.484-40-25-60</f>
        <v>153.48399999999998</v>
      </c>
      <c r="G534" s="80">
        <v>40</v>
      </c>
      <c r="H534" s="78">
        <f t="shared" si="88"/>
        <v>85</v>
      </c>
      <c r="I534" s="78">
        <f t="shared" si="81"/>
        <v>0</v>
      </c>
      <c r="J534" s="80">
        <v>100</v>
      </c>
      <c r="K534" s="80">
        <v>300</v>
      </c>
      <c r="L534" s="78">
        <f t="shared" si="84"/>
        <v>1274</v>
      </c>
      <c r="M534" s="88">
        <v>600</v>
      </c>
      <c r="N534" s="78">
        <f>30</f>
        <v>30</v>
      </c>
      <c r="O534" s="80">
        <v>240</v>
      </c>
      <c r="P534" s="80">
        <v>160</v>
      </c>
      <c r="Q534" s="80">
        <f t="shared" si="85"/>
        <v>195</v>
      </c>
      <c r="R534" s="80">
        <f t="shared" si="86"/>
        <v>100</v>
      </c>
      <c r="S534" s="78">
        <f t="shared" si="87"/>
        <v>695</v>
      </c>
      <c r="T534" s="78">
        <f>0</f>
        <v>0</v>
      </c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</row>
    <row r="535" spans="1:30" ht="15.75" x14ac:dyDescent="0.25">
      <c r="A535" s="13">
        <v>57223</v>
      </c>
      <c r="B535" s="89">
        <v>31</v>
      </c>
      <c r="C535" s="78">
        <f>194.205</f>
        <v>194.20500000000001</v>
      </c>
      <c r="D535" s="78">
        <f>267.466</f>
        <v>267.46600000000001</v>
      </c>
      <c r="E535" s="86">
        <f>133.845</f>
        <v>133.845</v>
      </c>
      <c r="F535" s="78">
        <f>278.484-40-25-60</f>
        <v>153.48399999999998</v>
      </c>
      <c r="G535" s="80">
        <v>40</v>
      </c>
      <c r="H535" s="78">
        <f t="shared" si="88"/>
        <v>85</v>
      </c>
      <c r="I535" s="78">
        <f t="shared" si="81"/>
        <v>0</v>
      </c>
      <c r="J535" s="80">
        <v>100</v>
      </c>
      <c r="K535" s="80">
        <v>300</v>
      </c>
      <c r="L535" s="78">
        <f t="shared" si="84"/>
        <v>1274</v>
      </c>
      <c r="M535" s="88">
        <v>600</v>
      </c>
      <c r="N535" s="78">
        <f>30</f>
        <v>30</v>
      </c>
      <c r="O535" s="80">
        <v>240</v>
      </c>
      <c r="P535" s="80">
        <v>160</v>
      </c>
      <c r="Q535" s="80">
        <f t="shared" si="85"/>
        <v>195</v>
      </c>
      <c r="R535" s="80">
        <f t="shared" si="86"/>
        <v>100</v>
      </c>
      <c r="S535" s="78">
        <f t="shared" si="87"/>
        <v>695</v>
      </c>
      <c r="T535" s="78">
        <f>0</f>
        <v>0</v>
      </c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</row>
    <row r="536" spans="1:30" ht="15.75" x14ac:dyDescent="0.25">
      <c r="A536" s="13">
        <v>57253</v>
      </c>
      <c r="B536" s="89">
        <v>30</v>
      </c>
      <c r="C536" s="78">
        <f>194.205</f>
        <v>194.20500000000001</v>
      </c>
      <c r="D536" s="78">
        <f>267.466</f>
        <v>267.46600000000001</v>
      </c>
      <c r="E536" s="86">
        <f>133.845</f>
        <v>133.845</v>
      </c>
      <c r="F536" s="78">
        <f>278.484-40-25-60</f>
        <v>153.48399999999998</v>
      </c>
      <c r="G536" s="80">
        <v>40</v>
      </c>
      <c r="H536" s="78">
        <f t="shared" si="88"/>
        <v>85</v>
      </c>
      <c r="I536" s="78">
        <f t="shared" si="81"/>
        <v>0</v>
      </c>
      <c r="J536" s="80">
        <v>100</v>
      </c>
      <c r="K536" s="80">
        <v>300</v>
      </c>
      <c r="L536" s="78">
        <f t="shared" si="84"/>
        <v>1274</v>
      </c>
      <c r="M536" s="88">
        <v>600</v>
      </c>
      <c r="N536" s="78">
        <f>30</f>
        <v>30</v>
      </c>
      <c r="O536" s="80">
        <v>240</v>
      </c>
      <c r="P536" s="80">
        <v>160</v>
      </c>
      <c r="Q536" s="80">
        <f t="shared" si="85"/>
        <v>195</v>
      </c>
      <c r="R536" s="80">
        <f t="shared" si="86"/>
        <v>100</v>
      </c>
      <c r="S536" s="78">
        <f t="shared" si="87"/>
        <v>695</v>
      </c>
      <c r="T536" s="78">
        <f>0</f>
        <v>0</v>
      </c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</row>
    <row r="537" spans="1:30" ht="15.75" x14ac:dyDescent="0.25">
      <c r="A537" s="13">
        <v>57284</v>
      </c>
      <c r="B537" s="89">
        <v>31</v>
      </c>
      <c r="C537" s="78">
        <f>131.881</f>
        <v>131.881</v>
      </c>
      <c r="D537" s="78">
        <f>277.167</f>
        <v>277.16699999999997</v>
      </c>
      <c r="E537" s="86">
        <f>79.08</f>
        <v>79.08</v>
      </c>
      <c r="F537" s="78">
        <f>350.872-40-25-60</f>
        <v>225.87200000000001</v>
      </c>
      <c r="G537" s="80">
        <v>40</v>
      </c>
      <c r="H537" s="78">
        <f t="shared" si="88"/>
        <v>85</v>
      </c>
      <c r="I537" s="78">
        <f t="shared" si="81"/>
        <v>0</v>
      </c>
      <c r="J537" s="80">
        <v>100</v>
      </c>
      <c r="K537" s="80">
        <v>300</v>
      </c>
      <c r="L537" s="78">
        <f t="shared" si="84"/>
        <v>1239</v>
      </c>
      <c r="M537" s="88">
        <v>600</v>
      </c>
      <c r="N537" s="78">
        <f>75</f>
        <v>75</v>
      </c>
      <c r="O537" s="80">
        <v>240</v>
      </c>
      <c r="P537" s="80">
        <v>160</v>
      </c>
      <c r="Q537" s="80">
        <f t="shared" si="85"/>
        <v>195</v>
      </c>
      <c r="R537" s="80">
        <f t="shared" si="86"/>
        <v>100</v>
      </c>
      <c r="S537" s="78">
        <f t="shared" si="87"/>
        <v>695</v>
      </c>
      <c r="T537" s="78">
        <f>0</f>
        <v>0</v>
      </c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</row>
    <row r="538" spans="1:30" ht="15.75" x14ac:dyDescent="0.25">
      <c r="A538" s="13">
        <v>57314</v>
      </c>
      <c r="B538" s="89">
        <v>30</v>
      </c>
      <c r="C538" s="78">
        <f>122.58</f>
        <v>122.58</v>
      </c>
      <c r="D538" s="78">
        <f>297.941</f>
        <v>297.94099999999997</v>
      </c>
      <c r="E538" s="86">
        <f>89.177</f>
        <v>89.177000000000007</v>
      </c>
      <c r="F538" s="78">
        <f>240.302-40-60</f>
        <v>140.30199999999999</v>
      </c>
      <c r="G538" s="80">
        <v>40</v>
      </c>
      <c r="H538" s="78">
        <v>60</v>
      </c>
      <c r="I538" s="78">
        <f t="shared" si="81"/>
        <v>0</v>
      </c>
      <c r="J538" s="80">
        <v>100</v>
      </c>
      <c r="K538" s="80">
        <v>300</v>
      </c>
      <c r="L538" s="78">
        <f t="shared" si="84"/>
        <v>1150</v>
      </c>
      <c r="M538" s="88">
        <v>600</v>
      </c>
      <c r="N538" s="78">
        <f>100</f>
        <v>100</v>
      </c>
      <c r="O538" s="80">
        <v>240</v>
      </c>
      <c r="P538" s="80">
        <v>40</v>
      </c>
      <c r="Q538" s="80">
        <f t="shared" si="85"/>
        <v>315</v>
      </c>
      <c r="R538" s="80">
        <f t="shared" si="86"/>
        <v>100</v>
      </c>
      <c r="S538" s="78">
        <f t="shared" si="87"/>
        <v>695</v>
      </c>
      <c r="T538" s="78">
        <f>50</f>
        <v>50</v>
      </c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</row>
    <row r="539" spans="1:30" ht="15.75" x14ac:dyDescent="0.25">
      <c r="A539" s="13">
        <v>57345</v>
      </c>
      <c r="B539" s="89">
        <v>31</v>
      </c>
      <c r="C539" s="78">
        <f>122.58</f>
        <v>122.58</v>
      </c>
      <c r="D539" s="78">
        <f>297.941</f>
        <v>297.94099999999997</v>
      </c>
      <c r="E539" s="86">
        <f>89.177</f>
        <v>89.177000000000007</v>
      </c>
      <c r="F539" s="78">
        <f>240.302-40-60</f>
        <v>140.30199999999999</v>
      </c>
      <c r="G539" s="80">
        <v>40</v>
      </c>
      <c r="H539" s="78">
        <v>60</v>
      </c>
      <c r="I539" s="78">
        <f t="shared" si="81"/>
        <v>0</v>
      </c>
      <c r="J539" s="80">
        <v>100</v>
      </c>
      <c r="K539" s="80">
        <v>300</v>
      </c>
      <c r="L539" s="78">
        <f t="shared" si="84"/>
        <v>1150</v>
      </c>
      <c r="M539" s="88">
        <v>600</v>
      </c>
      <c r="N539" s="78">
        <f>100</f>
        <v>100</v>
      </c>
      <c r="O539" s="80">
        <v>240</v>
      </c>
      <c r="P539" s="80">
        <v>40</v>
      </c>
      <c r="Q539" s="80">
        <f t="shared" si="85"/>
        <v>315</v>
      </c>
      <c r="R539" s="80">
        <f t="shared" si="86"/>
        <v>100</v>
      </c>
      <c r="S539" s="78">
        <f t="shared" si="87"/>
        <v>695</v>
      </c>
      <c r="T539" s="78">
        <f>50</f>
        <v>50</v>
      </c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</row>
    <row r="540" spans="1:30" ht="15.75" x14ac:dyDescent="0.25">
      <c r="A540" s="13">
        <v>57376</v>
      </c>
      <c r="B540" s="89">
        <v>31</v>
      </c>
      <c r="C540" s="78">
        <f>122.58</f>
        <v>122.58</v>
      </c>
      <c r="D540" s="78">
        <f>297.941</f>
        <v>297.94099999999997</v>
      </c>
      <c r="E540" s="86">
        <f>89.177</f>
        <v>89.177000000000007</v>
      </c>
      <c r="F540" s="78">
        <f>240.302-40-60</f>
        <v>140.30199999999999</v>
      </c>
      <c r="G540" s="80">
        <v>40</v>
      </c>
      <c r="H540" s="78">
        <v>60</v>
      </c>
      <c r="I540" s="78">
        <f t="shared" si="81"/>
        <v>0</v>
      </c>
      <c r="J540" s="80">
        <v>100</v>
      </c>
      <c r="K540" s="80">
        <v>300</v>
      </c>
      <c r="L540" s="78">
        <f t="shared" si="84"/>
        <v>1150</v>
      </c>
      <c r="M540" s="88">
        <v>600</v>
      </c>
      <c r="N540" s="78">
        <f>100</f>
        <v>100</v>
      </c>
      <c r="O540" s="80">
        <v>240</v>
      </c>
      <c r="P540" s="80">
        <v>40</v>
      </c>
      <c r="Q540" s="80">
        <f t="shared" si="85"/>
        <v>315</v>
      </c>
      <c r="R540" s="80">
        <f t="shared" si="86"/>
        <v>100</v>
      </c>
      <c r="S540" s="78">
        <f t="shared" si="87"/>
        <v>695</v>
      </c>
      <c r="T540" s="78">
        <f>50</f>
        <v>50</v>
      </c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</row>
    <row r="541" spans="1:30" ht="15.75" x14ac:dyDescent="0.25">
      <c r="A541" s="13">
        <v>57404</v>
      </c>
      <c r="B541" s="89">
        <v>28</v>
      </c>
      <c r="C541" s="78">
        <f>122.58</f>
        <v>122.58</v>
      </c>
      <c r="D541" s="78">
        <f>297.941</f>
        <v>297.94099999999997</v>
      </c>
      <c r="E541" s="86">
        <f>89.177</f>
        <v>89.177000000000007</v>
      </c>
      <c r="F541" s="78">
        <f>240.302-40-60</f>
        <v>140.30199999999999</v>
      </c>
      <c r="G541" s="80">
        <v>40</v>
      </c>
      <c r="H541" s="78">
        <v>60</v>
      </c>
      <c r="I541" s="78">
        <f t="shared" si="81"/>
        <v>0</v>
      </c>
      <c r="J541" s="80">
        <v>100</v>
      </c>
      <c r="K541" s="80">
        <v>300</v>
      </c>
      <c r="L541" s="78">
        <f t="shared" si="84"/>
        <v>1150</v>
      </c>
      <c r="M541" s="88">
        <v>600</v>
      </c>
      <c r="N541" s="78">
        <f>100</f>
        <v>100</v>
      </c>
      <c r="O541" s="80">
        <v>240</v>
      </c>
      <c r="P541" s="80">
        <v>40</v>
      </c>
      <c r="Q541" s="80">
        <f t="shared" si="85"/>
        <v>315</v>
      </c>
      <c r="R541" s="80">
        <f t="shared" si="86"/>
        <v>100</v>
      </c>
      <c r="S541" s="78">
        <f t="shared" si="87"/>
        <v>695</v>
      </c>
      <c r="T541" s="78">
        <f>50</f>
        <v>50</v>
      </c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</row>
    <row r="542" spans="1:30" ht="15.75" x14ac:dyDescent="0.25">
      <c r="A542" s="13">
        <v>57435</v>
      </c>
      <c r="B542" s="89">
        <v>31</v>
      </c>
      <c r="C542" s="78">
        <f>122.58</f>
        <v>122.58</v>
      </c>
      <c r="D542" s="78">
        <f>297.941</f>
        <v>297.94099999999997</v>
      </c>
      <c r="E542" s="86">
        <f>89.177</f>
        <v>89.177000000000007</v>
      </c>
      <c r="F542" s="78">
        <f>240.302-40-60</f>
        <v>140.30199999999999</v>
      </c>
      <c r="G542" s="80">
        <v>40</v>
      </c>
      <c r="H542" s="78">
        <v>60</v>
      </c>
      <c r="I542" s="78">
        <f t="shared" si="81"/>
        <v>0</v>
      </c>
      <c r="J542" s="80">
        <v>100</v>
      </c>
      <c r="K542" s="80">
        <v>300</v>
      </c>
      <c r="L542" s="78">
        <f t="shared" si="84"/>
        <v>1150</v>
      </c>
      <c r="M542" s="88">
        <v>600</v>
      </c>
      <c r="N542" s="78">
        <f>100</f>
        <v>100</v>
      </c>
      <c r="O542" s="80">
        <v>240</v>
      </c>
      <c r="P542" s="80">
        <v>40</v>
      </c>
      <c r="Q542" s="80">
        <f t="shared" si="85"/>
        <v>315</v>
      </c>
      <c r="R542" s="80">
        <f t="shared" si="86"/>
        <v>100</v>
      </c>
      <c r="S542" s="78">
        <f t="shared" si="87"/>
        <v>695</v>
      </c>
      <c r="T542" s="78">
        <f>50</f>
        <v>50</v>
      </c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</row>
    <row r="543" spans="1:30" ht="15.75" x14ac:dyDescent="0.25">
      <c r="A543" s="13">
        <v>57465</v>
      </c>
      <c r="B543" s="89">
        <v>30</v>
      </c>
      <c r="C543" s="78">
        <f>141.293</f>
        <v>141.29300000000001</v>
      </c>
      <c r="D543" s="78">
        <f>267.993</f>
        <v>267.99299999999999</v>
      </c>
      <c r="E543" s="86">
        <f>115.016</f>
        <v>115.01600000000001</v>
      </c>
      <c r="F543" s="78">
        <f>314.698-40-25-60</f>
        <v>189.69799999999998</v>
      </c>
      <c r="G543" s="80">
        <v>40</v>
      </c>
      <c r="H543" s="78">
        <f t="shared" ref="H543:H549" si="89">25+60</f>
        <v>85</v>
      </c>
      <c r="I543" s="78">
        <f t="shared" si="81"/>
        <v>0</v>
      </c>
      <c r="J543" s="80">
        <v>100</v>
      </c>
      <c r="K543" s="80">
        <v>300</v>
      </c>
      <c r="L543" s="78">
        <f t="shared" si="84"/>
        <v>1239</v>
      </c>
      <c r="M543" s="88">
        <v>600</v>
      </c>
      <c r="N543" s="78">
        <f>100</f>
        <v>100</v>
      </c>
      <c r="O543" s="80">
        <v>240</v>
      </c>
      <c r="P543" s="80">
        <v>160</v>
      </c>
      <c r="Q543" s="80">
        <f t="shared" si="85"/>
        <v>195</v>
      </c>
      <c r="R543" s="80">
        <f t="shared" si="86"/>
        <v>100</v>
      </c>
      <c r="S543" s="78">
        <f t="shared" si="87"/>
        <v>695</v>
      </c>
      <c r="T543" s="78">
        <f>50</f>
        <v>50</v>
      </c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</row>
    <row r="544" spans="1:30" ht="15.75" x14ac:dyDescent="0.25">
      <c r="A544" s="13">
        <v>57496</v>
      </c>
      <c r="B544" s="89">
        <v>31</v>
      </c>
      <c r="C544" s="78">
        <f>194.205</f>
        <v>194.20500000000001</v>
      </c>
      <c r="D544" s="78">
        <f>267.466</f>
        <v>267.46600000000001</v>
      </c>
      <c r="E544" s="86">
        <f>133.845</f>
        <v>133.845</v>
      </c>
      <c r="F544" s="78">
        <f>278.484-40-25-60</f>
        <v>153.48399999999998</v>
      </c>
      <c r="G544" s="80">
        <v>40</v>
      </c>
      <c r="H544" s="78">
        <f t="shared" si="89"/>
        <v>85</v>
      </c>
      <c r="I544" s="78">
        <f t="shared" si="81"/>
        <v>0</v>
      </c>
      <c r="J544" s="80">
        <v>100</v>
      </c>
      <c r="K544" s="80">
        <v>300</v>
      </c>
      <c r="L544" s="78">
        <f t="shared" si="84"/>
        <v>1274</v>
      </c>
      <c r="M544" s="88">
        <v>600</v>
      </c>
      <c r="N544" s="78">
        <f>75</f>
        <v>75</v>
      </c>
      <c r="O544" s="80">
        <v>240</v>
      </c>
      <c r="P544" s="80">
        <v>160</v>
      </c>
      <c r="Q544" s="80">
        <f t="shared" si="85"/>
        <v>195</v>
      </c>
      <c r="R544" s="80">
        <f t="shared" si="86"/>
        <v>100</v>
      </c>
      <c r="S544" s="78">
        <f t="shared" si="87"/>
        <v>695</v>
      </c>
      <c r="T544" s="78">
        <f>50</f>
        <v>50</v>
      </c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</row>
    <row r="545" spans="1:30" ht="15.75" x14ac:dyDescent="0.25">
      <c r="A545" s="13">
        <v>57526</v>
      </c>
      <c r="B545" s="89">
        <v>30</v>
      </c>
      <c r="C545" s="78">
        <f>194.205</f>
        <v>194.20500000000001</v>
      </c>
      <c r="D545" s="78">
        <f>267.466</f>
        <v>267.46600000000001</v>
      </c>
      <c r="E545" s="86">
        <f>133.845</f>
        <v>133.845</v>
      </c>
      <c r="F545" s="78">
        <f>278.484-40-25-60</f>
        <v>153.48399999999998</v>
      </c>
      <c r="G545" s="80">
        <v>40</v>
      </c>
      <c r="H545" s="78">
        <f t="shared" si="89"/>
        <v>85</v>
      </c>
      <c r="I545" s="78">
        <f t="shared" si="81"/>
        <v>0</v>
      </c>
      <c r="J545" s="80">
        <v>100</v>
      </c>
      <c r="K545" s="80">
        <v>300</v>
      </c>
      <c r="L545" s="78">
        <f t="shared" si="84"/>
        <v>1274</v>
      </c>
      <c r="M545" s="88">
        <v>600</v>
      </c>
      <c r="N545" s="78">
        <f>30</f>
        <v>30</v>
      </c>
      <c r="O545" s="80">
        <v>240</v>
      </c>
      <c r="P545" s="80">
        <v>160</v>
      </c>
      <c r="Q545" s="80">
        <f t="shared" si="85"/>
        <v>195</v>
      </c>
      <c r="R545" s="80">
        <f t="shared" si="86"/>
        <v>100</v>
      </c>
      <c r="S545" s="78">
        <f t="shared" si="87"/>
        <v>695</v>
      </c>
      <c r="T545" s="78">
        <f>50</f>
        <v>50</v>
      </c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</row>
    <row r="546" spans="1:30" ht="15.75" x14ac:dyDescent="0.25">
      <c r="A546" s="13">
        <v>57557</v>
      </c>
      <c r="B546" s="89">
        <v>31</v>
      </c>
      <c r="C546" s="78">
        <f>194.205</f>
        <v>194.20500000000001</v>
      </c>
      <c r="D546" s="78">
        <f>267.466</f>
        <v>267.46600000000001</v>
      </c>
      <c r="E546" s="86">
        <f>133.845</f>
        <v>133.845</v>
      </c>
      <c r="F546" s="78">
        <f>278.484-40-25-60</f>
        <v>153.48399999999998</v>
      </c>
      <c r="G546" s="80">
        <v>40</v>
      </c>
      <c r="H546" s="78">
        <f t="shared" si="89"/>
        <v>85</v>
      </c>
      <c r="I546" s="78">
        <f t="shared" si="81"/>
        <v>0</v>
      </c>
      <c r="J546" s="80">
        <v>100</v>
      </c>
      <c r="K546" s="80">
        <v>300</v>
      </c>
      <c r="L546" s="78">
        <f t="shared" si="84"/>
        <v>1274</v>
      </c>
      <c r="M546" s="88">
        <v>600</v>
      </c>
      <c r="N546" s="78">
        <f>30</f>
        <v>30</v>
      </c>
      <c r="O546" s="80">
        <v>240</v>
      </c>
      <c r="P546" s="80">
        <v>160</v>
      </c>
      <c r="Q546" s="80">
        <f t="shared" si="85"/>
        <v>195</v>
      </c>
      <c r="R546" s="80">
        <f t="shared" si="86"/>
        <v>100</v>
      </c>
      <c r="S546" s="78">
        <f t="shared" si="87"/>
        <v>695</v>
      </c>
      <c r="T546" s="78">
        <f>0</f>
        <v>0</v>
      </c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</row>
    <row r="547" spans="1:30" ht="15.75" x14ac:dyDescent="0.25">
      <c r="A547" s="13">
        <v>57588</v>
      </c>
      <c r="B547" s="89">
        <v>31</v>
      </c>
      <c r="C547" s="78">
        <f>194.205</f>
        <v>194.20500000000001</v>
      </c>
      <c r="D547" s="78">
        <f>267.466</f>
        <v>267.46600000000001</v>
      </c>
      <c r="E547" s="86">
        <f>133.845</f>
        <v>133.845</v>
      </c>
      <c r="F547" s="78">
        <f>278.484-40-25-60</f>
        <v>153.48399999999998</v>
      </c>
      <c r="G547" s="80">
        <v>40</v>
      </c>
      <c r="H547" s="78">
        <f t="shared" si="89"/>
        <v>85</v>
      </c>
      <c r="I547" s="78">
        <f t="shared" si="81"/>
        <v>0</v>
      </c>
      <c r="J547" s="80">
        <v>100</v>
      </c>
      <c r="K547" s="80">
        <v>300</v>
      </c>
      <c r="L547" s="78">
        <f t="shared" si="84"/>
        <v>1274</v>
      </c>
      <c r="M547" s="88">
        <v>600</v>
      </c>
      <c r="N547" s="78">
        <f>30</f>
        <v>30</v>
      </c>
      <c r="O547" s="80">
        <v>240</v>
      </c>
      <c r="P547" s="80">
        <v>160</v>
      </c>
      <c r="Q547" s="80">
        <f t="shared" si="85"/>
        <v>195</v>
      </c>
      <c r="R547" s="80">
        <f t="shared" si="86"/>
        <v>100</v>
      </c>
      <c r="S547" s="78">
        <f t="shared" si="87"/>
        <v>695</v>
      </c>
      <c r="T547" s="78">
        <f>0</f>
        <v>0</v>
      </c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</row>
    <row r="548" spans="1:30" ht="15.75" x14ac:dyDescent="0.25">
      <c r="A548" s="13">
        <v>57618</v>
      </c>
      <c r="B548" s="89">
        <v>30</v>
      </c>
      <c r="C548" s="78">
        <f>194.205</f>
        <v>194.20500000000001</v>
      </c>
      <c r="D548" s="78">
        <f>267.466</f>
        <v>267.46600000000001</v>
      </c>
      <c r="E548" s="86">
        <f>133.845</f>
        <v>133.845</v>
      </c>
      <c r="F548" s="78">
        <f>278.484-40-25-60</f>
        <v>153.48399999999998</v>
      </c>
      <c r="G548" s="80">
        <v>40</v>
      </c>
      <c r="H548" s="78">
        <f t="shared" si="89"/>
        <v>85</v>
      </c>
      <c r="I548" s="78">
        <f t="shared" si="81"/>
        <v>0</v>
      </c>
      <c r="J548" s="80">
        <v>100</v>
      </c>
      <c r="K548" s="80">
        <v>300</v>
      </c>
      <c r="L548" s="78">
        <f t="shared" si="84"/>
        <v>1274</v>
      </c>
      <c r="M548" s="88">
        <v>600</v>
      </c>
      <c r="N548" s="78">
        <f>30</f>
        <v>30</v>
      </c>
      <c r="O548" s="80">
        <v>240</v>
      </c>
      <c r="P548" s="80">
        <v>160</v>
      </c>
      <c r="Q548" s="80">
        <f t="shared" si="85"/>
        <v>195</v>
      </c>
      <c r="R548" s="80">
        <f t="shared" si="86"/>
        <v>100</v>
      </c>
      <c r="S548" s="78">
        <f t="shared" si="87"/>
        <v>695</v>
      </c>
      <c r="T548" s="78">
        <f>0</f>
        <v>0</v>
      </c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</row>
    <row r="549" spans="1:30" ht="15.75" x14ac:dyDescent="0.25">
      <c r="A549" s="13">
        <v>57649</v>
      </c>
      <c r="B549" s="89">
        <v>31</v>
      </c>
      <c r="C549" s="78">
        <f>131.881</f>
        <v>131.881</v>
      </c>
      <c r="D549" s="78">
        <f>277.167</f>
        <v>277.16699999999997</v>
      </c>
      <c r="E549" s="86">
        <f>79.08</f>
        <v>79.08</v>
      </c>
      <c r="F549" s="78">
        <f>350.872-40-25-60</f>
        <v>225.87200000000001</v>
      </c>
      <c r="G549" s="80">
        <v>40</v>
      </c>
      <c r="H549" s="78">
        <f t="shared" si="89"/>
        <v>85</v>
      </c>
      <c r="I549" s="78">
        <f t="shared" si="81"/>
        <v>0</v>
      </c>
      <c r="J549" s="80">
        <v>100</v>
      </c>
      <c r="K549" s="80">
        <v>300</v>
      </c>
      <c r="L549" s="78">
        <f t="shared" si="84"/>
        <v>1239</v>
      </c>
      <c r="M549" s="88">
        <v>600</v>
      </c>
      <c r="N549" s="78">
        <f>75</f>
        <v>75</v>
      </c>
      <c r="O549" s="80">
        <v>240</v>
      </c>
      <c r="P549" s="80">
        <v>160</v>
      </c>
      <c r="Q549" s="80">
        <f t="shared" si="85"/>
        <v>195</v>
      </c>
      <c r="R549" s="80">
        <f t="shared" si="86"/>
        <v>100</v>
      </c>
      <c r="S549" s="78">
        <f t="shared" si="87"/>
        <v>695</v>
      </c>
      <c r="T549" s="78">
        <f>0</f>
        <v>0</v>
      </c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</row>
    <row r="550" spans="1:30" ht="15.75" x14ac:dyDescent="0.25">
      <c r="A550" s="13">
        <v>57679</v>
      </c>
      <c r="B550" s="89">
        <v>30</v>
      </c>
      <c r="C550" s="78">
        <f>122.58</f>
        <v>122.58</v>
      </c>
      <c r="D550" s="78">
        <f>297.941</f>
        <v>297.94099999999997</v>
      </c>
      <c r="E550" s="86">
        <f>89.177</f>
        <v>89.177000000000007</v>
      </c>
      <c r="F550" s="78">
        <f>240.302-40-60</f>
        <v>140.30199999999999</v>
      </c>
      <c r="G550" s="80">
        <v>40</v>
      </c>
      <c r="H550" s="78">
        <v>60</v>
      </c>
      <c r="I550" s="78">
        <f t="shared" si="81"/>
        <v>0</v>
      </c>
      <c r="J550" s="80">
        <v>100</v>
      </c>
      <c r="K550" s="80">
        <v>300</v>
      </c>
      <c r="L550" s="78">
        <f t="shared" si="84"/>
        <v>1150</v>
      </c>
      <c r="M550" s="88">
        <v>600</v>
      </c>
      <c r="N550" s="78">
        <f>100</f>
        <v>100</v>
      </c>
      <c r="O550" s="80">
        <v>240</v>
      </c>
      <c r="P550" s="80">
        <v>40</v>
      </c>
      <c r="Q550" s="80">
        <f t="shared" si="85"/>
        <v>315</v>
      </c>
      <c r="R550" s="80">
        <f t="shared" si="86"/>
        <v>100</v>
      </c>
      <c r="S550" s="78">
        <f t="shared" si="87"/>
        <v>695</v>
      </c>
      <c r="T550" s="78">
        <f>50</f>
        <v>50</v>
      </c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</row>
    <row r="551" spans="1:30" ht="15.75" x14ac:dyDescent="0.25">
      <c r="A551" s="13">
        <v>57710</v>
      </c>
      <c r="B551" s="89">
        <v>31</v>
      </c>
      <c r="C551" s="78">
        <f>122.58</f>
        <v>122.58</v>
      </c>
      <c r="D551" s="78">
        <f>297.941</f>
        <v>297.94099999999997</v>
      </c>
      <c r="E551" s="86">
        <f>89.177</f>
        <v>89.177000000000007</v>
      </c>
      <c r="F551" s="78">
        <f>240.302-40-60</f>
        <v>140.30199999999999</v>
      </c>
      <c r="G551" s="80">
        <v>40</v>
      </c>
      <c r="H551" s="78">
        <v>60</v>
      </c>
      <c r="I551" s="78">
        <f t="shared" si="81"/>
        <v>0</v>
      </c>
      <c r="J551" s="80">
        <v>100</v>
      </c>
      <c r="K551" s="80">
        <v>300</v>
      </c>
      <c r="L551" s="78">
        <f t="shared" si="84"/>
        <v>1150</v>
      </c>
      <c r="M551" s="88">
        <v>600</v>
      </c>
      <c r="N551" s="78">
        <f>100</f>
        <v>100</v>
      </c>
      <c r="O551" s="80">
        <v>240</v>
      </c>
      <c r="P551" s="80">
        <v>40</v>
      </c>
      <c r="Q551" s="80">
        <f t="shared" si="85"/>
        <v>315</v>
      </c>
      <c r="R551" s="80">
        <f t="shared" si="86"/>
        <v>100</v>
      </c>
      <c r="S551" s="78">
        <f t="shared" si="87"/>
        <v>695</v>
      </c>
      <c r="T551" s="78">
        <f>50</f>
        <v>50</v>
      </c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</row>
    <row r="552" spans="1:30" ht="15.75" x14ac:dyDescent="0.25">
      <c r="A552" s="13">
        <v>57741</v>
      </c>
      <c r="B552" s="89">
        <v>31</v>
      </c>
      <c r="C552" s="78">
        <f>122.58</f>
        <v>122.58</v>
      </c>
      <c r="D552" s="78">
        <f>297.941</f>
        <v>297.94099999999997</v>
      </c>
      <c r="E552" s="86">
        <f>89.177</f>
        <v>89.177000000000007</v>
      </c>
      <c r="F552" s="78">
        <f>240.302-40-60</f>
        <v>140.30199999999999</v>
      </c>
      <c r="G552" s="80">
        <v>40</v>
      </c>
      <c r="H552" s="78">
        <v>60</v>
      </c>
      <c r="I552" s="78">
        <f t="shared" si="81"/>
        <v>0</v>
      </c>
      <c r="J552" s="80">
        <v>100</v>
      </c>
      <c r="K552" s="80">
        <v>300</v>
      </c>
      <c r="L552" s="78">
        <f t="shared" si="84"/>
        <v>1150</v>
      </c>
      <c r="M552" s="88">
        <v>600</v>
      </c>
      <c r="N552" s="78">
        <f>100</f>
        <v>100</v>
      </c>
      <c r="O552" s="80">
        <v>240</v>
      </c>
      <c r="P552" s="80">
        <v>40</v>
      </c>
      <c r="Q552" s="80">
        <f t="shared" si="85"/>
        <v>315</v>
      </c>
      <c r="R552" s="80">
        <f t="shared" si="86"/>
        <v>100</v>
      </c>
      <c r="S552" s="78">
        <f t="shared" si="87"/>
        <v>695</v>
      </c>
      <c r="T552" s="78">
        <f>50</f>
        <v>50</v>
      </c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</row>
    <row r="553" spans="1:30" ht="15.75" x14ac:dyDescent="0.25">
      <c r="A553" s="13">
        <v>57769</v>
      </c>
      <c r="B553" s="89">
        <v>28</v>
      </c>
      <c r="C553" s="78">
        <f>122.58</f>
        <v>122.58</v>
      </c>
      <c r="D553" s="78">
        <f>297.941</f>
        <v>297.94099999999997</v>
      </c>
      <c r="E553" s="86">
        <f>89.177</f>
        <v>89.177000000000007</v>
      </c>
      <c r="F553" s="78">
        <f>240.302-40-60</f>
        <v>140.30199999999999</v>
      </c>
      <c r="G553" s="80">
        <v>40</v>
      </c>
      <c r="H553" s="78">
        <v>60</v>
      </c>
      <c r="I553" s="78">
        <f t="shared" si="81"/>
        <v>0</v>
      </c>
      <c r="J553" s="80">
        <v>100</v>
      </c>
      <c r="K553" s="80">
        <v>300</v>
      </c>
      <c r="L553" s="78">
        <f t="shared" si="84"/>
        <v>1150</v>
      </c>
      <c r="M553" s="88">
        <v>600</v>
      </c>
      <c r="N553" s="78">
        <f>100</f>
        <v>100</v>
      </c>
      <c r="O553" s="80">
        <v>240</v>
      </c>
      <c r="P553" s="80">
        <v>40</v>
      </c>
      <c r="Q553" s="80">
        <f t="shared" si="85"/>
        <v>315</v>
      </c>
      <c r="R553" s="80">
        <f t="shared" si="86"/>
        <v>100</v>
      </c>
      <c r="S553" s="78">
        <f t="shared" si="87"/>
        <v>695</v>
      </c>
      <c r="T553" s="78">
        <f>50</f>
        <v>50</v>
      </c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</row>
    <row r="554" spans="1:30" ht="15.75" x14ac:dyDescent="0.25">
      <c r="A554" s="13">
        <v>57800</v>
      </c>
      <c r="B554" s="89">
        <v>31</v>
      </c>
      <c r="C554" s="78">
        <f>122.58</f>
        <v>122.58</v>
      </c>
      <c r="D554" s="78">
        <f>297.941</f>
        <v>297.94099999999997</v>
      </c>
      <c r="E554" s="86">
        <f>89.177</f>
        <v>89.177000000000007</v>
      </c>
      <c r="F554" s="78">
        <f>240.302-40-60</f>
        <v>140.30199999999999</v>
      </c>
      <c r="G554" s="80">
        <v>40</v>
      </c>
      <c r="H554" s="78">
        <v>60</v>
      </c>
      <c r="I554" s="78">
        <f t="shared" si="81"/>
        <v>0</v>
      </c>
      <c r="J554" s="80">
        <v>100</v>
      </c>
      <c r="K554" s="80">
        <v>300</v>
      </c>
      <c r="L554" s="78">
        <f t="shared" si="84"/>
        <v>1150</v>
      </c>
      <c r="M554" s="88">
        <v>600</v>
      </c>
      <c r="N554" s="78">
        <f>100</f>
        <v>100</v>
      </c>
      <c r="O554" s="80">
        <v>240</v>
      </c>
      <c r="P554" s="80">
        <v>40</v>
      </c>
      <c r="Q554" s="80">
        <f t="shared" si="85"/>
        <v>315</v>
      </c>
      <c r="R554" s="80">
        <f t="shared" si="86"/>
        <v>100</v>
      </c>
      <c r="S554" s="78">
        <f t="shared" si="87"/>
        <v>695</v>
      </c>
      <c r="T554" s="78">
        <f>50</f>
        <v>50</v>
      </c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</row>
    <row r="555" spans="1:30" ht="15.75" x14ac:dyDescent="0.25">
      <c r="A555" s="13">
        <v>57830</v>
      </c>
      <c r="B555" s="89">
        <v>30</v>
      </c>
      <c r="C555" s="78">
        <f>141.293</f>
        <v>141.29300000000001</v>
      </c>
      <c r="D555" s="78">
        <f>267.993</f>
        <v>267.99299999999999</v>
      </c>
      <c r="E555" s="86">
        <f>115.016</f>
        <v>115.01600000000001</v>
      </c>
      <c r="F555" s="78">
        <f>314.698-40-25-60</f>
        <v>189.69799999999998</v>
      </c>
      <c r="G555" s="80">
        <v>40</v>
      </c>
      <c r="H555" s="78">
        <f t="shared" ref="H555:H561" si="90">25+60</f>
        <v>85</v>
      </c>
      <c r="I555" s="78">
        <f t="shared" si="81"/>
        <v>0</v>
      </c>
      <c r="J555" s="80">
        <v>100</v>
      </c>
      <c r="K555" s="80">
        <v>300</v>
      </c>
      <c r="L555" s="78">
        <f t="shared" si="84"/>
        <v>1239</v>
      </c>
      <c r="M555" s="88">
        <v>600</v>
      </c>
      <c r="N555" s="78">
        <f>100</f>
        <v>100</v>
      </c>
      <c r="O555" s="80">
        <v>240</v>
      </c>
      <c r="P555" s="80">
        <v>160</v>
      </c>
      <c r="Q555" s="80">
        <f t="shared" si="85"/>
        <v>195</v>
      </c>
      <c r="R555" s="80">
        <f t="shared" si="86"/>
        <v>100</v>
      </c>
      <c r="S555" s="78">
        <f t="shared" si="87"/>
        <v>695</v>
      </c>
      <c r="T555" s="78">
        <f>50</f>
        <v>50</v>
      </c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</row>
    <row r="556" spans="1:30" ht="15.75" x14ac:dyDescent="0.25">
      <c r="A556" s="13">
        <v>57861</v>
      </c>
      <c r="B556" s="89">
        <v>31</v>
      </c>
      <c r="C556" s="78">
        <f>194.205</f>
        <v>194.20500000000001</v>
      </c>
      <c r="D556" s="78">
        <f>267.466</f>
        <v>267.46600000000001</v>
      </c>
      <c r="E556" s="86">
        <f>133.845</f>
        <v>133.845</v>
      </c>
      <c r="F556" s="78">
        <f>278.484-40-25-60</f>
        <v>153.48399999999998</v>
      </c>
      <c r="G556" s="80">
        <v>40</v>
      </c>
      <c r="H556" s="78">
        <f t="shared" si="90"/>
        <v>85</v>
      </c>
      <c r="I556" s="78">
        <f t="shared" si="81"/>
        <v>0</v>
      </c>
      <c r="J556" s="80">
        <v>100</v>
      </c>
      <c r="K556" s="80">
        <v>300</v>
      </c>
      <c r="L556" s="78">
        <f t="shared" si="84"/>
        <v>1274</v>
      </c>
      <c r="M556" s="88">
        <v>600</v>
      </c>
      <c r="N556" s="78">
        <f>75</f>
        <v>75</v>
      </c>
      <c r="O556" s="80">
        <v>240</v>
      </c>
      <c r="P556" s="80">
        <v>160</v>
      </c>
      <c r="Q556" s="80">
        <f t="shared" si="85"/>
        <v>195</v>
      </c>
      <c r="R556" s="80">
        <f t="shared" si="86"/>
        <v>100</v>
      </c>
      <c r="S556" s="78">
        <f t="shared" si="87"/>
        <v>695</v>
      </c>
      <c r="T556" s="78">
        <f>50</f>
        <v>50</v>
      </c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</row>
    <row r="557" spans="1:30" ht="15.75" x14ac:dyDescent="0.25">
      <c r="A557" s="13">
        <v>57891</v>
      </c>
      <c r="B557" s="89">
        <v>30</v>
      </c>
      <c r="C557" s="78">
        <f>194.205</f>
        <v>194.20500000000001</v>
      </c>
      <c r="D557" s="78">
        <f>267.466</f>
        <v>267.46600000000001</v>
      </c>
      <c r="E557" s="86">
        <f>133.845</f>
        <v>133.845</v>
      </c>
      <c r="F557" s="78">
        <f>278.484-40-25-60</f>
        <v>153.48399999999998</v>
      </c>
      <c r="G557" s="80">
        <v>40</v>
      </c>
      <c r="H557" s="78">
        <f t="shared" si="90"/>
        <v>85</v>
      </c>
      <c r="I557" s="78">
        <f t="shared" si="81"/>
        <v>0</v>
      </c>
      <c r="J557" s="80">
        <v>100</v>
      </c>
      <c r="K557" s="80">
        <v>300</v>
      </c>
      <c r="L557" s="78">
        <f t="shared" si="84"/>
        <v>1274</v>
      </c>
      <c r="M557" s="88">
        <v>600</v>
      </c>
      <c r="N557" s="78">
        <f>30</f>
        <v>30</v>
      </c>
      <c r="O557" s="80">
        <v>240</v>
      </c>
      <c r="P557" s="80">
        <v>160</v>
      </c>
      <c r="Q557" s="80">
        <f t="shared" si="85"/>
        <v>195</v>
      </c>
      <c r="R557" s="80">
        <f t="shared" si="86"/>
        <v>100</v>
      </c>
      <c r="S557" s="78">
        <f t="shared" si="87"/>
        <v>695</v>
      </c>
      <c r="T557" s="78">
        <f>50</f>
        <v>50</v>
      </c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</row>
    <row r="558" spans="1:30" ht="15.75" x14ac:dyDescent="0.25">
      <c r="A558" s="13">
        <v>57922</v>
      </c>
      <c r="B558" s="89">
        <v>31</v>
      </c>
      <c r="C558" s="78">
        <f>194.205</f>
        <v>194.20500000000001</v>
      </c>
      <c r="D558" s="78">
        <f>267.466</f>
        <v>267.46600000000001</v>
      </c>
      <c r="E558" s="86">
        <f>133.845</f>
        <v>133.845</v>
      </c>
      <c r="F558" s="78">
        <f>278.484-40-25-60</f>
        <v>153.48399999999998</v>
      </c>
      <c r="G558" s="80">
        <v>40</v>
      </c>
      <c r="H558" s="78">
        <f t="shared" si="90"/>
        <v>85</v>
      </c>
      <c r="I558" s="78">
        <f t="shared" si="81"/>
        <v>0</v>
      </c>
      <c r="J558" s="80">
        <v>100</v>
      </c>
      <c r="K558" s="80">
        <v>300</v>
      </c>
      <c r="L558" s="78">
        <f t="shared" si="84"/>
        <v>1274</v>
      </c>
      <c r="M558" s="88">
        <v>600</v>
      </c>
      <c r="N558" s="78">
        <f>30</f>
        <v>30</v>
      </c>
      <c r="O558" s="80">
        <v>240</v>
      </c>
      <c r="P558" s="80">
        <v>160</v>
      </c>
      <c r="Q558" s="80">
        <f t="shared" si="85"/>
        <v>195</v>
      </c>
      <c r="R558" s="80">
        <f t="shared" si="86"/>
        <v>100</v>
      </c>
      <c r="S558" s="78">
        <f t="shared" si="87"/>
        <v>695</v>
      </c>
      <c r="T558" s="78">
        <f>0</f>
        <v>0</v>
      </c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</row>
    <row r="559" spans="1:30" ht="15.75" x14ac:dyDescent="0.25">
      <c r="A559" s="13">
        <v>57953</v>
      </c>
      <c r="B559" s="89">
        <v>31</v>
      </c>
      <c r="C559" s="78">
        <f>194.205</f>
        <v>194.20500000000001</v>
      </c>
      <c r="D559" s="78">
        <f>267.466</f>
        <v>267.46600000000001</v>
      </c>
      <c r="E559" s="86">
        <f>133.845</f>
        <v>133.845</v>
      </c>
      <c r="F559" s="78">
        <f>278.484-40-25-60</f>
        <v>153.48399999999998</v>
      </c>
      <c r="G559" s="80">
        <v>40</v>
      </c>
      <c r="H559" s="78">
        <f t="shared" si="90"/>
        <v>85</v>
      </c>
      <c r="I559" s="78">
        <f t="shared" si="81"/>
        <v>0</v>
      </c>
      <c r="J559" s="80">
        <v>100</v>
      </c>
      <c r="K559" s="80">
        <v>300</v>
      </c>
      <c r="L559" s="78">
        <f t="shared" si="84"/>
        <v>1274</v>
      </c>
      <c r="M559" s="88">
        <v>600</v>
      </c>
      <c r="N559" s="78">
        <f>30</f>
        <v>30</v>
      </c>
      <c r="O559" s="80">
        <v>240</v>
      </c>
      <c r="P559" s="80">
        <v>160</v>
      </c>
      <c r="Q559" s="80">
        <f t="shared" si="85"/>
        <v>195</v>
      </c>
      <c r="R559" s="80">
        <f t="shared" si="86"/>
        <v>100</v>
      </c>
      <c r="S559" s="78">
        <f t="shared" si="87"/>
        <v>695</v>
      </c>
      <c r="T559" s="78">
        <f>0</f>
        <v>0</v>
      </c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</row>
    <row r="560" spans="1:30" ht="15.75" x14ac:dyDescent="0.25">
      <c r="A560" s="13">
        <v>57983</v>
      </c>
      <c r="B560" s="89">
        <v>30</v>
      </c>
      <c r="C560" s="78">
        <f>194.205</f>
        <v>194.20500000000001</v>
      </c>
      <c r="D560" s="78">
        <f>267.466</f>
        <v>267.46600000000001</v>
      </c>
      <c r="E560" s="86">
        <f>133.845</f>
        <v>133.845</v>
      </c>
      <c r="F560" s="78">
        <f>278.484-40-25-60</f>
        <v>153.48399999999998</v>
      </c>
      <c r="G560" s="80">
        <v>40</v>
      </c>
      <c r="H560" s="78">
        <f t="shared" si="90"/>
        <v>85</v>
      </c>
      <c r="I560" s="78">
        <f t="shared" si="81"/>
        <v>0</v>
      </c>
      <c r="J560" s="80">
        <v>100</v>
      </c>
      <c r="K560" s="80">
        <v>300</v>
      </c>
      <c r="L560" s="78">
        <f t="shared" si="84"/>
        <v>1274</v>
      </c>
      <c r="M560" s="88">
        <v>600</v>
      </c>
      <c r="N560" s="78">
        <f>30</f>
        <v>30</v>
      </c>
      <c r="O560" s="80">
        <v>240</v>
      </c>
      <c r="P560" s="80">
        <v>160</v>
      </c>
      <c r="Q560" s="80">
        <f t="shared" si="85"/>
        <v>195</v>
      </c>
      <c r="R560" s="80">
        <f t="shared" si="86"/>
        <v>100</v>
      </c>
      <c r="S560" s="78">
        <f t="shared" si="87"/>
        <v>695</v>
      </c>
      <c r="T560" s="78">
        <f>0</f>
        <v>0</v>
      </c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</row>
    <row r="561" spans="1:30" ht="15.75" x14ac:dyDescent="0.25">
      <c r="A561" s="13">
        <v>58014</v>
      </c>
      <c r="B561" s="89">
        <v>31</v>
      </c>
      <c r="C561" s="78">
        <f>131.881</f>
        <v>131.881</v>
      </c>
      <c r="D561" s="78">
        <f>277.167</f>
        <v>277.16699999999997</v>
      </c>
      <c r="E561" s="86">
        <f>79.08</f>
        <v>79.08</v>
      </c>
      <c r="F561" s="78">
        <f>350.872-40-25-60</f>
        <v>225.87200000000001</v>
      </c>
      <c r="G561" s="80">
        <v>40</v>
      </c>
      <c r="H561" s="78">
        <f t="shared" si="90"/>
        <v>85</v>
      </c>
      <c r="I561" s="78">
        <f t="shared" si="81"/>
        <v>0</v>
      </c>
      <c r="J561" s="80">
        <v>100</v>
      </c>
      <c r="K561" s="80">
        <v>300</v>
      </c>
      <c r="L561" s="78">
        <f t="shared" si="84"/>
        <v>1239</v>
      </c>
      <c r="M561" s="88">
        <v>600</v>
      </c>
      <c r="N561" s="78">
        <f>75</f>
        <v>75</v>
      </c>
      <c r="O561" s="80">
        <v>240</v>
      </c>
      <c r="P561" s="80">
        <v>160</v>
      </c>
      <c r="Q561" s="80">
        <f t="shared" si="85"/>
        <v>195</v>
      </c>
      <c r="R561" s="80">
        <f t="shared" si="86"/>
        <v>100</v>
      </c>
      <c r="S561" s="78">
        <f t="shared" si="87"/>
        <v>695</v>
      </c>
      <c r="T561" s="78">
        <f>0</f>
        <v>0</v>
      </c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</row>
    <row r="562" spans="1:30" ht="15.75" x14ac:dyDescent="0.25">
      <c r="A562" s="13">
        <v>58044</v>
      </c>
      <c r="B562" s="89">
        <v>30</v>
      </c>
      <c r="C562" s="78">
        <f>122.58</f>
        <v>122.58</v>
      </c>
      <c r="D562" s="78">
        <f>297.941</f>
        <v>297.94099999999997</v>
      </c>
      <c r="E562" s="86">
        <f>89.177</f>
        <v>89.177000000000007</v>
      </c>
      <c r="F562" s="78">
        <f>240.302-40-60</f>
        <v>140.30199999999999</v>
      </c>
      <c r="G562" s="80">
        <v>40</v>
      </c>
      <c r="H562" s="78">
        <v>60</v>
      </c>
      <c r="I562" s="78">
        <f t="shared" si="81"/>
        <v>0</v>
      </c>
      <c r="J562" s="80">
        <v>100</v>
      </c>
      <c r="K562" s="80">
        <v>300</v>
      </c>
      <c r="L562" s="78">
        <f t="shared" si="84"/>
        <v>1150</v>
      </c>
      <c r="M562" s="88">
        <v>600</v>
      </c>
      <c r="N562" s="78">
        <f>100</f>
        <v>100</v>
      </c>
      <c r="O562" s="80">
        <v>240</v>
      </c>
      <c r="P562" s="80">
        <v>40</v>
      </c>
      <c r="Q562" s="80">
        <f t="shared" si="85"/>
        <v>315</v>
      </c>
      <c r="R562" s="80">
        <f t="shared" si="86"/>
        <v>100</v>
      </c>
      <c r="S562" s="78">
        <f t="shared" si="87"/>
        <v>695</v>
      </c>
      <c r="T562" s="78">
        <f>50</f>
        <v>50</v>
      </c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</row>
    <row r="563" spans="1:30" ht="15.75" x14ac:dyDescent="0.25">
      <c r="A563" s="13">
        <v>58075</v>
      </c>
      <c r="B563" s="89">
        <v>31</v>
      </c>
      <c r="C563" s="78">
        <f>122.58</f>
        <v>122.58</v>
      </c>
      <c r="D563" s="78">
        <f>297.941</f>
        <v>297.94099999999997</v>
      </c>
      <c r="E563" s="86">
        <f>89.177</f>
        <v>89.177000000000007</v>
      </c>
      <c r="F563" s="78">
        <f>240.302-40-60</f>
        <v>140.30199999999999</v>
      </c>
      <c r="G563" s="80">
        <v>40</v>
      </c>
      <c r="H563" s="78">
        <v>60</v>
      </c>
      <c r="I563" s="78">
        <f t="shared" si="81"/>
        <v>0</v>
      </c>
      <c r="J563" s="80">
        <v>100</v>
      </c>
      <c r="K563" s="80">
        <v>300</v>
      </c>
      <c r="L563" s="78">
        <f t="shared" si="84"/>
        <v>1150</v>
      </c>
      <c r="M563" s="88">
        <v>600</v>
      </c>
      <c r="N563" s="78">
        <f>100</f>
        <v>100</v>
      </c>
      <c r="O563" s="80">
        <v>240</v>
      </c>
      <c r="P563" s="80">
        <v>40</v>
      </c>
      <c r="Q563" s="80">
        <f t="shared" si="85"/>
        <v>315</v>
      </c>
      <c r="R563" s="80">
        <f t="shared" si="86"/>
        <v>100</v>
      </c>
      <c r="S563" s="78">
        <f t="shared" si="87"/>
        <v>695</v>
      </c>
      <c r="T563" s="78">
        <f>50</f>
        <v>50</v>
      </c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</row>
    <row r="564" spans="1:30" ht="15.75" x14ac:dyDescent="0.25">
      <c r="A564" s="13">
        <v>58106</v>
      </c>
      <c r="B564" s="89">
        <v>31</v>
      </c>
      <c r="C564" s="78">
        <f>122.58</f>
        <v>122.58</v>
      </c>
      <c r="D564" s="78">
        <f>297.941</f>
        <v>297.94099999999997</v>
      </c>
      <c r="E564" s="86">
        <f>89.177</f>
        <v>89.177000000000007</v>
      </c>
      <c r="F564" s="78">
        <f>240.302-40-60</f>
        <v>140.30199999999999</v>
      </c>
      <c r="G564" s="80">
        <v>40</v>
      </c>
      <c r="H564" s="78">
        <v>60</v>
      </c>
      <c r="I564" s="78">
        <f t="shared" ref="I564:I599" si="91">400-J564-K564</f>
        <v>0</v>
      </c>
      <c r="J564" s="80">
        <v>100</v>
      </c>
      <c r="K564" s="80">
        <v>300</v>
      </c>
      <c r="L564" s="78">
        <f t="shared" si="84"/>
        <v>1150</v>
      </c>
      <c r="M564" s="88">
        <v>600</v>
      </c>
      <c r="N564" s="78">
        <f>100</f>
        <v>100</v>
      </c>
      <c r="O564" s="80">
        <v>240</v>
      </c>
      <c r="P564" s="80">
        <v>40</v>
      </c>
      <c r="Q564" s="80">
        <f t="shared" si="85"/>
        <v>315</v>
      </c>
      <c r="R564" s="80">
        <f t="shared" si="86"/>
        <v>100</v>
      </c>
      <c r="S564" s="78">
        <f t="shared" si="87"/>
        <v>695</v>
      </c>
      <c r="T564" s="78">
        <f>50</f>
        <v>50</v>
      </c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</row>
    <row r="565" spans="1:30" ht="15.75" x14ac:dyDescent="0.25">
      <c r="A565" s="13">
        <v>58134</v>
      </c>
      <c r="B565" s="89">
        <v>28</v>
      </c>
      <c r="C565" s="78">
        <f>122.58</f>
        <v>122.58</v>
      </c>
      <c r="D565" s="78">
        <f>297.941</f>
        <v>297.94099999999997</v>
      </c>
      <c r="E565" s="86">
        <f>89.177</f>
        <v>89.177000000000007</v>
      </c>
      <c r="F565" s="78">
        <f>240.302-40-60</f>
        <v>140.30199999999999</v>
      </c>
      <c r="G565" s="80">
        <v>40</v>
      </c>
      <c r="H565" s="78">
        <v>60</v>
      </c>
      <c r="I565" s="78">
        <f t="shared" si="91"/>
        <v>0</v>
      </c>
      <c r="J565" s="80">
        <v>100</v>
      </c>
      <c r="K565" s="80">
        <v>300</v>
      </c>
      <c r="L565" s="78">
        <f t="shared" si="84"/>
        <v>1150</v>
      </c>
      <c r="M565" s="88">
        <v>600</v>
      </c>
      <c r="N565" s="78">
        <f>100</f>
        <v>100</v>
      </c>
      <c r="O565" s="80">
        <v>240</v>
      </c>
      <c r="P565" s="80">
        <v>40</v>
      </c>
      <c r="Q565" s="80">
        <f t="shared" si="85"/>
        <v>315</v>
      </c>
      <c r="R565" s="80">
        <f t="shared" si="86"/>
        <v>100</v>
      </c>
      <c r="S565" s="78">
        <f t="shared" si="87"/>
        <v>695</v>
      </c>
      <c r="T565" s="78">
        <f>50</f>
        <v>50</v>
      </c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</row>
    <row r="566" spans="1:30" ht="15.75" x14ac:dyDescent="0.25">
      <c r="A566" s="13">
        <v>58165</v>
      </c>
      <c r="B566" s="89">
        <v>31</v>
      </c>
      <c r="C566" s="78">
        <f>122.58</f>
        <v>122.58</v>
      </c>
      <c r="D566" s="78">
        <f>297.941</f>
        <v>297.94099999999997</v>
      </c>
      <c r="E566" s="86">
        <f>89.177</f>
        <v>89.177000000000007</v>
      </c>
      <c r="F566" s="78">
        <f>240.302-40-60</f>
        <v>140.30199999999999</v>
      </c>
      <c r="G566" s="80">
        <v>40</v>
      </c>
      <c r="H566" s="78">
        <v>60</v>
      </c>
      <c r="I566" s="78">
        <f t="shared" si="91"/>
        <v>0</v>
      </c>
      <c r="J566" s="80">
        <v>100</v>
      </c>
      <c r="K566" s="80">
        <v>300</v>
      </c>
      <c r="L566" s="78">
        <f t="shared" si="84"/>
        <v>1150</v>
      </c>
      <c r="M566" s="88">
        <v>600</v>
      </c>
      <c r="N566" s="78">
        <f>100</f>
        <v>100</v>
      </c>
      <c r="O566" s="80">
        <v>240</v>
      </c>
      <c r="P566" s="80">
        <v>40</v>
      </c>
      <c r="Q566" s="80">
        <f t="shared" si="85"/>
        <v>315</v>
      </c>
      <c r="R566" s="80">
        <f t="shared" si="86"/>
        <v>100</v>
      </c>
      <c r="S566" s="78">
        <f t="shared" si="87"/>
        <v>695</v>
      </c>
      <c r="T566" s="78">
        <f>50</f>
        <v>50</v>
      </c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</row>
    <row r="567" spans="1:30" ht="15.75" x14ac:dyDescent="0.25">
      <c r="A567" s="13">
        <v>58195</v>
      </c>
      <c r="B567" s="89">
        <v>30</v>
      </c>
      <c r="C567" s="78">
        <f>141.293</f>
        <v>141.29300000000001</v>
      </c>
      <c r="D567" s="78">
        <f>267.993</f>
        <v>267.99299999999999</v>
      </c>
      <c r="E567" s="86">
        <f>115.016</f>
        <v>115.01600000000001</v>
      </c>
      <c r="F567" s="78">
        <f>314.698-40-25-60</f>
        <v>189.69799999999998</v>
      </c>
      <c r="G567" s="80">
        <v>40</v>
      </c>
      <c r="H567" s="78">
        <f t="shared" ref="H567:H573" si="92">25+60</f>
        <v>85</v>
      </c>
      <c r="I567" s="78">
        <f t="shared" si="91"/>
        <v>0</v>
      </c>
      <c r="J567" s="80">
        <v>100</v>
      </c>
      <c r="K567" s="80">
        <v>300</v>
      </c>
      <c r="L567" s="78">
        <f t="shared" si="84"/>
        <v>1239</v>
      </c>
      <c r="M567" s="88">
        <v>600</v>
      </c>
      <c r="N567" s="78">
        <f>100</f>
        <v>100</v>
      </c>
      <c r="O567" s="80">
        <v>240</v>
      </c>
      <c r="P567" s="80">
        <v>160</v>
      </c>
      <c r="Q567" s="80">
        <f t="shared" si="85"/>
        <v>195</v>
      </c>
      <c r="R567" s="80">
        <f t="shared" si="86"/>
        <v>100</v>
      </c>
      <c r="S567" s="78">
        <f t="shared" si="87"/>
        <v>695</v>
      </c>
      <c r="T567" s="78">
        <f>50</f>
        <v>50</v>
      </c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</row>
    <row r="568" spans="1:30" ht="15.75" x14ac:dyDescent="0.25">
      <c r="A568" s="13">
        <v>58226</v>
      </c>
      <c r="B568" s="89">
        <v>31</v>
      </c>
      <c r="C568" s="78">
        <f>194.205</f>
        <v>194.20500000000001</v>
      </c>
      <c r="D568" s="78">
        <f>267.466</f>
        <v>267.46600000000001</v>
      </c>
      <c r="E568" s="86">
        <f>133.845</f>
        <v>133.845</v>
      </c>
      <c r="F568" s="78">
        <f>278.484-40-25-60</f>
        <v>153.48399999999998</v>
      </c>
      <c r="G568" s="80">
        <v>40</v>
      </c>
      <c r="H568" s="78">
        <f t="shared" si="92"/>
        <v>85</v>
      </c>
      <c r="I568" s="78">
        <f t="shared" si="91"/>
        <v>0</v>
      </c>
      <c r="J568" s="80">
        <v>100</v>
      </c>
      <c r="K568" s="80">
        <v>300</v>
      </c>
      <c r="L568" s="78">
        <f t="shared" si="84"/>
        <v>1274</v>
      </c>
      <c r="M568" s="88">
        <v>600</v>
      </c>
      <c r="N568" s="78">
        <f>75</f>
        <v>75</v>
      </c>
      <c r="O568" s="80">
        <v>240</v>
      </c>
      <c r="P568" s="80">
        <v>160</v>
      </c>
      <c r="Q568" s="80">
        <f t="shared" si="85"/>
        <v>195</v>
      </c>
      <c r="R568" s="80">
        <f t="shared" si="86"/>
        <v>100</v>
      </c>
      <c r="S568" s="78">
        <f t="shared" si="87"/>
        <v>695</v>
      </c>
      <c r="T568" s="78">
        <f>50</f>
        <v>50</v>
      </c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</row>
    <row r="569" spans="1:30" ht="15.75" x14ac:dyDescent="0.25">
      <c r="A569" s="13">
        <v>58256</v>
      </c>
      <c r="B569" s="89">
        <v>30</v>
      </c>
      <c r="C569" s="78">
        <f>194.205</f>
        <v>194.20500000000001</v>
      </c>
      <c r="D569" s="78">
        <f>267.466</f>
        <v>267.46600000000001</v>
      </c>
      <c r="E569" s="86">
        <f>133.845</f>
        <v>133.845</v>
      </c>
      <c r="F569" s="78">
        <f>278.484-40-25-60</f>
        <v>153.48399999999998</v>
      </c>
      <c r="G569" s="80">
        <v>40</v>
      </c>
      <c r="H569" s="78">
        <f t="shared" si="92"/>
        <v>85</v>
      </c>
      <c r="I569" s="78">
        <f t="shared" si="91"/>
        <v>0</v>
      </c>
      <c r="J569" s="80">
        <v>100</v>
      </c>
      <c r="K569" s="80">
        <v>300</v>
      </c>
      <c r="L569" s="78">
        <f t="shared" si="84"/>
        <v>1274</v>
      </c>
      <c r="M569" s="88">
        <v>600</v>
      </c>
      <c r="N569" s="78">
        <f>30</f>
        <v>30</v>
      </c>
      <c r="O569" s="80">
        <v>240</v>
      </c>
      <c r="P569" s="80">
        <v>160</v>
      </c>
      <c r="Q569" s="80">
        <f t="shared" si="85"/>
        <v>195</v>
      </c>
      <c r="R569" s="80">
        <f t="shared" si="86"/>
        <v>100</v>
      </c>
      <c r="S569" s="78">
        <f t="shared" si="87"/>
        <v>695</v>
      </c>
      <c r="T569" s="78">
        <f>50</f>
        <v>50</v>
      </c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</row>
    <row r="570" spans="1:30" ht="15.75" x14ac:dyDescent="0.25">
      <c r="A570" s="13">
        <v>58287</v>
      </c>
      <c r="B570" s="89">
        <v>31</v>
      </c>
      <c r="C570" s="78">
        <f>194.205</f>
        <v>194.20500000000001</v>
      </c>
      <c r="D570" s="78">
        <f>267.466</f>
        <v>267.46600000000001</v>
      </c>
      <c r="E570" s="86">
        <f>133.845</f>
        <v>133.845</v>
      </c>
      <c r="F570" s="78">
        <f>278.484-40-25-60</f>
        <v>153.48399999999998</v>
      </c>
      <c r="G570" s="80">
        <v>40</v>
      </c>
      <c r="H570" s="78">
        <f t="shared" si="92"/>
        <v>85</v>
      </c>
      <c r="I570" s="78">
        <f t="shared" si="91"/>
        <v>0</v>
      </c>
      <c r="J570" s="80">
        <v>100</v>
      </c>
      <c r="K570" s="80">
        <v>300</v>
      </c>
      <c r="L570" s="78">
        <f t="shared" si="84"/>
        <v>1274</v>
      </c>
      <c r="M570" s="88">
        <v>600</v>
      </c>
      <c r="N570" s="78">
        <f>30</f>
        <v>30</v>
      </c>
      <c r="O570" s="80">
        <v>240</v>
      </c>
      <c r="P570" s="80">
        <v>160</v>
      </c>
      <c r="Q570" s="80">
        <f t="shared" si="85"/>
        <v>195</v>
      </c>
      <c r="R570" s="80">
        <f t="shared" si="86"/>
        <v>100</v>
      </c>
      <c r="S570" s="78">
        <f t="shared" si="87"/>
        <v>695</v>
      </c>
      <c r="T570" s="78">
        <f>0</f>
        <v>0</v>
      </c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</row>
    <row r="571" spans="1:30" ht="15.75" x14ac:dyDescent="0.25">
      <c r="A571" s="13">
        <v>58318</v>
      </c>
      <c r="B571" s="89">
        <v>31</v>
      </c>
      <c r="C571" s="78">
        <f>194.205</f>
        <v>194.20500000000001</v>
      </c>
      <c r="D571" s="78">
        <f>267.466</f>
        <v>267.46600000000001</v>
      </c>
      <c r="E571" s="86">
        <f>133.845</f>
        <v>133.845</v>
      </c>
      <c r="F571" s="78">
        <f>278.484-40-25-60</f>
        <v>153.48399999999998</v>
      </c>
      <c r="G571" s="80">
        <v>40</v>
      </c>
      <c r="H571" s="78">
        <f t="shared" si="92"/>
        <v>85</v>
      </c>
      <c r="I571" s="78">
        <f t="shared" si="91"/>
        <v>0</v>
      </c>
      <c r="J571" s="80">
        <v>100</v>
      </c>
      <c r="K571" s="80">
        <v>300</v>
      </c>
      <c r="L571" s="78">
        <f t="shared" si="84"/>
        <v>1274</v>
      </c>
      <c r="M571" s="88">
        <v>600</v>
      </c>
      <c r="N571" s="78">
        <f>30</f>
        <v>30</v>
      </c>
      <c r="O571" s="80">
        <v>240</v>
      </c>
      <c r="P571" s="80">
        <v>160</v>
      </c>
      <c r="Q571" s="80">
        <f t="shared" si="85"/>
        <v>195</v>
      </c>
      <c r="R571" s="80">
        <f t="shared" si="86"/>
        <v>100</v>
      </c>
      <c r="S571" s="78">
        <f t="shared" si="87"/>
        <v>695</v>
      </c>
      <c r="T571" s="78">
        <f>0</f>
        <v>0</v>
      </c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</row>
    <row r="572" spans="1:30" ht="15.75" x14ac:dyDescent="0.25">
      <c r="A572" s="13">
        <v>58348</v>
      </c>
      <c r="B572" s="89">
        <v>30</v>
      </c>
      <c r="C572" s="78">
        <f>194.205</f>
        <v>194.20500000000001</v>
      </c>
      <c r="D572" s="78">
        <f>267.466</f>
        <v>267.46600000000001</v>
      </c>
      <c r="E572" s="86">
        <f>133.845</f>
        <v>133.845</v>
      </c>
      <c r="F572" s="78">
        <f>278.484-40-25-60</f>
        <v>153.48399999999998</v>
      </c>
      <c r="G572" s="80">
        <v>40</v>
      </c>
      <c r="H572" s="78">
        <f t="shared" si="92"/>
        <v>85</v>
      </c>
      <c r="I572" s="78">
        <f t="shared" si="91"/>
        <v>0</v>
      </c>
      <c r="J572" s="80">
        <v>100</v>
      </c>
      <c r="K572" s="80">
        <v>300</v>
      </c>
      <c r="L572" s="78">
        <f t="shared" si="84"/>
        <v>1274</v>
      </c>
      <c r="M572" s="88">
        <v>600</v>
      </c>
      <c r="N572" s="78">
        <f>30</f>
        <v>30</v>
      </c>
      <c r="O572" s="80">
        <v>240</v>
      </c>
      <c r="P572" s="80">
        <v>160</v>
      </c>
      <c r="Q572" s="80">
        <f t="shared" si="85"/>
        <v>195</v>
      </c>
      <c r="R572" s="80">
        <f t="shared" si="86"/>
        <v>100</v>
      </c>
      <c r="S572" s="78">
        <f t="shared" si="87"/>
        <v>695</v>
      </c>
      <c r="T572" s="78">
        <f>0</f>
        <v>0</v>
      </c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</row>
    <row r="573" spans="1:30" ht="15.75" x14ac:dyDescent="0.25">
      <c r="A573" s="13">
        <v>58379</v>
      </c>
      <c r="B573" s="89">
        <v>31</v>
      </c>
      <c r="C573" s="78">
        <f>131.881</f>
        <v>131.881</v>
      </c>
      <c r="D573" s="78">
        <f>277.167</f>
        <v>277.16699999999997</v>
      </c>
      <c r="E573" s="86">
        <f>79.08</f>
        <v>79.08</v>
      </c>
      <c r="F573" s="78">
        <f>350.872-40-25-60</f>
        <v>225.87200000000001</v>
      </c>
      <c r="G573" s="80">
        <v>40</v>
      </c>
      <c r="H573" s="78">
        <f t="shared" si="92"/>
        <v>85</v>
      </c>
      <c r="I573" s="78">
        <f t="shared" si="91"/>
        <v>0</v>
      </c>
      <c r="J573" s="80">
        <v>100</v>
      </c>
      <c r="K573" s="80">
        <v>300</v>
      </c>
      <c r="L573" s="78">
        <f t="shared" si="84"/>
        <v>1239</v>
      </c>
      <c r="M573" s="88">
        <v>600</v>
      </c>
      <c r="N573" s="78">
        <f>75</f>
        <v>75</v>
      </c>
      <c r="O573" s="80">
        <v>240</v>
      </c>
      <c r="P573" s="80">
        <v>160</v>
      </c>
      <c r="Q573" s="80">
        <f t="shared" si="85"/>
        <v>195</v>
      </c>
      <c r="R573" s="80">
        <f t="shared" si="86"/>
        <v>100</v>
      </c>
      <c r="S573" s="78">
        <f t="shared" si="87"/>
        <v>695</v>
      </c>
      <c r="T573" s="78">
        <f>0</f>
        <v>0</v>
      </c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</row>
    <row r="574" spans="1:30" ht="15.75" x14ac:dyDescent="0.25">
      <c r="A574" s="13">
        <v>58409</v>
      </c>
      <c r="B574" s="89">
        <v>30</v>
      </c>
      <c r="C574" s="78">
        <f>122.58</f>
        <v>122.58</v>
      </c>
      <c r="D574" s="78">
        <f>297.941</f>
        <v>297.94099999999997</v>
      </c>
      <c r="E574" s="86">
        <f>89.177</f>
        <v>89.177000000000007</v>
      </c>
      <c r="F574" s="78">
        <f>240.302-40-60</f>
        <v>140.30199999999999</v>
      </c>
      <c r="G574" s="80">
        <v>40</v>
      </c>
      <c r="H574" s="78">
        <v>60</v>
      </c>
      <c r="I574" s="78">
        <f t="shared" si="91"/>
        <v>0</v>
      </c>
      <c r="J574" s="80">
        <v>100</v>
      </c>
      <c r="K574" s="80">
        <v>300</v>
      </c>
      <c r="L574" s="78">
        <f t="shared" si="84"/>
        <v>1150</v>
      </c>
      <c r="M574" s="88">
        <v>600</v>
      </c>
      <c r="N574" s="78">
        <f>100</f>
        <v>100</v>
      </c>
      <c r="O574" s="80">
        <v>240</v>
      </c>
      <c r="P574" s="80">
        <v>40</v>
      </c>
      <c r="Q574" s="80">
        <f t="shared" si="85"/>
        <v>315</v>
      </c>
      <c r="R574" s="80">
        <f t="shared" si="86"/>
        <v>100</v>
      </c>
      <c r="S574" s="78">
        <f t="shared" si="87"/>
        <v>695</v>
      </c>
      <c r="T574" s="78">
        <f>50</f>
        <v>50</v>
      </c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</row>
    <row r="575" spans="1:30" ht="15.75" x14ac:dyDescent="0.25">
      <c r="A575" s="13">
        <v>58440</v>
      </c>
      <c r="B575" s="89">
        <v>31</v>
      </c>
      <c r="C575" s="78">
        <f>122.58</f>
        <v>122.58</v>
      </c>
      <c r="D575" s="78">
        <f>297.941</f>
        <v>297.94099999999997</v>
      </c>
      <c r="E575" s="86">
        <f>89.177</f>
        <v>89.177000000000007</v>
      </c>
      <c r="F575" s="78">
        <f>240.302-40-60</f>
        <v>140.30199999999999</v>
      </c>
      <c r="G575" s="80">
        <v>40</v>
      </c>
      <c r="H575" s="78">
        <v>60</v>
      </c>
      <c r="I575" s="78">
        <f t="shared" si="91"/>
        <v>0</v>
      </c>
      <c r="J575" s="80">
        <v>100</v>
      </c>
      <c r="K575" s="80">
        <v>300</v>
      </c>
      <c r="L575" s="78">
        <f t="shared" si="84"/>
        <v>1150</v>
      </c>
      <c r="M575" s="88">
        <v>600</v>
      </c>
      <c r="N575" s="78">
        <f>100</f>
        <v>100</v>
      </c>
      <c r="O575" s="80">
        <v>240</v>
      </c>
      <c r="P575" s="80">
        <v>40</v>
      </c>
      <c r="Q575" s="80">
        <f t="shared" si="85"/>
        <v>315</v>
      </c>
      <c r="R575" s="80">
        <f t="shared" si="86"/>
        <v>100</v>
      </c>
      <c r="S575" s="78">
        <f t="shared" si="87"/>
        <v>695</v>
      </c>
      <c r="T575" s="78">
        <f>50</f>
        <v>50</v>
      </c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</row>
    <row r="576" spans="1:30" ht="15.75" x14ac:dyDescent="0.25">
      <c r="A576" s="13">
        <v>58471</v>
      </c>
      <c r="B576" s="89">
        <v>31</v>
      </c>
      <c r="C576" s="78">
        <f>122.58</f>
        <v>122.58</v>
      </c>
      <c r="D576" s="78">
        <f>297.941</f>
        <v>297.94099999999997</v>
      </c>
      <c r="E576" s="86">
        <f>89.177</f>
        <v>89.177000000000007</v>
      </c>
      <c r="F576" s="78">
        <f>240.302-40-60</f>
        <v>140.30199999999999</v>
      </c>
      <c r="G576" s="80">
        <v>40</v>
      </c>
      <c r="H576" s="78">
        <v>60</v>
      </c>
      <c r="I576" s="78">
        <f t="shared" si="91"/>
        <v>0</v>
      </c>
      <c r="J576" s="80">
        <v>100</v>
      </c>
      <c r="K576" s="80">
        <v>300</v>
      </c>
      <c r="L576" s="78">
        <f t="shared" si="84"/>
        <v>1150</v>
      </c>
      <c r="M576" s="88">
        <v>600</v>
      </c>
      <c r="N576" s="78">
        <f>100</f>
        <v>100</v>
      </c>
      <c r="O576" s="80">
        <v>240</v>
      </c>
      <c r="P576" s="80">
        <v>40</v>
      </c>
      <c r="Q576" s="80">
        <f t="shared" si="85"/>
        <v>315</v>
      </c>
      <c r="R576" s="80">
        <f t="shared" si="86"/>
        <v>100</v>
      </c>
      <c r="S576" s="78">
        <f t="shared" si="87"/>
        <v>695</v>
      </c>
      <c r="T576" s="78">
        <f>50</f>
        <v>50</v>
      </c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</row>
    <row r="577" spans="1:30" ht="15.75" x14ac:dyDescent="0.25">
      <c r="A577" s="13">
        <v>58499</v>
      </c>
      <c r="B577" s="89">
        <v>29</v>
      </c>
      <c r="C577" s="78">
        <f>122.58</f>
        <v>122.58</v>
      </c>
      <c r="D577" s="78">
        <f>297.941</f>
        <v>297.94099999999997</v>
      </c>
      <c r="E577" s="86">
        <f>89.177</f>
        <v>89.177000000000007</v>
      </c>
      <c r="F577" s="78">
        <f>240.302-40-60</f>
        <v>140.30199999999999</v>
      </c>
      <c r="G577" s="80">
        <v>40</v>
      </c>
      <c r="H577" s="78">
        <v>60</v>
      </c>
      <c r="I577" s="78">
        <f t="shared" si="91"/>
        <v>0</v>
      </c>
      <c r="J577" s="80">
        <v>100</v>
      </c>
      <c r="K577" s="80">
        <v>300</v>
      </c>
      <c r="L577" s="78">
        <f t="shared" si="84"/>
        <v>1150</v>
      </c>
      <c r="M577" s="88">
        <v>600</v>
      </c>
      <c r="N577" s="78">
        <f>100</f>
        <v>100</v>
      </c>
      <c r="O577" s="80">
        <v>240</v>
      </c>
      <c r="P577" s="80">
        <v>40</v>
      </c>
      <c r="Q577" s="80">
        <f t="shared" si="85"/>
        <v>315</v>
      </c>
      <c r="R577" s="80">
        <f t="shared" si="86"/>
        <v>100</v>
      </c>
      <c r="S577" s="78">
        <f t="shared" si="87"/>
        <v>695</v>
      </c>
      <c r="T577" s="78">
        <f>50</f>
        <v>50</v>
      </c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</row>
    <row r="578" spans="1:30" ht="15.75" x14ac:dyDescent="0.25">
      <c r="A578" s="13">
        <v>58531</v>
      </c>
      <c r="B578" s="89">
        <v>31</v>
      </c>
      <c r="C578" s="78">
        <f>122.58</f>
        <v>122.58</v>
      </c>
      <c r="D578" s="78">
        <f>297.941</f>
        <v>297.94099999999997</v>
      </c>
      <c r="E578" s="86">
        <f>89.177</f>
        <v>89.177000000000007</v>
      </c>
      <c r="F578" s="78">
        <f>240.302-40-60</f>
        <v>140.30199999999999</v>
      </c>
      <c r="G578" s="80">
        <v>40</v>
      </c>
      <c r="H578" s="78">
        <v>60</v>
      </c>
      <c r="I578" s="78">
        <f t="shared" si="91"/>
        <v>0</v>
      </c>
      <c r="J578" s="80">
        <v>100</v>
      </c>
      <c r="K578" s="80">
        <v>300</v>
      </c>
      <c r="L578" s="78">
        <f t="shared" si="84"/>
        <v>1150</v>
      </c>
      <c r="M578" s="88">
        <v>600</v>
      </c>
      <c r="N578" s="78">
        <f>100</f>
        <v>100</v>
      </c>
      <c r="O578" s="80">
        <v>240</v>
      </c>
      <c r="P578" s="80">
        <v>40</v>
      </c>
      <c r="Q578" s="80">
        <f t="shared" si="85"/>
        <v>315</v>
      </c>
      <c r="R578" s="80">
        <f t="shared" si="86"/>
        <v>100</v>
      </c>
      <c r="S578" s="78">
        <f t="shared" si="87"/>
        <v>695</v>
      </c>
      <c r="T578" s="78">
        <f>50</f>
        <v>50</v>
      </c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</row>
    <row r="579" spans="1:30" ht="15.75" x14ac:dyDescent="0.25">
      <c r="A579" s="13">
        <v>58561</v>
      </c>
      <c r="B579" s="89">
        <v>30</v>
      </c>
      <c r="C579" s="78">
        <f>141.293</f>
        <v>141.29300000000001</v>
      </c>
      <c r="D579" s="78">
        <f>267.993</f>
        <v>267.99299999999999</v>
      </c>
      <c r="E579" s="86">
        <f>115.016</f>
        <v>115.01600000000001</v>
      </c>
      <c r="F579" s="78">
        <f>314.698-40-25-60</f>
        <v>189.69799999999998</v>
      </c>
      <c r="G579" s="80">
        <v>40</v>
      </c>
      <c r="H579" s="78">
        <f t="shared" ref="H579:H585" si="93">25+60</f>
        <v>85</v>
      </c>
      <c r="I579" s="78">
        <f t="shared" si="91"/>
        <v>0</v>
      </c>
      <c r="J579" s="80">
        <v>100</v>
      </c>
      <c r="K579" s="80">
        <v>300</v>
      </c>
      <c r="L579" s="78">
        <f t="shared" si="84"/>
        <v>1239</v>
      </c>
      <c r="M579" s="88">
        <v>600</v>
      </c>
      <c r="N579" s="78">
        <f>100</f>
        <v>100</v>
      </c>
      <c r="O579" s="80">
        <v>240</v>
      </c>
      <c r="P579" s="80">
        <v>160</v>
      </c>
      <c r="Q579" s="80">
        <f t="shared" si="85"/>
        <v>195</v>
      </c>
      <c r="R579" s="80">
        <f t="shared" si="86"/>
        <v>100</v>
      </c>
      <c r="S579" s="78">
        <f t="shared" si="87"/>
        <v>695</v>
      </c>
      <c r="T579" s="78">
        <f>50</f>
        <v>50</v>
      </c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</row>
    <row r="580" spans="1:30" ht="15.75" x14ac:dyDescent="0.25">
      <c r="A580" s="13">
        <v>58592</v>
      </c>
      <c r="B580" s="89">
        <v>31</v>
      </c>
      <c r="C580" s="78">
        <f>194.205</f>
        <v>194.20500000000001</v>
      </c>
      <c r="D580" s="78">
        <f>267.466</f>
        <v>267.46600000000001</v>
      </c>
      <c r="E580" s="86">
        <f>133.845</f>
        <v>133.845</v>
      </c>
      <c r="F580" s="78">
        <f>278.484-40-25-60</f>
        <v>153.48399999999998</v>
      </c>
      <c r="G580" s="80">
        <v>40</v>
      </c>
      <c r="H580" s="78">
        <f t="shared" si="93"/>
        <v>85</v>
      </c>
      <c r="I580" s="78">
        <f t="shared" si="91"/>
        <v>0</v>
      </c>
      <c r="J580" s="80">
        <v>100</v>
      </c>
      <c r="K580" s="80">
        <v>300</v>
      </c>
      <c r="L580" s="78">
        <f t="shared" si="84"/>
        <v>1274</v>
      </c>
      <c r="M580" s="88">
        <v>600</v>
      </c>
      <c r="N580" s="78">
        <f>75</f>
        <v>75</v>
      </c>
      <c r="O580" s="80">
        <v>240</v>
      </c>
      <c r="P580" s="80">
        <v>160</v>
      </c>
      <c r="Q580" s="80">
        <f t="shared" si="85"/>
        <v>195</v>
      </c>
      <c r="R580" s="80">
        <f t="shared" si="86"/>
        <v>100</v>
      </c>
      <c r="S580" s="78">
        <f t="shared" si="87"/>
        <v>695</v>
      </c>
      <c r="T580" s="78">
        <f>50</f>
        <v>50</v>
      </c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</row>
    <row r="581" spans="1:30" ht="15.75" x14ac:dyDescent="0.25">
      <c r="A581" s="13">
        <v>58622</v>
      </c>
      <c r="B581" s="89">
        <v>30</v>
      </c>
      <c r="C581" s="78">
        <f>194.205</f>
        <v>194.20500000000001</v>
      </c>
      <c r="D581" s="78">
        <f>267.466</f>
        <v>267.46600000000001</v>
      </c>
      <c r="E581" s="86">
        <f>133.845</f>
        <v>133.845</v>
      </c>
      <c r="F581" s="78">
        <f>278.484-40-25-60</f>
        <v>153.48399999999998</v>
      </c>
      <c r="G581" s="80">
        <v>40</v>
      </c>
      <c r="H581" s="78">
        <f t="shared" si="93"/>
        <v>85</v>
      </c>
      <c r="I581" s="78">
        <f t="shared" si="91"/>
        <v>0</v>
      </c>
      <c r="J581" s="80">
        <v>100</v>
      </c>
      <c r="K581" s="80">
        <v>300</v>
      </c>
      <c r="L581" s="78">
        <f t="shared" si="84"/>
        <v>1274</v>
      </c>
      <c r="M581" s="88">
        <v>600</v>
      </c>
      <c r="N581" s="78">
        <f>30</f>
        <v>30</v>
      </c>
      <c r="O581" s="80">
        <v>240</v>
      </c>
      <c r="P581" s="80">
        <v>160</v>
      </c>
      <c r="Q581" s="80">
        <f t="shared" si="85"/>
        <v>195</v>
      </c>
      <c r="R581" s="80">
        <f t="shared" si="86"/>
        <v>100</v>
      </c>
      <c r="S581" s="78">
        <f t="shared" si="87"/>
        <v>695</v>
      </c>
      <c r="T581" s="78">
        <f>50</f>
        <v>50</v>
      </c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</row>
    <row r="582" spans="1:30" ht="15.75" x14ac:dyDescent="0.25">
      <c r="A582" s="13">
        <v>58653</v>
      </c>
      <c r="B582" s="89">
        <v>31</v>
      </c>
      <c r="C582" s="78">
        <f>194.205</f>
        <v>194.20500000000001</v>
      </c>
      <c r="D582" s="78">
        <f>267.466</f>
        <v>267.46600000000001</v>
      </c>
      <c r="E582" s="86">
        <f>133.845</f>
        <v>133.845</v>
      </c>
      <c r="F582" s="78">
        <f>278.484-40-25-60</f>
        <v>153.48399999999998</v>
      </c>
      <c r="G582" s="80">
        <v>40</v>
      </c>
      <c r="H582" s="78">
        <f t="shared" si="93"/>
        <v>85</v>
      </c>
      <c r="I582" s="78">
        <f t="shared" si="91"/>
        <v>0</v>
      </c>
      <c r="J582" s="80">
        <v>100</v>
      </c>
      <c r="K582" s="80">
        <v>300</v>
      </c>
      <c r="L582" s="78">
        <f t="shared" si="84"/>
        <v>1274</v>
      </c>
      <c r="M582" s="88">
        <v>600</v>
      </c>
      <c r="N582" s="78">
        <f>30</f>
        <v>30</v>
      </c>
      <c r="O582" s="80">
        <v>240</v>
      </c>
      <c r="P582" s="80">
        <v>160</v>
      </c>
      <c r="Q582" s="80">
        <f t="shared" si="85"/>
        <v>195</v>
      </c>
      <c r="R582" s="80">
        <f t="shared" si="86"/>
        <v>100</v>
      </c>
      <c r="S582" s="78">
        <f t="shared" si="87"/>
        <v>695</v>
      </c>
      <c r="T582" s="78">
        <f>0</f>
        <v>0</v>
      </c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</row>
    <row r="583" spans="1:30" ht="15.75" x14ac:dyDescent="0.25">
      <c r="A583" s="13">
        <v>58684</v>
      </c>
      <c r="B583" s="89">
        <v>31</v>
      </c>
      <c r="C583" s="78">
        <f>194.205</f>
        <v>194.20500000000001</v>
      </c>
      <c r="D583" s="78">
        <f>267.466</f>
        <v>267.46600000000001</v>
      </c>
      <c r="E583" s="86">
        <f>133.845</f>
        <v>133.845</v>
      </c>
      <c r="F583" s="78">
        <f>278.484-40-25-60</f>
        <v>153.48399999999998</v>
      </c>
      <c r="G583" s="80">
        <v>40</v>
      </c>
      <c r="H583" s="78">
        <f t="shared" si="93"/>
        <v>85</v>
      </c>
      <c r="I583" s="78">
        <f t="shared" si="91"/>
        <v>0</v>
      </c>
      <c r="J583" s="80">
        <v>100</v>
      </c>
      <c r="K583" s="80">
        <v>300</v>
      </c>
      <c r="L583" s="78">
        <f t="shared" si="84"/>
        <v>1274</v>
      </c>
      <c r="M583" s="88">
        <v>600</v>
      </c>
      <c r="N583" s="78">
        <f>30</f>
        <v>30</v>
      </c>
      <c r="O583" s="80">
        <v>240</v>
      </c>
      <c r="P583" s="80">
        <v>160</v>
      </c>
      <c r="Q583" s="80">
        <f t="shared" si="85"/>
        <v>195</v>
      </c>
      <c r="R583" s="80">
        <f t="shared" si="86"/>
        <v>100</v>
      </c>
      <c r="S583" s="78">
        <f t="shared" si="87"/>
        <v>695</v>
      </c>
      <c r="T583" s="78">
        <f>0</f>
        <v>0</v>
      </c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</row>
    <row r="584" spans="1:30" ht="15.75" x14ac:dyDescent="0.25">
      <c r="A584" s="13">
        <v>58714</v>
      </c>
      <c r="B584" s="89">
        <v>30</v>
      </c>
      <c r="C584" s="78">
        <f>194.205</f>
        <v>194.20500000000001</v>
      </c>
      <c r="D584" s="78">
        <f>267.466</f>
        <v>267.46600000000001</v>
      </c>
      <c r="E584" s="86">
        <f>133.845</f>
        <v>133.845</v>
      </c>
      <c r="F584" s="78">
        <f>278.484-40-25-60</f>
        <v>153.48399999999998</v>
      </c>
      <c r="G584" s="80">
        <v>40</v>
      </c>
      <c r="H584" s="78">
        <f t="shared" si="93"/>
        <v>85</v>
      </c>
      <c r="I584" s="78">
        <f t="shared" si="91"/>
        <v>0</v>
      </c>
      <c r="J584" s="80">
        <v>100</v>
      </c>
      <c r="K584" s="80">
        <v>300</v>
      </c>
      <c r="L584" s="78">
        <f t="shared" si="84"/>
        <v>1274</v>
      </c>
      <c r="M584" s="88">
        <v>600</v>
      </c>
      <c r="N584" s="78">
        <f>30</f>
        <v>30</v>
      </c>
      <c r="O584" s="80">
        <v>240</v>
      </c>
      <c r="P584" s="80">
        <v>160</v>
      </c>
      <c r="Q584" s="80">
        <f t="shared" si="85"/>
        <v>195</v>
      </c>
      <c r="R584" s="80">
        <f t="shared" si="86"/>
        <v>100</v>
      </c>
      <c r="S584" s="78">
        <f t="shared" si="87"/>
        <v>695</v>
      </c>
      <c r="T584" s="78">
        <f>0</f>
        <v>0</v>
      </c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</row>
    <row r="585" spans="1:30" ht="15.75" x14ac:dyDescent="0.25">
      <c r="A585" s="13">
        <v>58745</v>
      </c>
      <c r="B585" s="89">
        <v>31</v>
      </c>
      <c r="C585" s="78">
        <f>131.881</f>
        <v>131.881</v>
      </c>
      <c r="D585" s="78">
        <f>277.167</f>
        <v>277.16699999999997</v>
      </c>
      <c r="E585" s="86">
        <f>79.08</f>
        <v>79.08</v>
      </c>
      <c r="F585" s="78">
        <f>350.872-40-25-60</f>
        <v>225.87200000000001</v>
      </c>
      <c r="G585" s="80">
        <v>40</v>
      </c>
      <c r="H585" s="78">
        <f t="shared" si="93"/>
        <v>85</v>
      </c>
      <c r="I585" s="78">
        <f t="shared" si="91"/>
        <v>0</v>
      </c>
      <c r="J585" s="80">
        <v>100</v>
      </c>
      <c r="K585" s="80">
        <v>300</v>
      </c>
      <c r="L585" s="78">
        <f t="shared" si="84"/>
        <v>1239</v>
      </c>
      <c r="M585" s="88">
        <v>600</v>
      </c>
      <c r="N585" s="78">
        <f>75</f>
        <v>75</v>
      </c>
      <c r="O585" s="80">
        <v>240</v>
      </c>
      <c r="P585" s="80">
        <v>160</v>
      </c>
      <c r="Q585" s="80">
        <f t="shared" si="85"/>
        <v>195</v>
      </c>
      <c r="R585" s="80">
        <f t="shared" si="86"/>
        <v>100</v>
      </c>
      <c r="S585" s="78">
        <f t="shared" si="87"/>
        <v>695</v>
      </c>
      <c r="T585" s="78">
        <f>0</f>
        <v>0</v>
      </c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</row>
    <row r="586" spans="1:30" ht="15.75" x14ac:dyDescent="0.25">
      <c r="A586" s="13">
        <v>58775</v>
      </c>
      <c r="B586" s="89">
        <v>30</v>
      </c>
      <c r="C586" s="78">
        <f>122.58</f>
        <v>122.58</v>
      </c>
      <c r="D586" s="78">
        <f>297.941</f>
        <v>297.94099999999997</v>
      </c>
      <c r="E586" s="86">
        <f>89.177</f>
        <v>89.177000000000007</v>
      </c>
      <c r="F586" s="78">
        <f>240.302-40-60</f>
        <v>140.30199999999999</v>
      </c>
      <c r="G586" s="80">
        <v>40</v>
      </c>
      <c r="H586" s="78">
        <v>60</v>
      </c>
      <c r="I586" s="78">
        <f t="shared" si="91"/>
        <v>0</v>
      </c>
      <c r="J586" s="80">
        <v>100</v>
      </c>
      <c r="K586" s="80">
        <v>300</v>
      </c>
      <c r="L586" s="78">
        <f t="shared" si="84"/>
        <v>1150</v>
      </c>
      <c r="M586" s="88">
        <v>600</v>
      </c>
      <c r="N586" s="78">
        <f>100</f>
        <v>100</v>
      </c>
      <c r="O586" s="80">
        <v>240</v>
      </c>
      <c r="P586" s="80">
        <v>40</v>
      </c>
      <c r="Q586" s="80">
        <f t="shared" si="85"/>
        <v>315</v>
      </c>
      <c r="R586" s="80">
        <f t="shared" si="86"/>
        <v>100</v>
      </c>
      <c r="S586" s="78">
        <f t="shared" si="87"/>
        <v>695</v>
      </c>
      <c r="T586" s="78">
        <f>50</f>
        <v>50</v>
      </c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</row>
    <row r="587" spans="1:30" ht="15.75" x14ac:dyDescent="0.25">
      <c r="A587" s="13">
        <v>58806</v>
      </c>
      <c r="B587" s="89">
        <v>31</v>
      </c>
      <c r="C587" s="78">
        <f>122.58</f>
        <v>122.58</v>
      </c>
      <c r="D587" s="78">
        <f>297.941</f>
        <v>297.94099999999997</v>
      </c>
      <c r="E587" s="86">
        <f>89.177</f>
        <v>89.177000000000007</v>
      </c>
      <c r="F587" s="78">
        <f>240.302-40-60</f>
        <v>140.30199999999999</v>
      </c>
      <c r="G587" s="80">
        <v>40</v>
      </c>
      <c r="H587" s="78">
        <v>60</v>
      </c>
      <c r="I587" s="78">
        <f t="shared" si="91"/>
        <v>0</v>
      </c>
      <c r="J587" s="80">
        <v>100</v>
      </c>
      <c r="K587" s="80">
        <v>300</v>
      </c>
      <c r="L587" s="78">
        <f t="shared" si="84"/>
        <v>1150</v>
      </c>
      <c r="M587" s="88">
        <v>600</v>
      </c>
      <c r="N587" s="78">
        <f>100</f>
        <v>100</v>
      </c>
      <c r="O587" s="80">
        <v>240</v>
      </c>
      <c r="P587" s="80">
        <v>40</v>
      </c>
      <c r="Q587" s="80">
        <f t="shared" si="85"/>
        <v>315</v>
      </c>
      <c r="R587" s="80">
        <f t="shared" si="86"/>
        <v>100</v>
      </c>
      <c r="S587" s="78">
        <f t="shared" si="87"/>
        <v>695</v>
      </c>
      <c r="T587" s="78">
        <f>50</f>
        <v>50</v>
      </c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</row>
    <row r="588" spans="1:30" ht="15.75" x14ac:dyDescent="0.25">
      <c r="A588" s="13">
        <v>58837</v>
      </c>
      <c r="B588" s="89">
        <v>31</v>
      </c>
      <c r="C588" s="78">
        <f>122.58</f>
        <v>122.58</v>
      </c>
      <c r="D588" s="78">
        <f>297.941</f>
        <v>297.94099999999997</v>
      </c>
      <c r="E588" s="86">
        <f>89.177</f>
        <v>89.177000000000007</v>
      </c>
      <c r="F588" s="78">
        <f>240.302-40-60</f>
        <v>140.30199999999999</v>
      </c>
      <c r="G588" s="80">
        <v>40</v>
      </c>
      <c r="H588" s="78">
        <v>60</v>
      </c>
      <c r="I588" s="78">
        <f t="shared" si="91"/>
        <v>0</v>
      </c>
      <c r="J588" s="80">
        <v>100</v>
      </c>
      <c r="K588" s="80">
        <v>300</v>
      </c>
      <c r="L588" s="78">
        <f t="shared" si="84"/>
        <v>1150</v>
      </c>
      <c r="M588" s="88">
        <v>600</v>
      </c>
      <c r="N588" s="78">
        <f>100</f>
        <v>100</v>
      </c>
      <c r="O588" s="80">
        <v>240</v>
      </c>
      <c r="P588" s="80">
        <v>40</v>
      </c>
      <c r="Q588" s="80">
        <f t="shared" si="85"/>
        <v>315</v>
      </c>
      <c r="R588" s="80">
        <f t="shared" si="86"/>
        <v>100</v>
      </c>
      <c r="S588" s="78">
        <f t="shared" si="87"/>
        <v>695</v>
      </c>
      <c r="T588" s="78">
        <f>50</f>
        <v>50</v>
      </c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</row>
    <row r="589" spans="1:30" ht="15.75" x14ac:dyDescent="0.25">
      <c r="A589" s="13">
        <v>58865</v>
      </c>
      <c r="B589" s="89">
        <v>28</v>
      </c>
      <c r="C589" s="78">
        <f>122.58</f>
        <v>122.58</v>
      </c>
      <c r="D589" s="78">
        <f>297.941</f>
        <v>297.94099999999997</v>
      </c>
      <c r="E589" s="86">
        <f>89.177</f>
        <v>89.177000000000007</v>
      </c>
      <c r="F589" s="78">
        <f>240.302-40-60</f>
        <v>140.30199999999999</v>
      </c>
      <c r="G589" s="80">
        <v>40</v>
      </c>
      <c r="H589" s="78">
        <v>60</v>
      </c>
      <c r="I589" s="78">
        <f t="shared" si="91"/>
        <v>0</v>
      </c>
      <c r="J589" s="80">
        <v>100</v>
      </c>
      <c r="K589" s="80">
        <v>300</v>
      </c>
      <c r="L589" s="78">
        <f t="shared" si="84"/>
        <v>1150</v>
      </c>
      <c r="M589" s="88">
        <v>600</v>
      </c>
      <c r="N589" s="78">
        <f>100</f>
        <v>100</v>
      </c>
      <c r="O589" s="80">
        <v>240</v>
      </c>
      <c r="P589" s="80">
        <v>40</v>
      </c>
      <c r="Q589" s="80">
        <f t="shared" si="85"/>
        <v>315</v>
      </c>
      <c r="R589" s="80">
        <f t="shared" si="86"/>
        <v>100</v>
      </c>
      <c r="S589" s="78">
        <f t="shared" si="87"/>
        <v>695</v>
      </c>
      <c r="T589" s="78">
        <f>50</f>
        <v>50</v>
      </c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</row>
    <row r="590" spans="1:30" ht="15.75" x14ac:dyDescent="0.25">
      <c r="A590" s="13">
        <v>58893</v>
      </c>
      <c r="B590" s="89">
        <v>31</v>
      </c>
      <c r="C590" s="78">
        <f>122.58</f>
        <v>122.58</v>
      </c>
      <c r="D590" s="78">
        <f>297.941</f>
        <v>297.94099999999997</v>
      </c>
      <c r="E590" s="86">
        <f>89.177</f>
        <v>89.177000000000007</v>
      </c>
      <c r="F590" s="78">
        <f>240.302-40-60</f>
        <v>140.30199999999999</v>
      </c>
      <c r="G590" s="80">
        <v>40</v>
      </c>
      <c r="H590" s="78">
        <v>60</v>
      </c>
      <c r="I590" s="78">
        <f t="shared" si="91"/>
        <v>0</v>
      </c>
      <c r="J590" s="80">
        <v>100</v>
      </c>
      <c r="K590" s="80">
        <v>300</v>
      </c>
      <c r="L590" s="78">
        <f t="shared" ref="L590:L599" si="94">SUM(C590:K590)</f>
        <v>1150</v>
      </c>
      <c r="M590" s="88">
        <v>600</v>
      </c>
      <c r="N590" s="78">
        <f>100</f>
        <v>100</v>
      </c>
      <c r="O590" s="80">
        <v>240</v>
      </c>
      <c r="P590" s="80">
        <v>40</v>
      </c>
      <c r="Q590" s="80">
        <f t="shared" ref="Q590:Q599" si="95">695-R590-O590-P590</f>
        <v>315</v>
      </c>
      <c r="R590" s="80">
        <f t="shared" ref="R590:R599" si="96">200-J590</f>
        <v>100</v>
      </c>
      <c r="S590" s="78">
        <f t="shared" ref="S590:S599" si="97">SUM(O590:R590)</f>
        <v>695</v>
      </c>
      <c r="T590" s="78">
        <f>50</f>
        <v>50</v>
      </c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</row>
    <row r="591" spans="1:30" ht="15.75" x14ac:dyDescent="0.25">
      <c r="A591" s="13">
        <v>58926</v>
      </c>
      <c r="B591" s="89">
        <v>30</v>
      </c>
      <c r="C591" s="78">
        <f>141.293</f>
        <v>141.29300000000001</v>
      </c>
      <c r="D591" s="78">
        <f>267.993</f>
        <v>267.99299999999999</v>
      </c>
      <c r="E591" s="86">
        <f>115.016</f>
        <v>115.01600000000001</v>
      </c>
      <c r="F591" s="78">
        <f>314.698-40-25-60</f>
        <v>189.69799999999998</v>
      </c>
      <c r="G591" s="80">
        <v>40</v>
      </c>
      <c r="H591" s="78">
        <f t="shared" ref="H591:H597" si="98">25+60</f>
        <v>85</v>
      </c>
      <c r="I591" s="78">
        <f t="shared" si="91"/>
        <v>0</v>
      </c>
      <c r="J591" s="80">
        <v>100</v>
      </c>
      <c r="K591" s="80">
        <v>300</v>
      </c>
      <c r="L591" s="78">
        <f t="shared" si="94"/>
        <v>1239</v>
      </c>
      <c r="M591" s="88">
        <v>600</v>
      </c>
      <c r="N591" s="78">
        <f>100</f>
        <v>100</v>
      </c>
      <c r="O591" s="80">
        <v>240</v>
      </c>
      <c r="P591" s="80">
        <v>160</v>
      </c>
      <c r="Q591" s="80">
        <f t="shared" si="95"/>
        <v>195</v>
      </c>
      <c r="R591" s="80">
        <f t="shared" si="96"/>
        <v>100</v>
      </c>
      <c r="S591" s="78">
        <f t="shared" si="97"/>
        <v>695</v>
      </c>
      <c r="T591" s="78">
        <f>50</f>
        <v>50</v>
      </c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</row>
    <row r="592" spans="1:30" ht="15.75" x14ac:dyDescent="0.25">
      <c r="A592" s="13">
        <v>58957</v>
      </c>
      <c r="B592" s="89">
        <v>31</v>
      </c>
      <c r="C592" s="78">
        <f>194.205</f>
        <v>194.20500000000001</v>
      </c>
      <c r="D592" s="78">
        <f>267.466</f>
        <v>267.46600000000001</v>
      </c>
      <c r="E592" s="86">
        <f>133.845</f>
        <v>133.845</v>
      </c>
      <c r="F592" s="78">
        <f>278.484-40-25-60</f>
        <v>153.48399999999998</v>
      </c>
      <c r="G592" s="80">
        <v>40</v>
      </c>
      <c r="H592" s="78">
        <f t="shared" si="98"/>
        <v>85</v>
      </c>
      <c r="I592" s="78">
        <f t="shared" si="91"/>
        <v>0</v>
      </c>
      <c r="J592" s="80">
        <v>100</v>
      </c>
      <c r="K592" s="80">
        <v>300</v>
      </c>
      <c r="L592" s="78">
        <f t="shared" si="94"/>
        <v>1274</v>
      </c>
      <c r="M592" s="88">
        <v>600</v>
      </c>
      <c r="N592" s="78">
        <f>75</f>
        <v>75</v>
      </c>
      <c r="O592" s="80">
        <v>240</v>
      </c>
      <c r="P592" s="80">
        <v>160</v>
      </c>
      <c r="Q592" s="80">
        <f t="shared" si="95"/>
        <v>195</v>
      </c>
      <c r="R592" s="80">
        <f t="shared" si="96"/>
        <v>100</v>
      </c>
      <c r="S592" s="78">
        <f t="shared" si="97"/>
        <v>695</v>
      </c>
      <c r="T592" s="78">
        <f>50</f>
        <v>50</v>
      </c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</row>
    <row r="593" spans="1:30" ht="15.75" x14ac:dyDescent="0.25">
      <c r="A593" s="13">
        <v>58987</v>
      </c>
      <c r="B593" s="89">
        <v>30</v>
      </c>
      <c r="C593" s="78">
        <f>194.205</f>
        <v>194.20500000000001</v>
      </c>
      <c r="D593" s="78">
        <f>267.466</f>
        <v>267.46600000000001</v>
      </c>
      <c r="E593" s="86">
        <f>133.845</f>
        <v>133.845</v>
      </c>
      <c r="F593" s="78">
        <f>278.484-40-25-60</f>
        <v>153.48399999999998</v>
      </c>
      <c r="G593" s="80">
        <v>40</v>
      </c>
      <c r="H593" s="78">
        <f t="shared" si="98"/>
        <v>85</v>
      </c>
      <c r="I593" s="78">
        <f t="shared" si="91"/>
        <v>0</v>
      </c>
      <c r="J593" s="80">
        <v>100</v>
      </c>
      <c r="K593" s="80">
        <v>300</v>
      </c>
      <c r="L593" s="78">
        <f t="shared" si="94"/>
        <v>1274</v>
      </c>
      <c r="M593" s="88">
        <v>600</v>
      </c>
      <c r="N593" s="78">
        <f>30</f>
        <v>30</v>
      </c>
      <c r="O593" s="80">
        <v>240</v>
      </c>
      <c r="P593" s="80">
        <v>160</v>
      </c>
      <c r="Q593" s="80">
        <f t="shared" si="95"/>
        <v>195</v>
      </c>
      <c r="R593" s="80">
        <f t="shared" si="96"/>
        <v>100</v>
      </c>
      <c r="S593" s="78">
        <f t="shared" si="97"/>
        <v>695</v>
      </c>
      <c r="T593" s="78">
        <f>50</f>
        <v>50</v>
      </c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</row>
    <row r="594" spans="1:30" ht="15.75" x14ac:dyDescent="0.25">
      <c r="A594" s="13">
        <v>59018</v>
      </c>
      <c r="B594" s="89">
        <v>31</v>
      </c>
      <c r="C594" s="78">
        <f>194.205</f>
        <v>194.20500000000001</v>
      </c>
      <c r="D594" s="78">
        <f>267.466</f>
        <v>267.46600000000001</v>
      </c>
      <c r="E594" s="86">
        <f>133.845</f>
        <v>133.845</v>
      </c>
      <c r="F594" s="78">
        <f>278.484-40-25-60</f>
        <v>153.48399999999998</v>
      </c>
      <c r="G594" s="80">
        <v>40</v>
      </c>
      <c r="H594" s="78">
        <f t="shared" si="98"/>
        <v>85</v>
      </c>
      <c r="I594" s="78">
        <f t="shared" si="91"/>
        <v>0</v>
      </c>
      <c r="J594" s="80">
        <v>100</v>
      </c>
      <c r="K594" s="80">
        <v>300</v>
      </c>
      <c r="L594" s="78">
        <f t="shared" si="94"/>
        <v>1274</v>
      </c>
      <c r="M594" s="88">
        <v>600</v>
      </c>
      <c r="N594" s="78">
        <f>30</f>
        <v>30</v>
      </c>
      <c r="O594" s="80">
        <v>240</v>
      </c>
      <c r="P594" s="80">
        <v>160</v>
      </c>
      <c r="Q594" s="80">
        <f t="shared" si="95"/>
        <v>195</v>
      </c>
      <c r="R594" s="80">
        <f t="shared" si="96"/>
        <v>100</v>
      </c>
      <c r="S594" s="78">
        <f t="shared" si="97"/>
        <v>695</v>
      </c>
      <c r="T594" s="78">
        <f>0</f>
        <v>0</v>
      </c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</row>
    <row r="595" spans="1:30" ht="15.75" x14ac:dyDescent="0.25">
      <c r="A595" s="13">
        <v>59049</v>
      </c>
      <c r="B595" s="89">
        <v>31</v>
      </c>
      <c r="C595" s="78">
        <f>194.205</f>
        <v>194.20500000000001</v>
      </c>
      <c r="D595" s="78">
        <f>267.466</f>
        <v>267.46600000000001</v>
      </c>
      <c r="E595" s="86">
        <f>133.845</f>
        <v>133.845</v>
      </c>
      <c r="F595" s="78">
        <f>278.484-40-25-60</f>
        <v>153.48399999999998</v>
      </c>
      <c r="G595" s="80">
        <v>40</v>
      </c>
      <c r="H595" s="78">
        <f t="shared" si="98"/>
        <v>85</v>
      </c>
      <c r="I595" s="78">
        <f t="shared" si="91"/>
        <v>0</v>
      </c>
      <c r="J595" s="80">
        <v>100</v>
      </c>
      <c r="K595" s="80">
        <v>300</v>
      </c>
      <c r="L595" s="78">
        <f t="shared" si="94"/>
        <v>1274</v>
      </c>
      <c r="M595" s="88">
        <v>600</v>
      </c>
      <c r="N595" s="78">
        <f>30</f>
        <v>30</v>
      </c>
      <c r="O595" s="80">
        <v>240</v>
      </c>
      <c r="P595" s="80">
        <v>160</v>
      </c>
      <c r="Q595" s="80">
        <f t="shared" si="95"/>
        <v>195</v>
      </c>
      <c r="R595" s="80">
        <f t="shared" si="96"/>
        <v>100</v>
      </c>
      <c r="S595" s="78">
        <f t="shared" si="97"/>
        <v>695</v>
      </c>
      <c r="T595" s="78">
        <f>0</f>
        <v>0</v>
      </c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</row>
    <row r="596" spans="1:30" ht="15.75" x14ac:dyDescent="0.25">
      <c r="A596" s="13">
        <v>59079</v>
      </c>
      <c r="B596" s="89">
        <v>30</v>
      </c>
      <c r="C596" s="78">
        <f>194.205</f>
        <v>194.20500000000001</v>
      </c>
      <c r="D596" s="78">
        <f>267.466</f>
        <v>267.46600000000001</v>
      </c>
      <c r="E596" s="86">
        <f>133.845</f>
        <v>133.845</v>
      </c>
      <c r="F596" s="78">
        <f>278.484-40-25-60</f>
        <v>153.48399999999998</v>
      </c>
      <c r="G596" s="80">
        <v>40</v>
      </c>
      <c r="H596" s="78">
        <f t="shared" si="98"/>
        <v>85</v>
      </c>
      <c r="I596" s="78">
        <f t="shared" si="91"/>
        <v>0</v>
      </c>
      <c r="J596" s="80">
        <v>100</v>
      </c>
      <c r="K596" s="80">
        <v>300</v>
      </c>
      <c r="L596" s="78">
        <f t="shared" si="94"/>
        <v>1274</v>
      </c>
      <c r="M596" s="88">
        <v>600</v>
      </c>
      <c r="N596" s="78">
        <f>30</f>
        <v>30</v>
      </c>
      <c r="O596" s="80">
        <v>240</v>
      </c>
      <c r="P596" s="80">
        <v>160</v>
      </c>
      <c r="Q596" s="80">
        <f t="shared" si="95"/>
        <v>195</v>
      </c>
      <c r="R596" s="80">
        <f t="shared" si="96"/>
        <v>100</v>
      </c>
      <c r="S596" s="78">
        <f t="shared" si="97"/>
        <v>695</v>
      </c>
      <c r="T596" s="78">
        <f>0</f>
        <v>0</v>
      </c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</row>
    <row r="597" spans="1:30" ht="15.75" x14ac:dyDescent="0.25">
      <c r="A597" s="13">
        <v>59110</v>
      </c>
      <c r="B597" s="89">
        <v>31</v>
      </c>
      <c r="C597" s="78">
        <f>131.881</f>
        <v>131.881</v>
      </c>
      <c r="D597" s="78">
        <f>277.167</f>
        <v>277.16699999999997</v>
      </c>
      <c r="E597" s="86">
        <f>79.08</f>
        <v>79.08</v>
      </c>
      <c r="F597" s="78">
        <f>350.872-40-25-60</f>
        <v>225.87200000000001</v>
      </c>
      <c r="G597" s="80">
        <v>40</v>
      </c>
      <c r="H597" s="78">
        <f t="shared" si="98"/>
        <v>85</v>
      </c>
      <c r="I597" s="78">
        <f t="shared" si="91"/>
        <v>0</v>
      </c>
      <c r="J597" s="80">
        <v>100</v>
      </c>
      <c r="K597" s="80">
        <v>300</v>
      </c>
      <c r="L597" s="78">
        <f t="shared" si="94"/>
        <v>1239</v>
      </c>
      <c r="M597" s="88">
        <v>600</v>
      </c>
      <c r="N597" s="78">
        <f>75</f>
        <v>75</v>
      </c>
      <c r="O597" s="80">
        <v>240</v>
      </c>
      <c r="P597" s="80">
        <v>160</v>
      </c>
      <c r="Q597" s="80">
        <f t="shared" si="95"/>
        <v>195</v>
      </c>
      <c r="R597" s="80">
        <f t="shared" si="96"/>
        <v>100</v>
      </c>
      <c r="S597" s="78">
        <f t="shared" si="97"/>
        <v>695</v>
      </c>
      <c r="T597" s="78">
        <f>0</f>
        <v>0</v>
      </c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</row>
    <row r="598" spans="1:30" ht="15.75" x14ac:dyDescent="0.25">
      <c r="A598" s="13">
        <v>59140</v>
      </c>
      <c r="B598" s="89">
        <v>30</v>
      </c>
      <c r="C598" s="78">
        <f>122.58</f>
        <v>122.58</v>
      </c>
      <c r="D598" s="78">
        <f>297.941</f>
        <v>297.94099999999997</v>
      </c>
      <c r="E598" s="86">
        <f>89.177</f>
        <v>89.177000000000007</v>
      </c>
      <c r="F598" s="78">
        <f>240.302-40-60</f>
        <v>140.30199999999999</v>
      </c>
      <c r="G598" s="80">
        <v>40</v>
      </c>
      <c r="H598" s="78">
        <v>60</v>
      </c>
      <c r="I598" s="78">
        <f t="shared" si="91"/>
        <v>0</v>
      </c>
      <c r="J598" s="80">
        <v>100</v>
      </c>
      <c r="K598" s="80">
        <v>300</v>
      </c>
      <c r="L598" s="78">
        <f t="shared" si="94"/>
        <v>1150</v>
      </c>
      <c r="M598" s="88">
        <v>600</v>
      </c>
      <c r="N598" s="78">
        <f>100</f>
        <v>100</v>
      </c>
      <c r="O598" s="80">
        <v>240</v>
      </c>
      <c r="P598" s="80">
        <v>40</v>
      </c>
      <c r="Q598" s="80">
        <f t="shared" si="95"/>
        <v>315</v>
      </c>
      <c r="R598" s="80">
        <f t="shared" si="96"/>
        <v>100</v>
      </c>
      <c r="S598" s="78">
        <f t="shared" si="97"/>
        <v>695</v>
      </c>
      <c r="T598" s="78">
        <f>50</f>
        <v>50</v>
      </c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</row>
    <row r="599" spans="1:30" ht="15.75" x14ac:dyDescent="0.25">
      <c r="A599" s="13">
        <v>59171</v>
      </c>
      <c r="B599" s="89">
        <v>31</v>
      </c>
      <c r="C599" s="78">
        <f>122.58</f>
        <v>122.58</v>
      </c>
      <c r="D599" s="78">
        <f>297.941</f>
        <v>297.94099999999997</v>
      </c>
      <c r="E599" s="86">
        <f>89.177</f>
        <v>89.177000000000007</v>
      </c>
      <c r="F599" s="78">
        <f>240.302-40-60</f>
        <v>140.30199999999999</v>
      </c>
      <c r="G599" s="80">
        <v>40</v>
      </c>
      <c r="H599" s="78">
        <v>60</v>
      </c>
      <c r="I599" s="78">
        <f t="shared" si="91"/>
        <v>0</v>
      </c>
      <c r="J599" s="80">
        <v>100</v>
      </c>
      <c r="K599" s="80">
        <v>300</v>
      </c>
      <c r="L599" s="78">
        <f t="shared" si="94"/>
        <v>1150</v>
      </c>
      <c r="M599" s="88">
        <v>600</v>
      </c>
      <c r="N599" s="78">
        <f>100</f>
        <v>100</v>
      </c>
      <c r="O599" s="80">
        <v>240</v>
      </c>
      <c r="P599" s="80">
        <v>40</v>
      </c>
      <c r="Q599" s="80">
        <f t="shared" si="95"/>
        <v>315</v>
      </c>
      <c r="R599" s="80">
        <f t="shared" si="96"/>
        <v>100</v>
      </c>
      <c r="S599" s="78">
        <f t="shared" si="97"/>
        <v>695</v>
      </c>
      <c r="T599" s="78">
        <f>50</f>
        <v>50</v>
      </c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</row>
    <row r="600" spans="1:30" ht="15" x14ac:dyDescent="0.2">
      <c r="A600" s="12"/>
      <c r="B600" s="87"/>
      <c r="C600" s="78"/>
      <c r="D600" s="78"/>
      <c r="E600" s="86"/>
      <c r="F600" s="78"/>
      <c r="G600" s="78"/>
      <c r="H600" s="78"/>
      <c r="I600" s="78"/>
      <c r="J600" s="78"/>
      <c r="K600" s="78"/>
      <c r="L600" s="78"/>
      <c r="M600" s="78"/>
      <c r="N600" s="78"/>
      <c r="O600" s="80"/>
      <c r="P600" s="80"/>
      <c r="Q600" s="80"/>
      <c r="R600" s="80"/>
      <c r="S600" s="78"/>
      <c r="T600" s="78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</row>
    <row r="601" spans="1:30" ht="15" x14ac:dyDescent="0.2">
      <c r="A601" s="11">
        <v>2013</v>
      </c>
      <c r="B601" s="11"/>
      <c r="C601" s="81">
        <f t="shared" ref="C601:L601" si="99">AVERAGE(C12:C23)</f>
        <v>154.75825</v>
      </c>
      <c r="D601" s="81">
        <f t="shared" si="99"/>
        <v>281.0162499999999</v>
      </c>
      <c r="E601" s="81">
        <f t="shared" si="99"/>
        <v>109.1005</v>
      </c>
      <c r="F601" s="81">
        <f t="shared" si="99"/>
        <v>217.04166666666666</v>
      </c>
      <c r="G601" s="81">
        <f t="shared" si="99"/>
        <v>40</v>
      </c>
      <c r="H601" s="81">
        <f t="shared" si="99"/>
        <v>14.583333333333334</v>
      </c>
      <c r="I601" s="81">
        <f t="shared" si="99"/>
        <v>12.5</v>
      </c>
      <c r="J601" s="81">
        <f t="shared" si="99"/>
        <v>100</v>
      </c>
      <c r="K601" s="81">
        <f t="shared" si="99"/>
        <v>300</v>
      </c>
      <c r="L601" s="81">
        <f t="shared" si="99"/>
        <v>1229</v>
      </c>
      <c r="M601" s="85"/>
      <c r="N601" s="81">
        <f t="shared" ref="N601:T601" si="100">AVERAGE(N12:N23)</f>
        <v>97.5</v>
      </c>
      <c r="O601" s="82">
        <f t="shared" si="100"/>
        <v>240</v>
      </c>
      <c r="P601" s="82">
        <f t="shared" si="100"/>
        <v>70</v>
      </c>
      <c r="Q601" s="82">
        <f t="shared" si="100"/>
        <v>285</v>
      </c>
      <c r="R601" s="82">
        <f t="shared" si="100"/>
        <v>100</v>
      </c>
      <c r="S601" s="81">
        <f t="shared" si="100"/>
        <v>695</v>
      </c>
      <c r="T601" s="81">
        <f t="shared" si="100"/>
        <v>33.333333333333336</v>
      </c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</row>
    <row r="602" spans="1:30" ht="15.75" x14ac:dyDescent="0.25">
      <c r="A602" s="11">
        <v>2014</v>
      </c>
      <c r="B602" s="11"/>
      <c r="C602" s="81">
        <f t="shared" ref="C602:L602" si="101">AVERAGE(C24:C35)</f>
        <v>154.75825</v>
      </c>
      <c r="D602" s="81">
        <f t="shared" si="101"/>
        <v>281.0162499999999</v>
      </c>
      <c r="E602" s="81">
        <f t="shared" si="101"/>
        <v>109.1005</v>
      </c>
      <c r="F602" s="81">
        <f t="shared" si="101"/>
        <v>217.04166666666666</v>
      </c>
      <c r="G602" s="81">
        <f t="shared" si="101"/>
        <v>40</v>
      </c>
      <c r="H602" s="81">
        <f t="shared" si="101"/>
        <v>14.583333333333334</v>
      </c>
      <c r="I602" s="81">
        <f t="shared" si="101"/>
        <v>20.833333333333332</v>
      </c>
      <c r="J602" s="81">
        <f t="shared" si="101"/>
        <v>100</v>
      </c>
      <c r="K602" s="81">
        <f t="shared" si="101"/>
        <v>300</v>
      </c>
      <c r="L602" s="81">
        <f t="shared" si="101"/>
        <v>1237.3333333333333</v>
      </c>
      <c r="M602" s="84"/>
      <c r="N602" s="81">
        <f t="shared" ref="N602:T602" si="102">AVERAGE(N24:N35)</f>
        <v>72.5</v>
      </c>
      <c r="O602" s="82">
        <f t="shared" si="102"/>
        <v>240</v>
      </c>
      <c r="P602" s="82">
        <f t="shared" si="102"/>
        <v>70</v>
      </c>
      <c r="Q602" s="82">
        <f t="shared" si="102"/>
        <v>285</v>
      </c>
      <c r="R602" s="82">
        <f t="shared" si="102"/>
        <v>100</v>
      </c>
      <c r="S602" s="81">
        <f t="shared" si="102"/>
        <v>695</v>
      </c>
      <c r="T602" s="81">
        <f t="shared" si="102"/>
        <v>33.333333333333336</v>
      </c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</row>
    <row r="603" spans="1:30" ht="15.75" x14ac:dyDescent="0.25">
      <c r="A603" s="11">
        <v>2015</v>
      </c>
      <c r="B603" s="11"/>
      <c r="C603" s="81">
        <f t="shared" ref="C603:L603" si="103">AVERAGE(C36:C47)</f>
        <v>154.75825</v>
      </c>
      <c r="D603" s="81">
        <f t="shared" si="103"/>
        <v>281.0162499999999</v>
      </c>
      <c r="E603" s="81">
        <f t="shared" si="103"/>
        <v>109.1005</v>
      </c>
      <c r="F603" s="81">
        <f t="shared" si="103"/>
        <v>172.04166666666663</v>
      </c>
      <c r="G603" s="81">
        <f t="shared" si="103"/>
        <v>40</v>
      </c>
      <c r="H603" s="81">
        <f t="shared" si="103"/>
        <v>59.583333333333336</v>
      </c>
      <c r="I603" s="81">
        <f t="shared" si="103"/>
        <v>20.833333333333332</v>
      </c>
      <c r="J603" s="81">
        <f t="shared" si="103"/>
        <v>100</v>
      </c>
      <c r="K603" s="81">
        <f t="shared" si="103"/>
        <v>300</v>
      </c>
      <c r="L603" s="81">
        <f t="shared" si="103"/>
        <v>1237.3333333333333</v>
      </c>
      <c r="M603" s="84"/>
      <c r="N603" s="81">
        <f t="shared" ref="N603:T603" si="104">AVERAGE(N36:N47)</f>
        <v>72.5</v>
      </c>
      <c r="O603" s="82">
        <f t="shared" si="104"/>
        <v>240</v>
      </c>
      <c r="P603" s="82">
        <f t="shared" si="104"/>
        <v>100</v>
      </c>
      <c r="Q603" s="82">
        <f t="shared" si="104"/>
        <v>255</v>
      </c>
      <c r="R603" s="82">
        <f t="shared" si="104"/>
        <v>100</v>
      </c>
      <c r="S603" s="81">
        <f t="shared" si="104"/>
        <v>695</v>
      </c>
      <c r="T603" s="81">
        <f t="shared" si="104"/>
        <v>33.333333333333336</v>
      </c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</row>
    <row r="604" spans="1:30" ht="15.75" x14ac:dyDescent="0.25">
      <c r="A604" s="11">
        <v>2016</v>
      </c>
      <c r="B604" s="11"/>
      <c r="C604" s="81">
        <f t="shared" ref="C604:L604" si="105">AVERAGE(C48:C59)</f>
        <v>154.75825</v>
      </c>
      <c r="D604" s="81">
        <f t="shared" si="105"/>
        <v>281.0162499999999</v>
      </c>
      <c r="E604" s="81">
        <f t="shared" si="105"/>
        <v>109.1005</v>
      </c>
      <c r="F604" s="81">
        <f t="shared" si="105"/>
        <v>157.04166666666663</v>
      </c>
      <c r="G604" s="81">
        <f t="shared" si="105"/>
        <v>40</v>
      </c>
      <c r="H604" s="81">
        <f t="shared" si="105"/>
        <v>74.583333333333329</v>
      </c>
      <c r="I604" s="81">
        <f t="shared" si="105"/>
        <v>0</v>
      </c>
      <c r="J604" s="81">
        <f t="shared" si="105"/>
        <v>100</v>
      </c>
      <c r="K604" s="81">
        <f t="shared" si="105"/>
        <v>300</v>
      </c>
      <c r="L604" s="81">
        <f t="shared" si="105"/>
        <v>1216.5</v>
      </c>
      <c r="M604" s="84"/>
      <c r="N604" s="81">
        <f t="shared" ref="N604:T604" si="106">AVERAGE(N48:N59)</f>
        <v>72.5</v>
      </c>
      <c r="O604" s="82">
        <f t="shared" si="106"/>
        <v>240</v>
      </c>
      <c r="P604" s="82">
        <f t="shared" si="106"/>
        <v>110</v>
      </c>
      <c r="Q604" s="82">
        <f t="shared" si="106"/>
        <v>245</v>
      </c>
      <c r="R604" s="82">
        <f t="shared" si="106"/>
        <v>100</v>
      </c>
      <c r="S604" s="81">
        <f t="shared" si="106"/>
        <v>695</v>
      </c>
      <c r="T604" s="81">
        <f t="shared" si="106"/>
        <v>33.333333333333336</v>
      </c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</row>
    <row r="605" spans="1:30" ht="15" x14ac:dyDescent="0.2">
      <c r="A605" s="11">
        <v>2017</v>
      </c>
      <c r="B605" s="11"/>
      <c r="C605" s="81">
        <f t="shared" ref="C605:T605" si="107">AVERAGE(C60:C71)</f>
        <v>154.75825</v>
      </c>
      <c r="D605" s="81">
        <f t="shared" si="107"/>
        <v>281.0162499999999</v>
      </c>
      <c r="E605" s="81">
        <f t="shared" si="107"/>
        <v>109.1005</v>
      </c>
      <c r="F605" s="81">
        <f t="shared" si="107"/>
        <v>157.04166666666663</v>
      </c>
      <c r="G605" s="81">
        <f t="shared" si="107"/>
        <v>40</v>
      </c>
      <c r="H605" s="81">
        <f t="shared" si="107"/>
        <v>74.583333333333329</v>
      </c>
      <c r="I605" s="81">
        <f t="shared" si="107"/>
        <v>0</v>
      </c>
      <c r="J605" s="81">
        <f t="shared" si="107"/>
        <v>100</v>
      </c>
      <c r="K605" s="81">
        <f t="shared" si="107"/>
        <v>300</v>
      </c>
      <c r="L605" s="81">
        <f t="shared" si="107"/>
        <v>1216.5</v>
      </c>
      <c r="M605" s="83">
        <f t="shared" si="107"/>
        <v>400</v>
      </c>
      <c r="N605" s="81">
        <f t="shared" si="107"/>
        <v>72.5</v>
      </c>
      <c r="O605" s="82">
        <f t="shared" si="107"/>
        <v>240</v>
      </c>
      <c r="P605" s="82">
        <f t="shared" si="107"/>
        <v>110</v>
      </c>
      <c r="Q605" s="82">
        <f t="shared" si="107"/>
        <v>245</v>
      </c>
      <c r="R605" s="82">
        <f t="shared" si="107"/>
        <v>100</v>
      </c>
      <c r="S605" s="81">
        <f t="shared" si="107"/>
        <v>695</v>
      </c>
      <c r="T605" s="81">
        <f t="shared" si="107"/>
        <v>33.333333333333336</v>
      </c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</row>
    <row r="606" spans="1:30" ht="15" x14ac:dyDescent="0.2">
      <c r="A606" s="11">
        <v>2018</v>
      </c>
      <c r="B606" s="11"/>
      <c r="C606" s="81">
        <f t="shared" ref="C606:T606" si="108">AVERAGE(C72:C83)</f>
        <v>154.75825</v>
      </c>
      <c r="D606" s="81">
        <f t="shared" si="108"/>
        <v>281.0162499999999</v>
      </c>
      <c r="E606" s="81">
        <f t="shared" si="108"/>
        <v>109.1005</v>
      </c>
      <c r="F606" s="81">
        <f t="shared" si="108"/>
        <v>157.04166666666663</v>
      </c>
      <c r="G606" s="81">
        <f t="shared" si="108"/>
        <v>40</v>
      </c>
      <c r="H606" s="81">
        <f t="shared" si="108"/>
        <v>74.583333333333329</v>
      </c>
      <c r="I606" s="81">
        <f t="shared" si="108"/>
        <v>0</v>
      </c>
      <c r="J606" s="81">
        <f t="shared" si="108"/>
        <v>100</v>
      </c>
      <c r="K606" s="81">
        <f t="shared" si="108"/>
        <v>300</v>
      </c>
      <c r="L606" s="81">
        <f t="shared" si="108"/>
        <v>1216.5</v>
      </c>
      <c r="M606" s="83">
        <f t="shared" si="108"/>
        <v>400</v>
      </c>
      <c r="N606" s="81">
        <f t="shared" si="108"/>
        <v>72.5</v>
      </c>
      <c r="O606" s="82">
        <f t="shared" si="108"/>
        <v>240</v>
      </c>
      <c r="P606" s="82">
        <f t="shared" si="108"/>
        <v>110</v>
      </c>
      <c r="Q606" s="82">
        <f t="shared" si="108"/>
        <v>245</v>
      </c>
      <c r="R606" s="82">
        <f t="shared" si="108"/>
        <v>100</v>
      </c>
      <c r="S606" s="81">
        <f t="shared" si="108"/>
        <v>695</v>
      </c>
      <c r="T606" s="81">
        <f t="shared" si="108"/>
        <v>33.333333333333336</v>
      </c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</row>
    <row r="607" spans="1:30" ht="15" x14ac:dyDescent="0.2">
      <c r="A607" s="11">
        <v>2019</v>
      </c>
      <c r="B607" s="11"/>
      <c r="C607" s="81">
        <f t="shared" ref="C607:T607" si="109">AVERAGE(C84:C95)</f>
        <v>154.75825</v>
      </c>
      <c r="D607" s="81">
        <f t="shared" si="109"/>
        <v>281.0162499999999</v>
      </c>
      <c r="E607" s="81">
        <f t="shared" si="109"/>
        <v>109.1005</v>
      </c>
      <c r="F607" s="81">
        <f t="shared" si="109"/>
        <v>157.04166666666663</v>
      </c>
      <c r="G607" s="81">
        <f t="shared" si="109"/>
        <v>40</v>
      </c>
      <c r="H607" s="81">
        <f t="shared" si="109"/>
        <v>74.583333333333329</v>
      </c>
      <c r="I607" s="81">
        <f t="shared" si="109"/>
        <v>0</v>
      </c>
      <c r="J607" s="81">
        <f t="shared" si="109"/>
        <v>100</v>
      </c>
      <c r="K607" s="81">
        <f t="shared" si="109"/>
        <v>300</v>
      </c>
      <c r="L607" s="81">
        <f t="shared" si="109"/>
        <v>1216.5</v>
      </c>
      <c r="M607" s="83">
        <f t="shared" si="109"/>
        <v>400</v>
      </c>
      <c r="N607" s="81">
        <f t="shared" si="109"/>
        <v>72.5</v>
      </c>
      <c r="O607" s="82">
        <f t="shared" si="109"/>
        <v>240</v>
      </c>
      <c r="P607" s="82">
        <f t="shared" si="109"/>
        <v>110</v>
      </c>
      <c r="Q607" s="82">
        <f t="shared" si="109"/>
        <v>245</v>
      </c>
      <c r="R607" s="82">
        <f t="shared" si="109"/>
        <v>100</v>
      </c>
      <c r="S607" s="81">
        <f t="shared" si="109"/>
        <v>695</v>
      </c>
      <c r="T607" s="81">
        <f t="shared" si="109"/>
        <v>33.333333333333336</v>
      </c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</row>
    <row r="608" spans="1:30" ht="15" x14ac:dyDescent="0.2">
      <c r="A608" s="11">
        <v>2020</v>
      </c>
      <c r="B608" s="11"/>
      <c r="C608" s="81">
        <f t="shared" ref="C608:T608" si="110">AVERAGE(C96:C107)</f>
        <v>154.75825</v>
      </c>
      <c r="D608" s="81">
        <f t="shared" si="110"/>
        <v>281.0162499999999</v>
      </c>
      <c r="E608" s="81">
        <f t="shared" si="110"/>
        <v>109.1005</v>
      </c>
      <c r="F608" s="81">
        <f t="shared" si="110"/>
        <v>157.04166666666663</v>
      </c>
      <c r="G608" s="81">
        <f t="shared" si="110"/>
        <v>40</v>
      </c>
      <c r="H608" s="81">
        <f t="shared" si="110"/>
        <v>74.583333333333329</v>
      </c>
      <c r="I608" s="81">
        <f t="shared" si="110"/>
        <v>0</v>
      </c>
      <c r="J608" s="81">
        <f t="shared" si="110"/>
        <v>100</v>
      </c>
      <c r="K608" s="81">
        <f t="shared" si="110"/>
        <v>300</v>
      </c>
      <c r="L608" s="81">
        <f t="shared" si="110"/>
        <v>1216.5</v>
      </c>
      <c r="M608" s="83">
        <f t="shared" si="110"/>
        <v>533.33333333333337</v>
      </c>
      <c r="N608" s="81">
        <f t="shared" si="110"/>
        <v>72.5</v>
      </c>
      <c r="O608" s="82">
        <f t="shared" si="110"/>
        <v>240</v>
      </c>
      <c r="P608" s="82">
        <f t="shared" si="110"/>
        <v>110</v>
      </c>
      <c r="Q608" s="82">
        <f t="shared" si="110"/>
        <v>245</v>
      </c>
      <c r="R608" s="82">
        <f t="shared" si="110"/>
        <v>100</v>
      </c>
      <c r="S608" s="81">
        <f t="shared" si="110"/>
        <v>695</v>
      </c>
      <c r="T608" s="81">
        <f t="shared" si="110"/>
        <v>33.333333333333336</v>
      </c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</row>
    <row r="609" spans="1:30" ht="15" x14ac:dyDescent="0.2">
      <c r="A609" s="11">
        <v>2021</v>
      </c>
      <c r="B609" s="11"/>
      <c r="C609" s="81">
        <f t="shared" ref="C609:T609" si="111">AVERAGE(C108:C119)</f>
        <v>154.75825</v>
      </c>
      <c r="D609" s="81">
        <f t="shared" si="111"/>
        <v>281.0162499999999</v>
      </c>
      <c r="E609" s="81">
        <f t="shared" si="111"/>
        <v>109.1005</v>
      </c>
      <c r="F609" s="81">
        <f t="shared" si="111"/>
        <v>157.04166666666663</v>
      </c>
      <c r="G609" s="81">
        <f t="shared" si="111"/>
        <v>40</v>
      </c>
      <c r="H609" s="81">
        <f t="shared" si="111"/>
        <v>74.583333333333329</v>
      </c>
      <c r="I609" s="81">
        <f t="shared" si="111"/>
        <v>0</v>
      </c>
      <c r="J609" s="81">
        <f t="shared" si="111"/>
        <v>100</v>
      </c>
      <c r="K609" s="81">
        <f t="shared" si="111"/>
        <v>300</v>
      </c>
      <c r="L609" s="81">
        <f t="shared" si="111"/>
        <v>1216.5</v>
      </c>
      <c r="M609" s="83">
        <f t="shared" si="111"/>
        <v>600</v>
      </c>
      <c r="N609" s="81">
        <f t="shared" si="111"/>
        <v>72.5</v>
      </c>
      <c r="O609" s="82">
        <f t="shared" si="111"/>
        <v>240</v>
      </c>
      <c r="P609" s="82">
        <f t="shared" si="111"/>
        <v>110</v>
      </c>
      <c r="Q609" s="82">
        <f t="shared" si="111"/>
        <v>245</v>
      </c>
      <c r="R609" s="82">
        <f t="shared" si="111"/>
        <v>100</v>
      </c>
      <c r="S609" s="81">
        <f t="shared" si="111"/>
        <v>695</v>
      </c>
      <c r="T609" s="81">
        <f t="shared" si="111"/>
        <v>33.333333333333336</v>
      </c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</row>
    <row r="610" spans="1:30" ht="15" x14ac:dyDescent="0.2">
      <c r="A610" s="11">
        <v>2022</v>
      </c>
      <c r="B610" s="11"/>
      <c r="C610" s="81">
        <f t="shared" ref="C610:T610" si="112">AVERAGE(C120:C131)</f>
        <v>154.75825</v>
      </c>
      <c r="D610" s="81">
        <f t="shared" si="112"/>
        <v>281.0162499999999</v>
      </c>
      <c r="E610" s="81">
        <f t="shared" si="112"/>
        <v>109.1005</v>
      </c>
      <c r="F610" s="81">
        <f t="shared" si="112"/>
        <v>157.04166666666663</v>
      </c>
      <c r="G610" s="81">
        <f t="shared" si="112"/>
        <v>40</v>
      </c>
      <c r="H610" s="81">
        <f t="shared" si="112"/>
        <v>74.583333333333329</v>
      </c>
      <c r="I610" s="81">
        <f t="shared" si="112"/>
        <v>0</v>
      </c>
      <c r="J610" s="81">
        <f t="shared" si="112"/>
        <v>100</v>
      </c>
      <c r="K610" s="81">
        <f t="shared" si="112"/>
        <v>300</v>
      </c>
      <c r="L610" s="81">
        <f t="shared" si="112"/>
        <v>1216.5</v>
      </c>
      <c r="M610" s="83">
        <f t="shared" si="112"/>
        <v>600</v>
      </c>
      <c r="N610" s="81">
        <f t="shared" si="112"/>
        <v>72.5</v>
      </c>
      <c r="O610" s="82">
        <f t="shared" si="112"/>
        <v>240</v>
      </c>
      <c r="P610" s="82">
        <f t="shared" si="112"/>
        <v>110</v>
      </c>
      <c r="Q610" s="82">
        <f t="shared" si="112"/>
        <v>245</v>
      </c>
      <c r="R610" s="82">
        <f t="shared" si="112"/>
        <v>100</v>
      </c>
      <c r="S610" s="81">
        <f t="shared" si="112"/>
        <v>695</v>
      </c>
      <c r="T610" s="81">
        <f t="shared" si="112"/>
        <v>33.333333333333336</v>
      </c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</row>
    <row r="611" spans="1:30" ht="15" x14ac:dyDescent="0.2">
      <c r="A611" s="11">
        <v>2023</v>
      </c>
      <c r="B611" s="11"/>
      <c r="C611" s="81">
        <f t="shared" ref="C611:T611" si="113">AVERAGE(C132:C143)</f>
        <v>154.75825</v>
      </c>
      <c r="D611" s="81">
        <f t="shared" si="113"/>
        <v>281.0162499999999</v>
      </c>
      <c r="E611" s="81">
        <f t="shared" si="113"/>
        <v>109.1005</v>
      </c>
      <c r="F611" s="81">
        <f t="shared" si="113"/>
        <v>157.04166666666663</v>
      </c>
      <c r="G611" s="81">
        <f t="shared" si="113"/>
        <v>40</v>
      </c>
      <c r="H611" s="81">
        <f t="shared" si="113"/>
        <v>74.583333333333329</v>
      </c>
      <c r="I611" s="81">
        <f t="shared" si="113"/>
        <v>0</v>
      </c>
      <c r="J611" s="81">
        <f t="shared" si="113"/>
        <v>100</v>
      </c>
      <c r="K611" s="81">
        <f t="shared" si="113"/>
        <v>300</v>
      </c>
      <c r="L611" s="81">
        <f t="shared" si="113"/>
        <v>1216.5</v>
      </c>
      <c r="M611" s="83">
        <f t="shared" si="113"/>
        <v>600</v>
      </c>
      <c r="N611" s="81">
        <f t="shared" si="113"/>
        <v>72.5</v>
      </c>
      <c r="O611" s="82">
        <f t="shared" si="113"/>
        <v>240</v>
      </c>
      <c r="P611" s="82">
        <f t="shared" si="113"/>
        <v>110</v>
      </c>
      <c r="Q611" s="82">
        <f t="shared" si="113"/>
        <v>245</v>
      </c>
      <c r="R611" s="82">
        <f t="shared" si="113"/>
        <v>100</v>
      </c>
      <c r="S611" s="81">
        <f t="shared" si="113"/>
        <v>695</v>
      </c>
      <c r="T611" s="81">
        <f t="shared" si="113"/>
        <v>33.333333333333336</v>
      </c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</row>
    <row r="612" spans="1:30" ht="15" x14ac:dyDescent="0.2">
      <c r="A612" s="11">
        <v>2024</v>
      </c>
      <c r="B612" s="11"/>
      <c r="C612" s="81">
        <f t="shared" ref="C612:T612" si="114">AVERAGE(C144:C155)</f>
        <v>154.75825</v>
      </c>
      <c r="D612" s="81">
        <f t="shared" si="114"/>
        <v>281.0162499999999</v>
      </c>
      <c r="E612" s="81">
        <f t="shared" si="114"/>
        <v>109.1005</v>
      </c>
      <c r="F612" s="81">
        <f t="shared" si="114"/>
        <v>157.04166666666663</v>
      </c>
      <c r="G612" s="81">
        <f t="shared" si="114"/>
        <v>40</v>
      </c>
      <c r="H612" s="81">
        <f t="shared" si="114"/>
        <v>74.583333333333329</v>
      </c>
      <c r="I612" s="81">
        <f t="shared" si="114"/>
        <v>0</v>
      </c>
      <c r="J612" s="81">
        <f t="shared" si="114"/>
        <v>100</v>
      </c>
      <c r="K612" s="81">
        <f t="shared" si="114"/>
        <v>300</v>
      </c>
      <c r="L612" s="81">
        <f t="shared" si="114"/>
        <v>1216.5</v>
      </c>
      <c r="M612" s="83">
        <f t="shared" si="114"/>
        <v>600</v>
      </c>
      <c r="N612" s="81">
        <f t="shared" si="114"/>
        <v>72.5</v>
      </c>
      <c r="O612" s="82">
        <f t="shared" si="114"/>
        <v>240</v>
      </c>
      <c r="P612" s="82">
        <f t="shared" si="114"/>
        <v>110</v>
      </c>
      <c r="Q612" s="82">
        <f t="shared" si="114"/>
        <v>245</v>
      </c>
      <c r="R612" s="82">
        <f t="shared" si="114"/>
        <v>100</v>
      </c>
      <c r="S612" s="81">
        <f t="shared" si="114"/>
        <v>695</v>
      </c>
      <c r="T612" s="81">
        <f t="shared" si="114"/>
        <v>33.333333333333336</v>
      </c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</row>
    <row r="613" spans="1:30" ht="15" x14ac:dyDescent="0.2">
      <c r="A613" s="11">
        <v>2025</v>
      </c>
      <c r="B613" s="11"/>
      <c r="C613" s="81">
        <f t="shared" ref="C613:T613" si="115">AVERAGE(C156:C167)</f>
        <v>154.75825</v>
      </c>
      <c r="D613" s="81">
        <f t="shared" si="115"/>
        <v>281.0162499999999</v>
      </c>
      <c r="E613" s="81">
        <f t="shared" si="115"/>
        <v>109.1005</v>
      </c>
      <c r="F613" s="81">
        <f t="shared" si="115"/>
        <v>157.04166666666663</v>
      </c>
      <c r="G613" s="81">
        <f t="shared" si="115"/>
        <v>40</v>
      </c>
      <c r="H613" s="81">
        <f t="shared" si="115"/>
        <v>74.583333333333329</v>
      </c>
      <c r="I613" s="81">
        <f t="shared" si="115"/>
        <v>0</v>
      </c>
      <c r="J613" s="81">
        <f t="shared" si="115"/>
        <v>100</v>
      </c>
      <c r="K613" s="81">
        <f t="shared" si="115"/>
        <v>300</v>
      </c>
      <c r="L613" s="81">
        <f t="shared" si="115"/>
        <v>1216.5</v>
      </c>
      <c r="M613" s="83">
        <f t="shared" si="115"/>
        <v>600</v>
      </c>
      <c r="N613" s="81">
        <f t="shared" si="115"/>
        <v>72.5</v>
      </c>
      <c r="O613" s="82">
        <f t="shared" si="115"/>
        <v>240</v>
      </c>
      <c r="P613" s="82">
        <f t="shared" si="115"/>
        <v>110</v>
      </c>
      <c r="Q613" s="82">
        <f t="shared" si="115"/>
        <v>245</v>
      </c>
      <c r="R613" s="82">
        <f t="shared" si="115"/>
        <v>100</v>
      </c>
      <c r="S613" s="81">
        <f t="shared" si="115"/>
        <v>695</v>
      </c>
      <c r="T613" s="81">
        <f t="shared" si="115"/>
        <v>33.333333333333336</v>
      </c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</row>
    <row r="614" spans="1:30" ht="15" x14ac:dyDescent="0.2">
      <c r="A614" s="11">
        <v>2026</v>
      </c>
      <c r="B614" s="11"/>
      <c r="C614" s="81">
        <f t="shared" ref="C614:T614" si="116">AVERAGE(C168:C179)</f>
        <v>154.75825</v>
      </c>
      <c r="D614" s="81">
        <f t="shared" si="116"/>
        <v>281.0162499999999</v>
      </c>
      <c r="E614" s="81">
        <f t="shared" si="116"/>
        <v>109.1005</v>
      </c>
      <c r="F614" s="81">
        <f t="shared" si="116"/>
        <v>157.04166666666663</v>
      </c>
      <c r="G614" s="81">
        <f t="shared" si="116"/>
        <v>40</v>
      </c>
      <c r="H614" s="81">
        <f t="shared" si="116"/>
        <v>74.583333333333329</v>
      </c>
      <c r="I614" s="81">
        <f t="shared" si="116"/>
        <v>0</v>
      </c>
      <c r="J614" s="81">
        <f t="shared" si="116"/>
        <v>100</v>
      </c>
      <c r="K614" s="81">
        <f t="shared" si="116"/>
        <v>300</v>
      </c>
      <c r="L614" s="81">
        <f t="shared" si="116"/>
        <v>1216.5</v>
      </c>
      <c r="M614" s="83">
        <f t="shared" si="116"/>
        <v>600</v>
      </c>
      <c r="N614" s="81">
        <f t="shared" si="116"/>
        <v>72.5</v>
      </c>
      <c r="O614" s="82">
        <f t="shared" si="116"/>
        <v>240</v>
      </c>
      <c r="P614" s="82">
        <f t="shared" si="116"/>
        <v>110</v>
      </c>
      <c r="Q614" s="82">
        <f t="shared" si="116"/>
        <v>245</v>
      </c>
      <c r="R614" s="82">
        <f t="shared" si="116"/>
        <v>100</v>
      </c>
      <c r="S614" s="81">
        <f t="shared" si="116"/>
        <v>695</v>
      </c>
      <c r="T614" s="81">
        <f t="shared" si="116"/>
        <v>33.333333333333336</v>
      </c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</row>
    <row r="615" spans="1:30" ht="15" x14ac:dyDescent="0.2">
      <c r="A615" s="11">
        <v>2027</v>
      </c>
      <c r="B615" s="11"/>
      <c r="C615" s="81">
        <f t="shared" ref="C615:T615" si="117">AVERAGE(C180:C191)</f>
        <v>154.75825</v>
      </c>
      <c r="D615" s="81">
        <f t="shared" si="117"/>
        <v>281.0162499999999</v>
      </c>
      <c r="E615" s="81">
        <f t="shared" si="117"/>
        <v>109.1005</v>
      </c>
      <c r="F615" s="81">
        <f t="shared" si="117"/>
        <v>157.04166666666663</v>
      </c>
      <c r="G615" s="81">
        <f t="shared" si="117"/>
        <v>40</v>
      </c>
      <c r="H615" s="81">
        <f t="shared" si="117"/>
        <v>74.583333333333329</v>
      </c>
      <c r="I615" s="81">
        <f t="shared" si="117"/>
        <v>0</v>
      </c>
      <c r="J615" s="81">
        <f t="shared" si="117"/>
        <v>100</v>
      </c>
      <c r="K615" s="81">
        <f t="shared" si="117"/>
        <v>300</v>
      </c>
      <c r="L615" s="81">
        <f t="shared" si="117"/>
        <v>1216.5</v>
      </c>
      <c r="M615" s="83">
        <f t="shared" si="117"/>
        <v>600</v>
      </c>
      <c r="N615" s="81">
        <f t="shared" si="117"/>
        <v>72.5</v>
      </c>
      <c r="O615" s="82">
        <f t="shared" si="117"/>
        <v>240</v>
      </c>
      <c r="P615" s="82">
        <f t="shared" si="117"/>
        <v>110</v>
      </c>
      <c r="Q615" s="82">
        <f t="shared" si="117"/>
        <v>245</v>
      </c>
      <c r="R615" s="82">
        <f t="shared" si="117"/>
        <v>100</v>
      </c>
      <c r="S615" s="81">
        <f t="shared" si="117"/>
        <v>695</v>
      </c>
      <c r="T615" s="81">
        <f t="shared" si="117"/>
        <v>33.333333333333336</v>
      </c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</row>
    <row r="616" spans="1:30" ht="15" x14ac:dyDescent="0.2">
      <c r="A616" s="11">
        <v>2028</v>
      </c>
      <c r="B616" s="11"/>
      <c r="C616" s="81">
        <f t="shared" ref="C616:T616" si="118">AVERAGE(C192:C203)</f>
        <v>154.75825</v>
      </c>
      <c r="D616" s="81">
        <f t="shared" si="118"/>
        <v>281.0162499999999</v>
      </c>
      <c r="E616" s="81">
        <f t="shared" si="118"/>
        <v>109.1005</v>
      </c>
      <c r="F616" s="81">
        <f t="shared" si="118"/>
        <v>157.04166666666663</v>
      </c>
      <c r="G616" s="81">
        <f t="shared" si="118"/>
        <v>40</v>
      </c>
      <c r="H616" s="81">
        <f t="shared" si="118"/>
        <v>74.583333333333329</v>
      </c>
      <c r="I616" s="81">
        <f t="shared" si="118"/>
        <v>0</v>
      </c>
      <c r="J616" s="81">
        <f t="shared" si="118"/>
        <v>100</v>
      </c>
      <c r="K616" s="81">
        <f t="shared" si="118"/>
        <v>300</v>
      </c>
      <c r="L616" s="81">
        <f t="shared" si="118"/>
        <v>1216.5</v>
      </c>
      <c r="M616" s="83">
        <f t="shared" si="118"/>
        <v>600</v>
      </c>
      <c r="N616" s="81">
        <f t="shared" si="118"/>
        <v>72.5</v>
      </c>
      <c r="O616" s="82">
        <f t="shared" si="118"/>
        <v>240</v>
      </c>
      <c r="P616" s="82">
        <f t="shared" si="118"/>
        <v>110</v>
      </c>
      <c r="Q616" s="82">
        <f t="shared" si="118"/>
        <v>245</v>
      </c>
      <c r="R616" s="82">
        <f t="shared" si="118"/>
        <v>100</v>
      </c>
      <c r="S616" s="81">
        <f t="shared" si="118"/>
        <v>695</v>
      </c>
      <c r="T616" s="81">
        <f t="shared" si="118"/>
        <v>33.333333333333336</v>
      </c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</row>
    <row r="617" spans="1:30" ht="15" x14ac:dyDescent="0.2">
      <c r="A617" s="11">
        <v>2029</v>
      </c>
      <c r="B617" s="11"/>
      <c r="C617" s="81">
        <f t="shared" ref="C617:T617" si="119">AVERAGE(C204:C215)</f>
        <v>154.75825</v>
      </c>
      <c r="D617" s="81">
        <f t="shared" si="119"/>
        <v>281.0162499999999</v>
      </c>
      <c r="E617" s="81">
        <f t="shared" si="119"/>
        <v>109.1005</v>
      </c>
      <c r="F617" s="81">
        <f t="shared" si="119"/>
        <v>157.04166666666663</v>
      </c>
      <c r="G617" s="81">
        <f t="shared" si="119"/>
        <v>40</v>
      </c>
      <c r="H617" s="81">
        <f t="shared" si="119"/>
        <v>74.583333333333329</v>
      </c>
      <c r="I617" s="81">
        <f t="shared" si="119"/>
        <v>0</v>
      </c>
      <c r="J617" s="81">
        <f t="shared" si="119"/>
        <v>100</v>
      </c>
      <c r="K617" s="81">
        <f t="shared" si="119"/>
        <v>300</v>
      </c>
      <c r="L617" s="81">
        <f t="shared" si="119"/>
        <v>1216.5</v>
      </c>
      <c r="M617" s="83">
        <f t="shared" si="119"/>
        <v>600</v>
      </c>
      <c r="N617" s="81">
        <f t="shared" si="119"/>
        <v>72.5</v>
      </c>
      <c r="O617" s="82">
        <f t="shared" si="119"/>
        <v>240</v>
      </c>
      <c r="P617" s="82">
        <f t="shared" si="119"/>
        <v>110</v>
      </c>
      <c r="Q617" s="82">
        <f t="shared" si="119"/>
        <v>245</v>
      </c>
      <c r="R617" s="82">
        <f t="shared" si="119"/>
        <v>100</v>
      </c>
      <c r="S617" s="81">
        <f t="shared" si="119"/>
        <v>695</v>
      </c>
      <c r="T617" s="81">
        <f t="shared" si="119"/>
        <v>33.333333333333336</v>
      </c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</row>
    <row r="618" spans="1:30" ht="15" x14ac:dyDescent="0.2">
      <c r="A618" s="11">
        <v>2030</v>
      </c>
      <c r="B618" s="11"/>
      <c r="C618" s="81">
        <f t="shared" ref="C618:T618" si="120">AVERAGE(C216:C227)</f>
        <v>154.75825</v>
      </c>
      <c r="D618" s="81">
        <f t="shared" si="120"/>
        <v>281.0162499999999</v>
      </c>
      <c r="E618" s="81">
        <f t="shared" si="120"/>
        <v>109.1005</v>
      </c>
      <c r="F618" s="81">
        <f t="shared" si="120"/>
        <v>157.04166666666663</v>
      </c>
      <c r="G618" s="81">
        <f t="shared" si="120"/>
        <v>40</v>
      </c>
      <c r="H618" s="81">
        <f t="shared" si="120"/>
        <v>74.583333333333329</v>
      </c>
      <c r="I618" s="81">
        <f t="shared" si="120"/>
        <v>0</v>
      </c>
      <c r="J618" s="81">
        <f t="shared" si="120"/>
        <v>100</v>
      </c>
      <c r="K618" s="81">
        <f t="shared" si="120"/>
        <v>300</v>
      </c>
      <c r="L618" s="81">
        <f t="shared" si="120"/>
        <v>1216.5</v>
      </c>
      <c r="M618" s="83">
        <f t="shared" si="120"/>
        <v>600</v>
      </c>
      <c r="N618" s="81">
        <f t="shared" si="120"/>
        <v>72.5</v>
      </c>
      <c r="O618" s="82">
        <f t="shared" si="120"/>
        <v>240</v>
      </c>
      <c r="P618" s="82">
        <f t="shared" si="120"/>
        <v>110</v>
      </c>
      <c r="Q618" s="82">
        <f t="shared" si="120"/>
        <v>245</v>
      </c>
      <c r="R618" s="82">
        <f t="shared" si="120"/>
        <v>100</v>
      </c>
      <c r="S618" s="81">
        <f t="shared" si="120"/>
        <v>695</v>
      </c>
      <c r="T618" s="81">
        <f t="shared" si="120"/>
        <v>33.333333333333336</v>
      </c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</row>
    <row r="619" spans="1:30" ht="15" x14ac:dyDescent="0.2">
      <c r="A619" s="11">
        <v>2031</v>
      </c>
      <c r="B619" s="11"/>
      <c r="C619" s="81">
        <f t="shared" ref="C619:T619" si="121">AVERAGE(C228:C239)</f>
        <v>154.75825</v>
      </c>
      <c r="D619" s="81">
        <f t="shared" si="121"/>
        <v>281.0162499999999</v>
      </c>
      <c r="E619" s="81">
        <f t="shared" si="121"/>
        <v>109.1005</v>
      </c>
      <c r="F619" s="81">
        <f t="shared" si="121"/>
        <v>157.04166666666663</v>
      </c>
      <c r="G619" s="81">
        <f t="shared" si="121"/>
        <v>40</v>
      </c>
      <c r="H619" s="81">
        <f t="shared" si="121"/>
        <v>74.583333333333329</v>
      </c>
      <c r="I619" s="81">
        <f t="shared" si="121"/>
        <v>0</v>
      </c>
      <c r="J619" s="81">
        <f t="shared" si="121"/>
        <v>100</v>
      </c>
      <c r="K619" s="81">
        <f t="shared" si="121"/>
        <v>300</v>
      </c>
      <c r="L619" s="81">
        <f t="shared" si="121"/>
        <v>1216.5</v>
      </c>
      <c r="M619" s="83">
        <f t="shared" si="121"/>
        <v>600</v>
      </c>
      <c r="N619" s="81">
        <f t="shared" si="121"/>
        <v>72.5</v>
      </c>
      <c r="O619" s="82">
        <f t="shared" si="121"/>
        <v>240</v>
      </c>
      <c r="P619" s="82">
        <f t="shared" si="121"/>
        <v>110</v>
      </c>
      <c r="Q619" s="82">
        <f t="shared" si="121"/>
        <v>245</v>
      </c>
      <c r="R619" s="82">
        <f t="shared" si="121"/>
        <v>100</v>
      </c>
      <c r="S619" s="81">
        <f t="shared" si="121"/>
        <v>695</v>
      </c>
      <c r="T619" s="81">
        <f t="shared" si="121"/>
        <v>33.333333333333336</v>
      </c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</row>
    <row r="620" spans="1:30" ht="15" x14ac:dyDescent="0.2">
      <c r="A620" s="11">
        <v>2032</v>
      </c>
      <c r="B620" s="11"/>
      <c r="C620" s="81">
        <f t="shared" ref="C620:T620" si="122">AVERAGE(C240:C251)</f>
        <v>154.75825</v>
      </c>
      <c r="D620" s="81">
        <f t="shared" si="122"/>
        <v>281.0162499999999</v>
      </c>
      <c r="E620" s="81">
        <f t="shared" si="122"/>
        <v>109.1005</v>
      </c>
      <c r="F620" s="81">
        <f t="shared" si="122"/>
        <v>157.04166666666663</v>
      </c>
      <c r="G620" s="81">
        <f t="shared" si="122"/>
        <v>40</v>
      </c>
      <c r="H620" s="81">
        <f t="shared" si="122"/>
        <v>74.583333333333329</v>
      </c>
      <c r="I620" s="81">
        <f t="shared" si="122"/>
        <v>0</v>
      </c>
      <c r="J620" s="81">
        <f t="shared" si="122"/>
        <v>100</v>
      </c>
      <c r="K620" s="81">
        <f t="shared" si="122"/>
        <v>300</v>
      </c>
      <c r="L620" s="81">
        <f t="shared" si="122"/>
        <v>1216.5</v>
      </c>
      <c r="M620" s="83">
        <f t="shared" si="122"/>
        <v>600</v>
      </c>
      <c r="N620" s="81">
        <f t="shared" si="122"/>
        <v>72.5</v>
      </c>
      <c r="O620" s="82">
        <f t="shared" si="122"/>
        <v>240</v>
      </c>
      <c r="P620" s="82">
        <f t="shared" si="122"/>
        <v>110</v>
      </c>
      <c r="Q620" s="82">
        <f t="shared" si="122"/>
        <v>245</v>
      </c>
      <c r="R620" s="82">
        <f t="shared" si="122"/>
        <v>100</v>
      </c>
      <c r="S620" s="81">
        <f t="shared" si="122"/>
        <v>695</v>
      </c>
      <c r="T620" s="81">
        <f t="shared" si="122"/>
        <v>33.333333333333336</v>
      </c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</row>
    <row r="621" spans="1:30" ht="15" x14ac:dyDescent="0.2">
      <c r="A621" s="11">
        <v>2033</v>
      </c>
      <c r="B621" s="11"/>
      <c r="C621" s="81">
        <f t="shared" ref="C621:T621" si="123">AVERAGE(C252:C263)</f>
        <v>154.75825</v>
      </c>
      <c r="D621" s="81">
        <f t="shared" si="123"/>
        <v>281.0162499999999</v>
      </c>
      <c r="E621" s="81">
        <f t="shared" si="123"/>
        <v>109.1005</v>
      </c>
      <c r="F621" s="81">
        <f t="shared" si="123"/>
        <v>157.04166666666663</v>
      </c>
      <c r="G621" s="81">
        <f t="shared" si="123"/>
        <v>40</v>
      </c>
      <c r="H621" s="81">
        <f t="shared" si="123"/>
        <v>74.583333333333329</v>
      </c>
      <c r="I621" s="81">
        <f t="shared" si="123"/>
        <v>0</v>
      </c>
      <c r="J621" s="81">
        <f t="shared" si="123"/>
        <v>100</v>
      </c>
      <c r="K621" s="81">
        <f t="shared" si="123"/>
        <v>300</v>
      </c>
      <c r="L621" s="81">
        <f t="shared" si="123"/>
        <v>1216.5</v>
      </c>
      <c r="M621" s="83">
        <f t="shared" si="123"/>
        <v>600</v>
      </c>
      <c r="N621" s="81">
        <f t="shared" si="123"/>
        <v>72.5</v>
      </c>
      <c r="O621" s="82">
        <f t="shared" si="123"/>
        <v>240</v>
      </c>
      <c r="P621" s="82">
        <f t="shared" si="123"/>
        <v>110</v>
      </c>
      <c r="Q621" s="82">
        <f t="shared" si="123"/>
        <v>245</v>
      </c>
      <c r="R621" s="82">
        <f t="shared" si="123"/>
        <v>100</v>
      </c>
      <c r="S621" s="81">
        <f t="shared" si="123"/>
        <v>695</v>
      </c>
      <c r="T621" s="81">
        <f t="shared" si="123"/>
        <v>33.333333333333336</v>
      </c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</row>
    <row r="622" spans="1:30" ht="15" x14ac:dyDescent="0.2">
      <c r="A622" s="11">
        <v>2034</v>
      </c>
      <c r="B622" s="11"/>
      <c r="C622" s="81">
        <f t="shared" ref="C622:T622" si="124">AVERAGE(C264:C275)</f>
        <v>154.75825</v>
      </c>
      <c r="D622" s="81">
        <f t="shared" si="124"/>
        <v>281.0162499999999</v>
      </c>
      <c r="E622" s="81">
        <f t="shared" si="124"/>
        <v>109.1005</v>
      </c>
      <c r="F622" s="81">
        <f t="shared" si="124"/>
        <v>157.04166666666663</v>
      </c>
      <c r="G622" s="81">
        <f t="shared" si="124"/>
        <v>40</v>
      </c>
      <c r="H622" s="81">
        <f t="shared" si="124"/>
        <v>74.583333333333329</v>
      </c>
      <c r="I622" s="81">
        <f t="shared" si="124"/>
        <v>0</v>
      </c>
      <c r="J622" s="81">
        <f t="shared" si="124"/>
        <v>100</v>
      </c>
      <c r="K622" s="81">
        <f t="shared" si="124"/>
        <v>300</v>
      </c>
      <c r="L622" s="81">
        <f t="shared" si="124"/>
        <v>1216.5</v>
      </c>
      <c r="M622" s="83">
        <f t="shared" si="124"/>
        <v>600</v>
      </c>
      <c r="N622" s="81">
        <f t="shared" si="124"/>
        <v>72.5</v>
      </c>
      <c r="O622" s="82">
        <f t="shared" si="124"/>
        <v>240</v>
      </c>
      <c r="P622" s="82">
        <f t="shared" si="124"/>
        <v>110</v>
      </c>
      <c r="Q622" s="82">
        <f t="shared" si="124"/>
        <v>245</v>
      </c>
      <c r="R622" s="82">
        <f t="shared" si="124"/>
        <v>100</v>
      </c>
      <c r="S622" s="81">
        <f t="shared" si="124"/>
        <v>695</v>
      </c>
      <c r="T622" s="81">
        <f t="shared" si="124"/>
        <v>33.333333333333336</v>
      </c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</row>
    <row r="623" spans="1:30" ht="15" x14ac:dyDescent="0.2">
      <c r="A623" s="11">
        <v>2035</v>
      </c>
      <c r="B623" s="11"/>
      <c r="C623" s="81">
        <f t="shared" ref="C623:T623" si="125">AVERAGE(C276:C287)</f>
        <v>154.75825</v>
      </c>
      <c r="D623" s="81">
        <f t="shared" si="125"/>
        <v>281.0162499999999</v>
      </c>
      <c r="E623" s="81">
        <f t="shared" si="125"/>
        <v>109.1005</v>
      </c>
      <c r="F623" s="81">
        <f t="shared" si="125"/>
        <v>157.04166666666663</v>
      </c>
      <c r="G623" s="81">
        <f t="shared" si="125"/>
        <v>40</v>
      </c>
      <c r="H623" s="81">
        <f t="shared" si="125"/>
        <v>74.583333333333329</v>
      </c>
      <c r="I623" s="81">
        <f t="shared" si="125"/>
        <v>0</v>
      </c>
      <c r="J623" s="81">
        <f t="shared" si="125"/>
        <v>100</v>
      </c>
      <c r="K623" s="81">
        <f t="shared" si="125"/>
        <v>300</v>
      </c>
      <c r="L623" s="81">
        <f t="shared" si="125"/>
        <v>1216.5</v>
      </c>
      <c r="M623" s="83">
        <f t="shared" si="125"/>
        <v>600</v>
      </c>
      <c r="N623" s="81">
        <f t="shared" si="125"/>
        <v>72.5</v>
      </c>
      <c r="O623" s="82">
        <f t="shared" si="125"/>
        <v>240</v>
      </c>
      <c r="P623" s="82">
        <f t="shared" si="125"/>
        <v>110</v>
      </c>
      <c r="Q623" s="82">
        <f t="shared" si="125"/>
        <v>245</v>
      </c>
      <c r="R623" s="82">
        <f t="shared" si="125"/>
        <v>100</v>
      </c>
      <c r="S623" s="81">
        <f t="shared" si="125"/>
        <v>695</v>
      </c>
      <c r="T623" s="81">
        <f t="shared" si="125"/>
        <v>33.333333333333336</v>
      </c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</row>
    <row r="624" spans="1:30" ht="15" x14ac:dyDescent="0.2">
      <c r="A624" s="11">
        <v>2036</v>
      </c>
      <c r="B624" s="11"/>
      <c r="C624" s="81">
        <f t="shared" ref="C624:T624" si="126">AVERAGE(C288:C299)</f>
        <v>154.75825</v>
      </c>
      <c r="D624" s="81">
        <f t="shared" si="126"/>
        <v>281.0162499999999</v>
      </c>
      <c r="E624" s="81">
        <f t="shared" si="126"/>
        <v>109.1005</v>
      </c>
      <c r="F624" s="81">
        <f t="shared" si="126"/>
        <v>157.04166666666663</v>
      </c>
      <c r="G624" s="81">
        <f t="shared" si="126"/>
        <v>40</v>
      </c>
      <c r="H624" s="81">
        <f t="shared" si="126"/>
        <v>74.583333333333329</v>
      </c>
      <c r="I624" s="81">
        <f t="shared" si="126"/>
        <v>0</v>
      </c>
      <c r="J624" s="81">
        <f t="shared" si="126"/>
        <v>100</v>
      </c>
      <c r="K624" s="81">
        <f t="shared" si="126"/>
        <v>300</v>
      </c>
      <c r="L624" s="81">
        <f t="shared" si="126"/>
        <v>1216.5</v>
      </c>
      <c r="M624" s="83">
        <f t="shared" si="126"/>
        <v>600</v>
      </c>
      <c r="N624" s="81">
        <f t="shared" si="126"/>
        <v>72.5</v>
      </c>
      <c r="O624" s="82">
        <f t="shared" si="126"/>
        <v>240</v>
      </c>
      <c r="P624" s="82">
        <f t="shared" si="126"/>
        <v>110</v>
      </c>
      <c r="Q624" s="82">
        <f t="shared" si="126"/>
        <v>245</v>
      </c>
      <c r="R624" s="82">
        <f t="shared" si="126"/>
        <v>100</v>
      </c>
      <c r="S624" s="81">
        <f t="shared" si="126"/>
        <v>695</v>
      </c>
      <c r="T624" s="81">
        <f t="shared" si="126"/>
        <v>33.333333333333336</v>
      </c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</row>
    <row r="625" spans="1:30" ht="15" x14ac:dyDescent="0.2">
      <c r="A625" s="11">
        <v>2037</v>
      </c>
      <c r="B625" s="11"/>
      <c r="C625" s="81">
        <f t="shared" ref="C625:T625" si="127">AVERAGE(C300:C311)</f>
        <v>154.75825</v>
      </c>
      <c r="D625" s="81">
        <f t="shared" si="127"/>
        <v>281.0162499999999</v>
      </c>
      <c r="E625" s="81">
        <f t="shared" si="127"/>
        <v>109.1005</v>
      </c>
      <c r="F625" s="81">
        <f t="shared" si="127"/>
        <v>157.04166666666663</v>
      </c>
      <c r="G625" s="81">
        <f t="shared" si="127"/>
        <v>40</v>
      </c>
      <c r="H625" s="81">
        <f t="shared" si="127"/>
        <v>74.583333333333329</v>
      </c>
      <c r="I625" s="81">
        <f t="shared" si="127"/>
        <v>0</v>
      </c>
      <c r="J625" s="81">
        <f t="shared" si="127"/>
        <v>100</v>
      </c>
      <c r="K625" s="81">
        <f t="shared" si="127"/>
        <v>300</v>
      </c>
      <c r="L625" s="81">
        <f t="shared" si="127"/>
        <v>1216.5</v>
      </c>
      <c r="M625" s="83">
        <f t="shared" si="127"/>
        <v>600</v>
      </c>
      <c r="N625" s="81">
        <f t="shared" si="127"/>
        <v>72.5</v>
      </c>
      <c r="O625" s="82">
        <f t="shared" si="127"/>
        <v>240</v>
      </c>
      <c r="P625" s="82">
        <f t="shared" si="127"/>
        <v>110</v>
      </c>
      <c r="Q625" s="82">
        <f t="shared" si="127"/>
        <v>245</v>
      </c>
      <c r="R625" s="82">
        <f t="shared" si="127"/>
        <v>100</v>
      </c>
      <c r="S625" s="81">
        <f t="shared" si="127"/>
        <v>695</v>
      </c>
      <c r="T625" s="81">
        <f t="shared" si="127"/>
        <v>33.333333333333336</v>
      </c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</row>
    <row r="626" spans="1:30" ht="15" x14ac:dyDescent="0.2">
      <c r="A626" s="11">
        <f t="shared" ref="A626:A649" si="128">A625+1</f>
        <v>2038</v>
      </c>
      <c r="B626" s="11"/>
      <c r="C626" s="78">
        <f t="shared" ref="C626:T626" si="129">AVERAGE(C312:C323)</f>
        <v>154.75825</v>
      </c>
      <c r="D626" s="78">
        <f t="shared" si="129"/>
        <v>281.0162499999999</v>
      </c>
      <c r="E626" s="78">
        <f t="shared" si="129"/>
        <v>109.1005</v>
      </c>
      <c r="F626" s="78">
        <f t="shared" si="129"/>
        <v>157.04166666666663</v>
      </c>
      <c r="G626" s="78">
        <f t="shared" si="129"/>
        <v>40</v>
      </c>
      <c r="H626" s="78">
        <f t="shared" si="129"/>
        <v>74.583333333333329</v>
      </c>
      <c r="I626" s="78">
        <f t="shared" si="129"/>
        <v>0</v>
      </c>
      <c r="J626" s="78">
        <f t="shared" si="129"/>
        <v>100</v>
      </c>
      <c r="K626" s="78">
        <f t="shared" si="129"/>
        <v>300</v>
      </c>
      <c r="L626" s="78">
        <f t="shared" si="129"/>
        <v>1216.5</v>
      </c>
      <c r="M626" s="79">
        <f t="shared" si="129"/>
        <v>600</v>
      </c>
      <c r="N626" s="78">
        <f t="shared" si="129"/>
        <v>72.5</v>
      </c>
      <c r="O626" s="80">
        <f t="shared" si="129"/>
        <v>240</v>
      </c>
      <c r="P626" s="80">
        <f t="shared" si="129"/>
        <v>110</v>
      </c>
      <c r="Q626" s="80">
        <f t="shared" si="129"/>
        <v>245</v>
      </c>
      <c r="R626" s="80">
        <f t="shared" si="129"/>
        <v>100</v>
      </c>
      <c r="S626" s="78">
        <f t="shared" si="129"/>
        <v>695</v>
      </c>
      <c r="T626" s="78">
        <f t="shared" si="129"/>
        <v>33.333333333333336</v>
      </c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</row>
    <row r="627" spans="1:30" ht="15" x14ac:dyDescent="0.2">
      <c r="A627" s="11">
        <f t="shared" si="128"/>
        <v>2039</v>
      </c>
      <c r="B627" s="11"/>
      <c r="C627" s="78">
        <f t="shared" ref="C627:T627" si="130">AVERAGE(C324:C335)</f>
        <v>154.75825</v>
      </c>
      <c r="D627" s="78">
        <f t="shared" si="130"/>
        <v>281.0162499999999</v>
      </c>
      <c r="E627" s="78">
        <f t="shared" si="130"/>
        <v>109.1005</v>
      </c>
      <c r="F627" s="78">
        <f t="shared" si="130"/>
        <v>157.04166666666663</v>
      </c>
      <c r="G627" s="78">
        <f t="shared" si="130"/>
        <v>40</v>
      </c>
      <c r="H627" s="78">
        <f t="shared" si="130"/>
        <v>74.583333333333329</v>
      </c>
      <c r="I627" s="78">
        <f t="shared" si="130"/>
        <v>0</v>
      </c>
      <c r="J627" s="78">
        <f t="shared" si="130"/>
        <v>100</v>
      </c>
      <c r="K627" s="78">
        <f t="shared" si="130"/>
        <v>300</v>
      </c>
      <c r="L627" s="78">
        <f t="shared" si="130"/>
        <v>1216.5</v>
      </c>
      <c r="M627" s="79">
        <f t="shared" si="130"/>
        <v>600</v>
      </c>
      <c r="N627" s="78">
        <f t="shared" si="130"/>
        <v>72.5</v>
      </c>
      <c r="O627" s="80">
        <f t="shared" si="130"/>
        <v>240</v>
      </c>
      <c r="P627" s="80">
        <f t="shared" si="130"/>
        <v>110</v>
      </c>
      <c r="Q627" s="80">
        <f t="shared" si="130"/>
        <v>245</v>
      </c>
      <c r="R627" s="80">
        <f t="shared" si="130"/>
        <v>100</v>
      </c>
      <c r="S627" s="78">
        <f t="shared" si="130"/>
        <v>695</v>
      </c>
      <c r="T627" s="78">
        <f t="shared" si="130"/>
        <v>33.333333333333336</v>
      </c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</row>
    <row r="628" spans="1:30" ht="15" x14ac:dyDescent="0.2">
      <c r="A628" s="11">
        <f t="shared" si="128"/>
        <v>2040</v>
      </c>
      <c r="B628" s="11"/>
      <c r="C628" s="78">
        <f t="shared" ref="C628:T628" si="131">AVERAGE(C336:C347)</f>
        <v>154.75825</v>
      </c>
      <c r="D628" s="78">
        <f t="shared" si="131"/>
        <v>281.0162499999999</v>
      </c>
      <c r="E628" s="78">
        <f t="shared" si="131"/>
        <v>109.1005</v>
      </c>
      <c r="F628" s="78">
        <f t="shared" si="131"/>
        <v>157.04166666666663</v>
      </c>
      <c r="G628" s="78">
        <f t="shared" si="131"/>
        <v>40</v>
      </c>
      <c r="H628" s="78">
        <f t="shared" si="131"/>
        <v>74.583333333333329</v>
      </c>
      <c r="I628" s="78">
        <f t="shared" si="131"/>
        <v>0</v>
      </c>
      <c r="J628" s="78">
        <f t="shared" si="131"/>
        <v>100</v>
      </c>
      <c r="K628" s="78">
        <f t="shared" si="131"/>
        <v>300</v>
      </c>
      <c r="L628" s="78">
        <f t="shared" si="131"/>
        <v>1216.5</v>
      </c>
      <c r="M628" s="79">
        <f t="shared" si="131"/>
        <v>600</v>
      </c>
      <c r="N628" s="78">
        <f t="shared" si="131"/>
        <v>72.5</v>
      </c>
      <c r="O628" s="80">
        <f t="shared" si="131"/>
        <v>240</v>
      </c>
      <c r="P628" s="80">
        <f t="shared" si="131"/>
        <v>110</v>
      </c>
      <c r="Q628" s="80">
        <f t="shared" si="131"/>
        <v>245</v>
      </c>
      <c r="R628" s="80">
        <f t="shared" si="131"/>
        <v>100</v>
      </c>
      <c r="S628" s="78">
        <f t="shared" si="131"/>
        <v>695</v>
      </c>
      <c r="T628" s="78">
        <f t="shared" si="131"/>
        <v>33.333333333333336</v>
      </c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</row>
    <row r="629" spans="1:30" ht="15" x14ac:dyDescent="0.2">
      <c r="A629" s="11">
        <f t="shared" si="128"/>
        <v>2041</v>
      </c>
      <c r="B629" s="11"/>
      <c r="C629" s="78">
        <f t="shared" ref="C629:T629" si="132">AVERAGE(C348:C359)</f>
        <v>154.75825</v>
      </c>
      <c r="D629" s="78">
        <f t="shared" si="132"/>
        <v>281.0162499999999</v>
      </c>
      <c r="E629" s="78">
        <f t="shared" si="132"/>
        <v>109.1005</v>
      </c>
      <c r="F629" s="78">
        <f t="shared" si="132"/>
        <v>157.04166666666663</v>
      </c>
      <c r="G629" s="78">
        <f t="shared" si="132"/>
        <v>40</v>
      </c>
      <c r="H629" s="78">
        <f t="shared" si="132"/>
        <v>74.583333333333329</v>
      </c>
      <c r="I629" s="78">
        <f t="shared" si="132"/>
        <v>0</v>
      </c>
      <c r="J629" s="78">
        <f t="shared" si="132"/>
        <v>100</v>
      </c>
      <c r="K629" s="78">
        <f t="shared" si="132"/>
        <v>300</v>
      </c>
      <c r="L629" s="78">
        <f t="shared" si="132"/>
        <v>1216.5</v>
      </c>
      <c r="M629" s="79">
        <f t="shared" si="132"/>
        <v>600</v>
      </c>
      <c r="N629" s="78">
        <f t="shared" si="132"/>
        <v>72.5</v>
      </c>
      <c r="O629" s="80">
        <f t="shared" si="132"/>
        <v>240</v>
      </c>
      <c r="P629" s="80">
        <f t="shared" si="132"/>
        <v>110</v>
      </c>
      <c r="Q629" s="80">
        <f t="shared" si="132"/>
        <v>245</v>
      </c>
      <c r="R629" s="80">
        <f t="shared" si="132"/>
        <v>100</v>
      </c>
      <c r="S629" s="78">
        <f t="shared" si="132"/>
        <v>695</v>
      </c>
      <c r="T629" s="78">
        <f t="shared" si="132"/>
        <v>33.333333333333336</v>
      </c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</row>
    <row r="630" spans="1:30" ht="15" x14ac:dyDescent="0.2">
      <c r="A630" s="11">
        <f t="shared" si="128"/>
        <v>2042</v>
      </c>
      <c r="B630" s="11"/>
      <c r="C630" s="78">
        <f t="shared" ref="C630:T630" si="133">AVERAGE(C360:C371)</f>
        <v>154.75825</v>
      </c>
      <c r="D630" s="78">
        <f t="shared" si="133"/>
        <v>281.0162499999999</v>
      </c>
      <c r="E630" s="78">
        <f t="shared" si="133"/>
        <v>109.1005</v>
      </c>
      <c r="F630" s="78">
        <f t="shared" si="133"/>
        <v>157.04166666666663</v>
      </c>
      <c r="G630" s="78">
        <f t="shared" si="133"/>
        <v>40</v>
      </c>
      <c r="H630" s="78">
        <f t="shared" si="133"/>
        <v>74.583333333333329</v>
      </c>
      <c r="I630" s="78">
        <f t="shared" si="133"/>
        <v>0</v>
      </c>
      <c r="J630" s="78">
        <f t="shared" si="133"/>
        <v>100</v>
      </c>
      <c r="K630" s="78">
        <f t="shared" si="133"/>
        <v>300</v>
      </c>
      <c r="L630" s="78">
        <f t="shared" si="133"/>
        <v>1216.5</v>
      </c>
      <c r="M630" s="79">
        <f t="shared" si="133"/>
        <v>600</v>
      </c>
      <c r="N630" s="78">
        <f t="shared" si="133"/>
        <v>72.5</v>
      </c>
      <c r="O630" s="80">
        <f t="shared" si="133"/>
        <v>240</v>
      </c>
      <c r="P630" s="80">
        <f t="shared" si="133"/>
        <v>110</v>
      </c>
      <c r="Q630" s="80">
        <f t="shared" si="133"/>
        <v>245</v>
      </c>
      <c r="R630" s="80">
        <f t="shared" si="133"/>
        <v>100</v>
      </c>
      <c r="S630" s="78">
        <f t="shared" si="133"/>
        <v>695</v>
      </c>
      <c r="T630" s="78">
        <f t="shared" si="133"/>
        <v>33.333333333333336</v>
      </c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</row>
    <row r="631" spans="1:30" ht="15" x14ac:dyDescent="0.2">
      <c r="A631" s="11">
        <f t="shared" si="128"/>
        <v>2043</v>
      </c>
      <c r="B631" s="11"/>
      <c r="C631" s="78">
        <f t="shared" ref="C631:T631" si="134">AVERAGE(C372:C383)</f>
        <v>154.75825</v>
      </c>
      <c r="D631" s="78">
        <f t="shared" si="134"/>
        <v>281.0162499999999</v>
      </c>
      <c r="E631" s="78">
        <f t="shared" si="134"/>
        <v>109.1005</v>
      </c>
      <c r="F631" s="78">
        <f t="shared" si="134"/>
        <v>157.04166666666663</v>
      </c>
      <c r="G631" s="78">
        <f t="shared" si="134"/>
        <v>40</v>
      </c>
      <c r="H631" s="78">
        <f t="shared" si="134"/>
        <v>74.583333333333329</v>
      </c>
      <c r="I631" s="78">
        <f t="shared" si="134"/>
        <v>0</v>
      </c>
      <c r="J631" s="78">
        <f t="shared" si="134"/>
        <v>100</v>
      </c>
      <c r="K631" s="78">
        <f t="shared" si="134"/>
        <v>300</v>
      </c>
      <c r="L631" s="78">
        <f t="shared" si="134"/>
        <v>1216.5</v>
      </c>
      <c r="M631" s="79">
        <f t="shared" si="134"/>
        <v>600</v>
      </c>
      <c r="N631" s="78">
        <f t="shared" si="134"/>
        <v>72.5</v>
      </c>
      <c r="O631" s="80">
        <f t="shared" si="134"/>
        <v>240</v>
      </c>
      <c r="P631" s="80">
        <f t="shared" si="134"/>
        <v>110</v>
      </c>
      <c r="Q631" s="80">
        <f t="shared" si="134"/>
        <v>245</v>
      </c>
      <c r="R631" s="80">
        <f t="shared" si="134"/>
        <v>100</v>
      </c>
      <c r="S631" s="78">
        <f t="shared" si="134"/>
        <v>695</v>
      </c>
      <c r="T631" s="78">
        <f t="shared" si="134"/>
        <v>33.333333333333336</v>
      </c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</row>
    <row r="632" spans="1:30" ht="15" x14ac:dyDescent="0.2">
      <c r="A632" s="11">
        <f t="shared" si="128"/>
        <v>2044</v>
      </c>
      <c r="B632" s="11"/>
      <c r="C632" s="78">
        <f t="shared" ref="C632:T632" si="135">AVERAGE(C384:C395)</f>
        <v>154.75825</v>
      </c>
      <c r="D632" s="78">
        <f t="shared" si="135"/>
        <v>281.0162499999999</v>
      </c>
      <c r="E632" s="78">
        <f t="shared" si="135"/>
        <v>109.1005</v>
      </c>
      <c r="F632" s="78">
        <f t="shared" si="135"/>
        <v>157.04166666666663</v>
      </c>
      <c r="G632" s="78">
        <f t="shared" si="135"/>
        <v>40</v>
      </c>
      <c r="H632" s="78">
        <f t="shared" si="135"/>
        <v>74.583333333333329</v>
      </c>
      <c r="I632" s="78">
        <f t="shared" si="135"/>
        <v>0</v>
      </c>
      <c r="J632" s="78">
        <f t="shared" si="135"/>
        <v>100</v>
      </c>
      <c r="K632" s="78">
        <f t="shared" si="135"/>
        <v>300</v>
      </c>
      <c r="L632" s="78">
        <f t="shared" si="135"/>
        <v>1216.5</v>
      </c>
      <c r="M632" s="79">
        <f t="shared" si="135"/>
        <v>600</v>
      </c>
      <c r="N632" s="78">
        <f t="shared" si="135"/>
        <v>72.5</v>
      </c>
      <c r="O632" s="80">
        <f t="shared" si="135"/>
        <v>240</v>
      </c>
      <c r="P632" s="80">
        <f t="shared" si="135"/>
        <v>110</v>
      </c>
      <c r="Q632" s="80">
        <f t="shared" si="135"/>
        <v>245</v>
      </c>
      <c r="R632" s="80">
        <f t="shared" si="135"/>
        <v>100</v>
      </c>
      <c r="S632" s="78">
        <f t="shared" si="135"/>
        <v>695</v>
      </c>
      <c r="T632" s="78">
        <f t="shared" si="135"/>
        <v>33.333333333333336</v>
      </c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</row>
    <row r="633" spans="1:30" ht="15" x14ac:dyDescent="0.2">
      <c r="A633" s="11">
        <f t="shared" si="128"/>
        <v>2045</v>
      </c>
      <c r="B633" s="11"/>
      <c r="C633" s="78">
        <f t="shared" ref="C633:T633" si="136">AVERAGE(C396:C407)</f>
        <v>154.75825</v>
      </c>
      <c r="D633" s="78">
        <f t="shared" si="136"/>
        <v>281.0162499999999</v>
      </c>
      <c r="E633" s="78">
        <f t="shared" si="136"/>
        <v>109.1005</v>
      </c>
      <c r="F633" s="78">
        <f t="shared" si="136"/>
        <v>157.04166666666663</v>
      </c>
      <c r="G633" s="78">
        <f t="shared" si="136"/>
        <v>40</v>
      </c>
      <c r="H633" s="78">
        <f t="shared" si="136"/>
        <v>74.583333333333329</v>
      </c>
      <c r="I633" s="78">
        <f t="shared" si="136"/>
        <v>0</v>
      </c>
      <c r="J633" s="78">
        <f t="shared" si="136"/>
        <v>100</v>
      </c>
      <c r="K633" s="78">
        <f t="shared" si="136"/>
        <v>300</v>
      </c>
      <c r="L633" s="78">
        <f t="shared" si="136"/>
        <v>1216.5</v>
      </c>
      <c r="M633" s="79">
        <f t="shared" si="136"/>
        <v>600</v>
      </c>
      <c r="N633" s="78">
        <f t="shared" si="136"/>
        <v>72.5</v>
      </c>
      <c r="O633" s="80">
        <f t="shared" si="136"/>
        <v>240</v>
      </c>
      <c r="P633" s="80">
        <f t="shared" si="136"/>
        <v>110</v>
      </c>
      <c r="Q633" s="80">
        <f t="shared" si="136"/>
        <v>245</v>
      </c>
      <c r="R633" s="80">
        <f t="shared" si="136"/>
        <v>100</v>
      </c>
      <c r="S633" s="78">
        <f t="shared" si="136"/>
        <v>695</v>
      </c>
      <c r="T633" s="78">
        <f t="shared" si="136"/>
        <v>33.333333333333336</v>
      </c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</row>
    <row r="634" spans="1:30" ht="15" x14ac:dyDescent="0.2">
      <c r="A634" s="11">
        <f t="shared" si="128"/>
        <v>2046</v>
      </c>
      <c r="B634" s="11"/>
      <c r="C634" s="78">
        <f t="shared" ref="C634:T634" si="137">AVERAGE(C408:C419)</f>
        <v>154.75825</v>
      </c>
      <c r="D634" s="78">
        <f t="shared" si="137"/>
        <v>281.0162499999999</v>
      </c>
      <c r="E634" s="78">
        <f t="shared" si="137"/>
        <v>109.1005</v>
      </c>
      <c r="F634" s="78">
        <f t="shared" si="137"/>
        <v>157.04166666666663</v>
      </c>
      <c r="G634" s="78">
        <f t="shared" si="137"/>
        <v>40</v>
      </c>
      <c r="H634" s="78">
        <f t="shared" si="137"/>
        <v>74.583333333333329</v>
      </c>
      <c r="I634" s="78">
        <f t="shared" si="137"/>
        <v>0</v>
      </c>
      <c r="J634" s="78">
        <f t="shared" si="137"/>
        <v>100</v>
      </c>
      <c r="K634" s="78">
        <f t="shared" si="137"/>
        <v>300</v>
      </c>
      <c r="L634" s="78">
        <f t="shared" si="137"/>
        <v>1216.5</v>
      </c>
      <c r="M634" s="79">
        <f t="shared" si="137"/>
        <v>600</v>
      </c>
      <c r="N634" s="78">
        <f t="shared" si="137"/>
        <v>72.5</v>
      </c>
      <c r="O634" s="80">
        <f t="shared" si="137"/>
        <v>240</v>
      </c>
      <c r="P634" s="80">
        <f t="shared" si="137"/>
        <v>110</v>
      </c>
      <c r="Q634" s="80">
        <f t="shared" si="137"/>
        <v>245</v>
      </c>
      <c r="R634" s="80">
        <f t="shared" si="137"/>
        <v>100</v>
      </c>
      <c r="S634" s="78">
        <f t="shared" si="137"/>
        <v>695</v>
      </c>
      <c r="T634" s="78">
        <f t="shared" si="137"/>
        <v>33.333333333333336</v>
      </c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</row>
    <row r="635" spans="1:30" ht="15" x14ac:dyDescent="0.2">
      <c r="A635" s="11">
        <f t="shared" si="128"/>
        <v>2047</v>
      </c>
      <c r="B635" s="11"/>
      <c r="C635" s="78">
        <f t="shared" ref="C635:T635" si="138">AVERAGE(C420:C431)</f>
        <v>154.75825</v>
      </c>
      <c r="D635" s="78">
        <f t="shared" si="138"/>
        <v>281.0162499999999</v>
      </c>
      <c r="E635" s="78">
        <f t="shared" si="138"/>
        <v>109.1005</v>
      </c>
      <c r="F635" s="78">
        <f t="shared" si="138"/>
        <v>157.04166666666663</v>
      </c>
      <c r="G635" s="78">
        <f t="shared" si="138"/>
        <v>40</v>
      </c>
      <c r="H635" s="78">
        <f t="shared" si="138"/>
        <v>74.583333333333329</v>
      </c>
      <c r="I635" s="78">
        <f t="shared" si="138"/>
        <v>0</v>
      </c>
      <c r="J635" s="78">
        <f t="shared" si="138"/>
        <v>100</v>
      </c>
      <c r="K635" s="78">
        <f t="shared" si="138"/>
        <v>300</v>
      </c>
      <c r="L635" s="78">
        <f t="shared" si="138"/>
        <v>1216.5</v>
      </c>
      <c r="M635" s="79">
        <f t="shared" si="138"/>
        <v>600</v>
      </c>
      <c r="N635" s="78">
        <f t="shared" si="138"/>
        <v>72.5</v>
      </c>
      <c r="O635" s="80">
        <f t="shared" si="138"/>
        <v>240</v>
      </c>
      <c r="P635" s="80">
        <f t="shared" si="138"/>
        <v>110</v>
      </c>
      <c r="Q635" s="80">
        <f t="shared" si="138"/>
        <v>245</v>
      </c>
      <c r="R635" s="80">
        <f t="shared" si="138"/>
        <v>100</v>
      </c>
      <c r="S635" s="78">
        <f t="shared" si="138"/>
        <v>695</v>
      </c>
      <c r="T635" s="78">
        <f t="shared" si="138"/>
        <v>33.333333333333336</v>
      </c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</row>
    <row r="636" spans="1:30" ht="15" x14ac:dyDescent="0.2">
      <c r="A636" s="11">
        <f t="shared" si="128"/>
        <v>2048</v>
      </c>
      <c r="B636" s="11"/>
      <c r="C636" s="78">
        <f t="shared" ref="C636:T636" si="139">AVERAGE(C432:C443)</f>
        <v>154.75825</v>
      </c>
      <c r="D636" s="78">
        <f t="shared" si="139"/>
        <v>281.0162499999999</v>
      </c>
      <c r="E636" s="78">
        <f t="shared" si="139"/>
        <v>109.1005</v>
      </c>
      <c r="F636" s="78">
        <f t="shared" si="139"/>
        <v>157.04166666666663</v>
      </c>
      <c r="G636" s="78">
        <f t="shared" si="139"/>
        <v>40</v>
      </c>
      <c r="H636" s="78">
        <f t="shared" si="139"/>
        <v>74.583333333333329</v>
      </c>
      <c r="I636" s="78">
        <f t="shared" si="139"/>
        <v>0</v>
      </c>
      <c r="J636" s="78">
        <f t="shared" si="139"/>
        <v>100</v>
      </c>
      <c r="K636" s="78">
        <f t="shared" si="139"/>
        <v>300</v>
      </c>
      <c r="L636" s="78">
        <f t="shared" si="139"/>
        <v>1216.5</v>
      </c>
      <c r="M636" s="79">
        <f t="shared" si="139"/>
        <v>600</v>
      </c>
      <c r="N636" s="78">
        <f t="shared" si="139"/>
        <v>72.5</v>
      </c>
      <c r="O636" s="80">
        <f t="shared" si="139"/>
        <v>240</v>
      </c>
      <c r="P636" s="80">
        <f t="shared" si="139"/>
        <v>110</v>
      </c>
      <c r="Q636" s="80">
        <f t="shared" si="139"/>
        <v>245</v>
      </c>
      <c r="R636" s="80">
        <f t="shared" si="139"/>
        <v>100</v>
      </c>
      <c r="S636" s="78">
        <f t="shared" si="139"/>
        <v>695</v>
      </c>
      <c r="T636" s="78">
        <f t="shared" si="139"/>
        <v>33.333333333333336</v>
      </c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</row>
    <row r="637" spans="1:30" ht="15" x14ac:dyDescent="0.2">
      <c r="A637" s="11">
        <f t="shared" si="128"/>
        <v>2049</v>
      </c>
      <c r="B637" s="11"/>
      <c r="C637" s="78">
        <f t="shared" ref="C637:T637" si="140">AVERAGE(C444:C455)</f>
        <v>154.75825</v>
      </c>
      <c r="D637" s="78">
        <f t="shared" si="140"/>
        <v>281.0162499999999</v>
      </c>
      <c r="E637" s="78">
        <f t="shared" si="140"/>
        <v>109.1005</v>
      </c>
      <c r="F637" s="78">
        <f t="shared" si="140"/>
        <v>157.04166666666663</v>
      </c>
      <c r="G637" s="78">
        <f t="shared" si="140"/>
        <v>40</v>
      </c>
      <c r="H637" s="78">
        <f t="shared" si="140"/>
        <v>74.583333333333329</v>
      </c>
      <c r="I637" s="78">
        <f t="shared" si="140"/>
        <v>0</v>
      </c>
      <c r="J637" s="78">
        <f t="shared" si="140"/>
        <v>100</v>
      </c>
      <c r="K637" s="78">
        <f t="shared" si="140"/>
        <v>300</v>
      </c>
      <c r="L637" s="78">
        <f t="shared" si="140"/>
        <v>1216.5</v>
      </c>
      <c r="M637" s="79">
        <f t="shared" si="140"/>
        <v>600</v>
      </c>
      <c r="N637" s="78">
        <f t="shared" si="140"/>
        <v>72.5</v>
      </c>
      <c r="O637" s="80">
        <f t="shared" si="140"/>
        <v>240</v>
      </c>
      <c r="P637" s="80">
        <f t="shared" si="140"/>
        <v>110</v>
      </c>
      <c r="Q637" s="80">
        <f t="shared" si="140"/>
        <v>245</v>
      </c>
      <c r="R637" s="80">
        <f t="shared" si="140"/>
        <v>100</v>
      </c>
      <c r="S637" s="78">
        <f t="shared" si="140"/>
        <v>695</v>
      </c>
      <c r="T637" s="78">
        <f t="shared" si="140"/>
        <v>33.333333333333336</v>
      </c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</row>
    <row r="638" spans="1:30" ht="15" x14ac:dyDescent="0.2">
      <c r="A638" s="11">
        <f t="shared" si="128"/>
        <v>2050</v>
      </c>
      <c r="B638" s="11"/>
      <c r="C638" s="78">
        <f t="shared" ref="C638:T638" si="141">AVERAGE(C456:C467)</f>
        <v>154.75825</v>
      </c>
      <c r="D638" s="78">
        <f t="shared" si="141"/>
        <v>281.0162499999999</v>
      </c>
      <c r="E638" s="78">
        <f t="shared" si="141"/>
        <v>109.1005</v>
      </c>
      <c r="F638" s="78">
        <f t="shared" si="141"/>
        <v>157.04166666666663</v>
      </c>
      <c r="G638" s="78">
        <f t="shared" si="141"/>
        <v>40</v>
      </c>
      <c r="H638" s="78">
        <f t="shared" si="141"/>
        <v>74.583333333333329</v>
      </c>
      <c r="I638" s="78">
        <f t="shared" si="141"/>
        <v>0</v>
      </c>
      <c r="J638" s="78">
        <f t="shared" si="141"/>
        <v>100</v>
      </c>
      <c r="K638" s="78">
        <f t="shared" si="141"/>
        <v>300</v>
      </c>
      <c r="L638" s="78">
        <f t="shared" si="141"/>
        <v>1216.5</v>
      </c>
      <c r="M638" s="79">
        <f t="shared" si="141"/>
        <v>600</v>
      </c>
      <c r="N638" s="78">
        <f t="shared" si="141"/>
        <v>72.5</v>
      </c>
      <c r="O638" s="80">
        <f t="shared" si="141"/>
        <v>240</v>
      </c>
      <c r="P638" s="80">
        <f t="shared" si="141"/>
        <v>110</v>
      </c>
      <c r="Q638" s="80">
        <f t="shared" si="141"/>
        <v>245</v>
      </c>
      <c r="R638" s="80">
        <f t="shared" si="141"/>
        <v>100</v>
      </c>
      <c r="S638" s="78">
        <f t="shared" si="141"/>
        <v>695</v>
      </c>
      <c r="T638" s="78">
        <f t="shared" si="141"/>
        <v>33.333333333333336</v>
      </c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</row>
    <row r="639" spans="1:30" ht="15" x14ac:dyDescent="0.2">
      <c r="A639" s="11">
        <f t="shared" si="128"/>
        <v>2051</v>
      </c>
      <c r="B639" s="11"/>
      <c r="C639" s="78">
        <f t="shared" ref="C639:T639" si="142">AVERAGE(C468:C479)</f>
        <v>154.75825</v>
      </c>
      <c r="D639" s="78">
        <f t="shared" si="142"/>
        <v>281.0162499999999</v>
      </c>
      <c r="E639" s="78">
        <f t="shared" si="142"/>
        <v>109.1005</v>
      </c>
      <c r="F639" s="78">
        <f t="shared" si="142"/>
        <v>157.04166666666663</v>
      </c>
      <c r="G639" s="78">
        <f t="shared" si="142"/>
        <v>40</v>
      </c>
      <c r="H639" s="78">
        <f t="shared" si="142"/>
        <v>74.583333333333329</v>
      </c>
      <c r="I639" s="78">
        <f t="shared" si="142"/>
        <v>0</v>
      </c>
      <c r="J639" s="78">
        <f t="shared" si="142"/>
        <v>100</v>
      </c>
      <c r="K639" s="78">
        <f t="shared" si="142"/>
        <v>300</v>
      </c>
      <c r="L639" s="78">
        <f t="shared" si="142"/>
        <v>1216.5</v>
      </c>
      <c r="M639" s="79">
        <f t="shared" si="142"/>
        <v>600</v>
      </c>
      <c r="N639" s="78">
        <f t="shared" si="142"/>
        <v>72.5</v>
      </c>
      <c r="O639" s="80">
        <f t="shared" si="142"/>
        <v>240</v>
      </c>
      <c r="P639" s="80">
        <f t="shared" si="142"/>
        <v>110</v>
      </c>
      <c r="Q639" s="80">
        <f t="shared" si="142"/>
        <v>245</v>
      </c>
      <c r="R639" s="80">
        <f t="shared" si="142"/>
        <v>100</v>
      </c>
      <c r="S639" s="78">
        <f t="shared" si="142"/>
        <v>695</v>
      </c>
      <c r="T639" s="78">
        <f t="shared" si="142"/>
        <v>33.333333333333336</v>
      </c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</row>
    <row r="640" spans="1:30" ht="15" x14ac:dyDescent="0.2">
      <c r="A640" s="11">
        <f t="shared" si="128"/>
        <v>2052</v>
      </c>
      <c r="B640" s="11"/>
      <c r="C640" s="78">
        <f t="shared" ref="C640:T640" si="143">AVERAGE(C480:C491)</f>
        <v>154.75825</v>
      </c>
      <c r="D640" s="78">
        <f t="shared" si="143"/>
        <v>281.0162499999999</v>
      </c>
      <c r="E640" s="78">
        <f t="shared" si="143"/>
        <v>109.1005</v>
      </c>
      <c r="F640" s="78">
        <f t="shared" si="143"/>
        <v>157.04166666666663</v>
      </c>
      <c r="G640" s="78">
        <f t="shared" si="143"/>
        <v>40</v>
      </c>
      <c r="H640" s="78">
        <f t="shared" si="143"/>
        <v>74.583333333333329</v>
      </c>
      <c r="I640" s="78">
        <f t="shared" si="143"/>
        <v>0</v>
      </c>
      <c r="J640" s="78">
        <f t="shared" si="143"/>
        <v>100</v>
      </c>
      <c r="K640" s="78">
        <f t="shared" si="143"/>
        <v>300</v>
      </c>
      <c r="L640" s="78">
        <f t="shared" si="143"/>
        <v>1216.5</v>
      </c>
      <c r="M640" s="79">
        <f t="shared" si="143"/>
        <v>600</v>
      </c>
      <c r="N640" s="78">
        <f t="shared" si="143"/>
        <v>72.5</v>
      </c>
      <c r="O640" s="80">
        <f t="shared" si="143"/>
        <v>240</v>
      </c>
      <c r="P640" s="80">
        <f t="shared" si="143"/>
        <v>110</v>
      </c>
      <c r="Q640" s="80">
        <f t="shared" si="143"/>
        <v>245</v>
      </c>
      <c r="R640" s="80">
        <f t="shared" si="143"/>
        <v>100</v>
      </c>
      <c r="S640" s="78">
        <f t="shared" si="143"/>
        <v>695</v>
      </c>
      <c r="T640" s="78">
        <f t="shared" si="143"/>
        <v>33.333333333333336</v>
      </c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</row>
    <row r="641" spans="1:30" ht="15" x14ac:dyDescent="0.2">
      <c r="A641" s="11">
        <f t="shared" si="128"/>
        <v>2053</v>
      </c>
      <c r="B641" s="11"/>
      <c r="C641" s="78">
        <f t="shared" ref="C641:T641" si="144">AVERAGE(C492:C503)</f>
        <v>154.75825</v>
      </c>
      <c r="D641" s="78">
        <f t="shared" si="144"/>
        <v>281.0162499999999</v>
      </c>
      <c r="E641" s="78">
        <f t="shared" si="144"/>
        <v>109.1005</v>
      </c>
      <c r="F641" s="78">
        <f t="shared" si="144"/>
        <v>157.04166666666663</v>
      </c>
      <c r="G641" s="78">
        <f t="shared" si="144"/>
        <v>40</v>
      </c>
      <c r="H641" s="78">
        <f t="shared" si="144"/>
        <v>74.583333333333329</v>
      </c>
      <c r="I641" s="78">
        <f t="shared" si="144"/>
        <v>0</v>
      </c>
      <c r="J641" s="78">
        <f t="shared" si="144"/>
        <v>100</v>
      </c>
      <c r="K641" s="78">
        <f t="shared" si="144"/>
        <v>300</v>
      </c>
      <c r="L641" s="78">
        <f t="shared" si="144"/>
        <v>1216.5</v>
      </c>
      <c r="M641" s="79">
        <f t="shared" si="144"/>
        <v>600</v>
      </c>
      <c r="N641" s="78">
        <f t="shared" si="144"/>
        <v>72.5</v>
      </c>
      <c r="O641" s="80">
        <f t="shared" si="144"/>
        <v>240</v>
      </c>
      <c r="P641" s="80">
        <f t="shared" si="144"/>
        <v>110</v>
      </c>
      <c r="Q641" s="80">
        <f t="shared" si="144"/>
        <v>245</v>
      </c>
      <c r="R641" s="80">
        <f t="shared" si="144"/>
        <v>100</v>
      </c>
      <c r="S641" s="78">
        <f t="shared" si="144"/>
        <v>695</v>
      </c>
      <c r="T641" s="78">
        <f t="shared" si="144"/>
        <v>33.333333333333336</v>
      </c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</row>
    <row r="642" spans="1:30" ht="15" x14ac:dyDescent="0.2">
      <c r="A642" s="11">
        <f t="shared" si="128"/>
        <v>2054</v>
      </c>
      <c r="B642" s="11"/>
      <c r="C642" s="78">
        <f t="shared" ref="C642:T642" si="145">AVERAGE(C504:C515)</f>
        <v>154.75825</v>
      </c>
      <c r="D642" s="78">
        <f t="shared" si="145"/>
        <v>281.0162499999999</v>
      </c>
      <c r="E642" s="78">
        <f t="shared" si="145"/>
        <v>109.1005</v>
      </c>
      <c r="F642" s="78">
        <f t="shared" si="145"/>
        <v>157.04166666666663</v>
      </c>
      <c r="G642" s="78">
        <f t="shared" si="145"/>
        <v>40</v>
      </c>
      <c r="H642" s="78">
        <f t="shared" si="145"/>
        <v>74.583333333333329</v>
      </c>
      <c r="I642" s="78">
        <f t="shared" si="145"/>
        <v>0</v>
      </c>
      <c r="J642" s="78">
        <f t="shared" si="145"/>
        <v>100</v>
      </c>
      <c r="K642" s="78">
        <f t="shared" si="145"/>
        <v>300</v>
      </c>
      <c r="L642" s="78">
        <f t="shared" si="145"/>
        <v>1216.5</v>
      </c>
      <c r="M642" s="79">
        <f t="shared" si="145"/>
        <v>600</v>
      </c>
      <c r="N642" s="78">
        <f t="shared" si="145"/>
        <v>72.5</v>
      </c>
      <c r="O642" s="78">
        <f t="shared" si="145"/>
        <v>240</v>
      </c>
      <c r="P642" s="78">
        <f t="shared" si="145"/>
        <v>110</v>
      </c>
      <c r="Q642" s="78">
        <f t="shared" si="145"/>
        <v>245</v>
      </c>
      <c r="R642" s="78">
        <f t="shared" si="145"/>
        <v>100</v>
      </c>
      <c r="S642" s="78">
        <f t="shared" si="145"/>
        <v>695</v>
      </c>
      <c r="T642" s="78">
        <f t="shared" si="145"/>
        <v>33.333333333333336</v>
      </c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</row>
    <row r="643" spans="1:30" ht="15" x14ac:dyDescent="0.2">
      <c r="A643" s="11">
        <f t="shared" si="128"/>
        <v>2055</v>
      </c>
      <c r="B643" s="11"/>
      <c r="C643" s="78">
        <f t="shared" ref="C643:T643" si="146">AVERAGE(C505:C516)</f>
        <v>154.75825</v>
      </c>
      <c r="D643" s="78">
        <f t="shared" si="146"/>
        <v>281.0162499999999</v>
      </c>
      <c r="E643" s="78">
        <f t="shared" si="146"/>
        <v>109.1005</v>
      </c>
      <c r="F643" s="78">
        <f t="shared" si="146"/>
        <v>157.04166666666663</v>
      </c>
      <c r="G643" s="78">
        <f t="shared" si="146"/>
        <v>40</v>
      </c>
      <c r="H643" s="78">
        <f t="shared" si="146"/>
        <v>74.583333333333329</v>
      </c>
      <c r="I643" s="78">
        <f t="shared" si="146"/>
        <v>0</v>
      </c>
      <c r="J643" s="78">
        <f t="shared" si="146"/>
        <v>100</v>
      </c>
      <c r="K643" s="78">
        <f t="shared" si="146"/>
        <v>300</v>
      </c>
      <c r="L643" s="78">
        <f t="shared" si="146"/>
        <v>1216.5</v>
      </c>
      <c r="M643" s="79">
        <f t="shared" si="146"/>
        <v>600</v>
      </c>
      <c r="N643" s="78">
        <f t="shared" si="146"/>
        <v>72.5</v>
      </c>
      <c r="O643" s="78">
        <f t="shared" si="146"/>
        <v>240</v>
      </c>
      <c r="P643" s="78">
        <f t="shared" si="146"/>
        <v>110</v>
      </c>
      <c r="Q643" s="78">
        <f t="shared" si="146"/>
        <v>245</v>
      </c>
      <c r="R643" s="78">
        <f t="shared" si="146"/>
        <v>100</v>
      </c>
      <c r="S643" s="78">
        <f t="shared" si="146"/>
        <v>695</v>
      </c>
      <c r="T643" s="78">
        <f t="shared" si="146"/>
        <v>33.333333333333336</v>
      </c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</row>
    <row r="644" spans="1:30" ht="15" x14ac:dyDescent="0.2">
      <c r="A644" s="11">
        <f t="shared" si="128"/>
        <v>2056</v>
      </c>
      <c r="B644" s="11"/>
      <c r="C644" s="78">
        <f t="shared" ref="C644:T644" si="147">AVERAGE(C506:C517)</f>
        <v>154.75824999999998</v>
      </c>
      <c r="D644" s="78">
        <f t="shared" si="147"/>
        <v>281.0162499999999</v>
      </c>
      <c r="E644" s="78">
        <f t="shared" si="147"/>
        <v>109.1005</v>
      </c>
      <c r="F644" s="78">
        <f t="shared" si="147"/>
        <v>157.04166666666663</v>
      </c>
      <c r="G644" s="78">
        <f t="shared" si="147"/>
        <v>40</v>
      </c>
      <c r="H644" s="78">
        <f t="shared" si="147"/>
        <v>74.583333333333329</v>
      </c>
      <c r="I644" s="78">
        <f t="shared" si="147"/>
        <v>0</v>
      </c>
      <c r="J644" s="78">
        <f t="shared" si="147"/>
        <v>100</v>
      </c>
      <c r="K644" s="78">
        <f t="shared" si="147"/>
        <v>300</v>
      </c>
      <c r="L644" s="78">
        <f t="shared" si="147"/>
        <v>1216.5</v>
      </c>
      <c r="M644" s="79">
        <f t="shared" si="147"/>
        <v>600</v>
      </c>
      <c r="N644" s="78">
        <f t="shared" si="147"/>
        <v>72.5</v>
      </c>
      <c r="O644" s="78">
        <f t="shared" si="147"/>
        <v>240</v>
      </c>
      <c r="P644" s="78">
        <f t="shared" si="147"/>
        <v>110</v>
      </c>
      <c r="Q644" s="78">
        <f t="shared" si="147"/>
        <v>245</v>
      </c>
      <c r="R644" s="78">
        <f t="shared" si="147"/>
        <v>100</v>
      </c>
      <c r="S644" s="78">
        <f t="shared" si="147"/>
        <v>695</v>
      </c>
      <c r="T644" s="78">
        <f t="shared" si="147"/>
        <v>33.333333333333336</v>
      </c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</row>
    <row r="645" spans="1:30" ht="15" x14ac:dyDescent="0.2">
      <c r="A645" s="11">
        <f t="shared" si="128"/>
        <v>2057</v>
      </c>
      <c r="B645" s="11"/>
      <c r="C645" s="78">
        <f t="shared" ref="C645:T645" si="148">AVERAGE(C507:C518)</f>
        <v>154.75825</v>
      </c>
      <c r="D645" s="78">
        <f t="shared" si="148"/>
        <v>281.0162499999999</v>
      </c>
      <c r="E645" s="78">
        <f t="shared" si="148"/>
        <v>109.1005</v>
      </c>
      <c r="F645" s="78">
        <f t="shared" si="148"/>
        <v>157.0416666666666</v>
      </c>
      <c r="G645" s="78">
        <f t="shared" si="148"/>
        <v>40</v>
      </c>
      <c r="H645" s="78">
        <f t="shared" si="148"/>
        <v>74.583333333333329</v>
      </c>
      <c r="I645" s="78">
        <f t="shared" si="148"/>
        <v>0</v>
      </c>
      <c r="J645" s="78">
        <f t="shared" si="148"/>
        <v>100</v>
      </c>
      <c r="K645" s="78">
        <f t="shared" si="148"/>
        <v>300</v>
      </c>
      <c r="L645" s="78">
        <f t="shared" si="148"/>
        <v>1216.5</v>
      </c>
      <c r="M645" s="79">
        <f t="shared" si="148"/>
        <v>600</v>
      </c>
      <c r="N645" s="78">
        <f t="shared" si="148"/>
        <v>72.5</v>
      </c>
      <c r="O645" s="78">
        <f t="shared" si="148"/>
        <v>240</v>
      </c>
      <c r="P645" s="78">
        <f t="shared" si="148"/>
        <v>110</v>
      </c>
      <c r="Q645" s="78">
        <f t="shared" si="148"/>
        <v>245</v>
      </c>
      <c r="R645" s="78">
        <f t="shared" si="148"/>
        <v>100</v>
      </c>
      <c r="S645" s="78">
        <f t="shared" si="148"/>
        <v>695</v>
      </c>
      <c r="T645" s="78">
        <f t="shared" si="148"/>
        <v>33.333333333333336</v>
      </c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</row>
    <row r="646" spans="1:30" ht="15" x14ac:dyDescent="0.2">
      <c r="A646" s="11">
        <f t="shared" si="128"/>
        <v>2058</v>
      </c>
      <c r="B646" s="11"/>
      <c r="C646" s="78">
        <f t="shared" ref="C646:T646" si="149">AVERAGE(C508:C519)</f>
        <v>154.75824999999998</v>
      </c>
      <c r="D646" s="78">
        <f t="shared" si="149"/>
        <v>281.01624999999996</v>
      </c>
      <c r="E646" s="78">
        <f t="shared" si="149"/>
        <v>109.10050000000001</v>
      </c>
      <c r="F646" s="78">
        <f t="shared" si="149"/>
        <v>157.04166666666663</v>
      </c>
      <c r="G646" s="78">
        <f t="shared" si="149"/>
        <v>40</v>
      </c>
      <c r="H646" s="78">
        <f t="shared" si="149"/>
        <v>74.583333333333329</v>
      </c>
      <c r="I646" s="78">
        <f t="shared" si="149"/>
        <v>0</v>
      </c>
      <c r="J646" s="78">
        <f t="shared" si="149"/>
        <v>100</v>
      </c>
      <c r="K646" s="78">
        <f t="shared" si="149"/>
        <v>300</v>
      </c>
      <c r="L646" s="78">
        <f t="shared" si="149"/>
        <v>1216.5</v>
      </c>
      <c r="M646" s="79">
        <f t="shared" si="149"/>
        <v>600</v>
      </c>
      <c r="N646" s="78">
        <f t="shared" si="149"/>
        <v>72.5</v>
      </c>
      <c r="O646" s="78">
        <f t="shared" si="149"/>
        <v>240</v>
      </c>
      <c r="P646" s="78">
        <f t="shared" si="149"/>
        <v>110</v>
      </c>
      <c r="Q646" s="78">
        <f t="shared" si="149"/>
        <v>245</v>
      </c>
      <c r="R646" s="78">
        <f t="shared" si="149"/>
        <v>100</v>
      </c>
      <c r="S646" s="78">
        <f t="shared" si="149"/>
        <v>695</v>
      </c>
      <c r="T646" s="78">
        <f t="shared" si="149"/>
        <v>33.333333333333336</v>
      </c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</row>
    <row r="647" spans="1:30" ht="15" x14ac:dyDescent="0.2">
      <c r="A647" s="11">
        <f t="shared" si="128"/>
        <v>2059</v>
      </c>
      <c r="B647" s="11"/>
      <c r="C647" s="78">
        <f t="shared" ref="C647:T647" si="150">AVERAGE(C509:C520)</f>
        <v>154.75824999999998</v>
      </c>
      <c r="D647" s="78">
        <f t="shared" si="150"/>
        <v>281.01624999999996</v>
      </c>
      <c r="E647" s="78">
        <f t="shared" si="150"/>
        <v>109.10050000000001</v>
      </c>
      <c r="F647" s="78">
        <f t="shared" si="150"/>
        <v>157.04166666666663</v>
      </c>
      <c r="G647" s="78">
        <f t="shared" si="150"/>
        <v>40</v>
      </c>
      <c r="H647" s="78">
        <f t="shared" si="150"/>
        <v>74.583333333333329</v>
      </c>
      <c r="I647" s="78">
        <f t="shared" si="150"/>
        <v>0</v>
      </c>
      <c r="J647" s="78">
        <f t="shared" si="150"/>
        <v>100</v>
      </c>
      <c r="K647" s="78">
        <f t="shared" si="150"/>
        <v>300</v>
      </c>
      <c r="L647" s="78">
        <f t="shared" si="150"/>
        <v>1216.5</v>
      </c>
      <c r="M647" s="79">
        <f t="shared" si="150"/>
        <v>600</v>
      </c>
      <c r="N647" s="78">
        <f t="shared" si="150"/>
        <v>72.5</v>
      </c>
      <c r="O647" s="78">
        <f t="shared" si="150"/>
        <v>240</v>
      </c>
      <c r="P647" s="78">
        <f t="shared" si="150"/>
        <v>110</v>
      </c>
      <c r="Q647" s="78">
        <f t="shared" si="150"/>
        <v>245</v>
      </c>
      <c r="R647" s="78">
        <f t="shared" si="150"/>
        <v>100</v>
      </c>
      <c r="S647" s="78">
        <f t="shared" si="150"/>
        <v>695</v>
      </c>
      <c r="T647" s="78">
        <f t="shared" si="150"/>
        <v>33.333333333333336</v>
      </c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</row>
    <row r="648" spans="1:30" ht="15" x14ac:dyDescent="0.2">
      <c r="A648" s="11">
        <f t="shared" si="128"/>
        <v>2060</v>
      </c>
      <c r="B648" s="11"/>
      <c r="C648" s="78">
        <f t="shared" ref="C648:T648" si="151">AVERAGE(C510:C521)</f>
        <v>154.75824999999998</v>
      </c>
      <c r="D648" s="78">
        <f t="shared" si="151"/>
        <v>281.01624999999996</v>
      </c>
      <c r="E648" s="78">
        <f t="shared" si="151"/>
        <v>109.10050000000001</v>
      </c>
      <c r="F648" s="78">
        <f t="shared" si="151"/>
        <v>157.04166666666663</v>
      </c>
      <c r="G648" s="78">
        <f t="shared" si="151"/>
        <v>40</v>
      </c>
      <c r="H648" s="78">
        <f t="shared" si="151"/>
        <v>74.583333333333329</v>
      </c>
      <c r="I648" s="78">
        <f t="shared" si="151"/>
        <v>0</v>
      </c>
      <c r="J648" s="78">
        <f t="shared" si="151"/>
        <v>100</v>
      </c>
      <c r="K648" s="78">
        <f t="shared" si="151"/>
        <v>300</v>
      </c>
      <c r="L648" s="78">
        <f t="shared" si="151"/>
        <v>1216.5</v>
      </c>
      <c r="M648" s="79">
        <f t="shared" si="151"/>
        <v>600</v>
      </c>
      <c r="N648" s="78">
        <f t="shared" si="151"/>
        <v>72.5</v>
      </c>
      <c r="O648" s="78">
        <f t="shared" si="151"/>
        <v>240</v>
      </c>
      <c r="P648" s="78">
        <f t="shared" si="151"/>
        <v>110</v>
      </c>
      <c r="Q648" s="78">
        <f t="shared" si="151"/>
        <v>245</v>
      </c>
      <c r="R648" s="78">
        <f t="shared" si="151"/>
        <v>100</v>
      </c>
      <c r="S648" s="78">
        <f t="shared" si="151"/>
        <v>695</v>
      </c>
      <c r="T648" s="78">
        <f t="shared" si="151"/>
        <v>33.333333333333336</v>
      </c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</row>
    <row r="649" spans="1:30" ht="15" x14ac:dyDescent="0.2">
      <c r="A649" s="11">
        <f t="shared" si="128"/>
        <v>2061</v>
      </c>
      <c r="B649" s="11"/>
      <c r="C649" s="78">
        <f t="shared" ref="C649:T649" si="152">AVERAGE(C511:C522)</f>
        <v>154.75825</v>
      </c>
      <c r="D649" s="78">
        <f t="shared" si="152"/>
        <v>281.01624999999996</v>
      </c>
      <c r="E649" s="78">
        <f t="shared" si="152"/>
        <v>109.10050000000001</v>
      </c>
      <c r="F649" s="78">
        <f t="shared" si="152"/>
        <v>157.04166666666663</v>
      </c>
      <c r="G649" s="78">
        <f t="shared" si="152"/>
        <v>40</v>
      </c>
      <c r="H649" s="78">
        <f t="shared" si="152"/>
        <v>74.583333333333329</v>
      </c>
      <c r="I649" s="78">
        <f t="shared" si="152"/>
        <v>0</v>
      </c>
      <c r="J649" s="78">
        <f t="shared" si="152"/>
        <v>100</v>
      </c>
      <c r="K649" s="78">
        <f t="shared" si="152"/>
        <v>300</v>
      </c>
      <c r="L649" s="78">
        <f t="shared" si="152"/>
        <v>1216.5</v>
      </c>
      <c r="M649" s="79">
        <f t="shared" si="152"/>
        <v>600</v>
      </c>
      <c r="N649" s="78">
        <f t="shared" si="152"/>
        <v>72.5</v>
      </c>
      <c r="O649" s="78">
        <f t="shared" si="152"/>
        <v>240</v>
      </c>
      <c r="P649" s="78">
        <f t="shared" si="152"/>
        <v>110</v>
      </c>
      <c r="Q649" s="78">
        <f t="shared" si="152"/>
        <v>245</v>
      </c>
      <c r="R649" s="78">
        <f t="shared" si="152"/>
        <v>100</v>
      </c>
      <c r="S649" s="78">
        <f t="shared" si="152"/>
        <v>695</v>
      </c>
      <c r="T649" s="78">
        <f t="shared" si="152"/>
        <v>33.333333333333336</v>
      </c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</row>
    <row r="650" spans="1:30" x14ac:dyDescent="0.2">
      <c r="A650" s="8"/>
      <c r="B650" s="8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</row>
    <row r="651" spans="1:30" x14ac:dyDescent="0.2">
      <c r="A651" s="8"/>
      <c r="B651" s="8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</row>
    <row r="652" spans="1:30" x14ac:dyDescent="0.2">
      <c r="A652" s="8"/>
      <c r="B652" s="8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</row>
    <row r="653" spans="1:30" x14ac:dyDescent="0.2">
      <c r="A653" s="8"/>
      <c r="B653" s="8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</row>
    <row r="654" spans="1:30" x14ac:dyDescent="0.2">
      <c r="A654" s="8"/>
      <c r="B654" s="8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</row>
    <row r="655" spans="1:30" x14ac:dyDescent="0.2">
      <c r="A655" s="8"/>
      <c r="B655" s="8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</row>
    <row r="656" spans="1:30" x14ac:dyDescent="0.2">
      <c r="A656" s="8"/>
      <c r="B656" s="8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</row>
    <row r="657" spans="1:30" x14ac:dyDescent="0.2">
      <c r="A657" s="8"/>
      <c r="B657" s="8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</row>
    <row r="658" spans="1:30" x14ac:dyDescent="0.2">
      <c r="A658" s="8"/>
      <c r="B658" s="8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</row>
    <row r="659" spans="1:30" x14ac:dyDescent="0.2">
      <c r="A659" s="8"/>
      <c r="B659" s="8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</row>
    <row r="660" spans="1:30" x14ac:dyDescent="0.2">
      <c r="A660" s="8"/>
      <c r="B660" s="8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</row>
    <row r="661" spans="1:30" x14ac:dyDescent="0.2">
      <c r="A661" s="8"/>
      <c r="B661" s="8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</row>
    <row r="662" spans="1:30" x14ac:dyDescent="0.2">
      <c r="A662" s="8"/>
      <c r="B662" s="8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</row>
    <row r="663" spans="1:30" x14ac:dyDescent="0.2">
      <c r="A663" s="8"/>
      <c r="B663" s="8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</row>
    <row r="664" spans="1:30" x14ac:dyDescent="0.2">
      <c r="A664" s="8"/>
      <c r="B664" s="8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</row>
    <row r="665" spans="1:30" x14ac:dyDescent="0.2">
      <c r="A665" s="8"/>
      <c r="B665" s="8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</row>
    <row r="666" spans="1:30" x14ac:dyDescent="0.2">
      <c r="A666" s="8"/>
      <c r="B666" s="8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</row>
    <row r="667" spans="1:30" x14ac:dyDescent="0.2">
      <c r="A667" s="8"/>
      <c r="B667" s="8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</row>
    <row r="668" spans="1:30" x14ac:dyDescent="0.2">
      <c r="A668" s="8"/>
      <c r="B668" s="8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</row>
    <row r="669" spans="1:30" x14ac:dyDescent="0.2">
      <c r="A669" s="8"/>
      <c r="B669" s="8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</row>
    <row r="670" spans="1:30" x14ac:dyDescent="0.2">
      <c r="A670" s="8"/>
      <c r="B670" s="8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</row>
    <row r="671" spans="1:30" x14ac:dyDescent="0.2">
      <c r="A671" s="8"/>
      <c r="B671" s="8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</row>
    <row r="672" spans="1:30" x14ac:dyDescent="0.2">
      <c r="A672" s="8"/>
      <c r="B672" s="8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</row>
    <row r="673" spans="1:30" x14ac:dyDescent="0.2">
      <c r="A673" s="8"/>
      <c r="B673" s="8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</row>
    <row r="674" spans="1:30" x14ac:dyDescent="0.2">
      <c r="A674" s="8"/>
      <c r="B674" s="8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</row>
    <row r="675" spans="1:30" x14ac:dyDescent="0.2">
      <c r="A675" s="8"/>
      <c r="B675" s="8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</row>
    <row r="676" spans="1:30" x14ac:dyDescent="0.2">
      <c r="A676" s="8"/>
      <c r="B676" s="8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</row>
    <row r="677" spans="1:30" x14ac:dyDescent="0.2">
      <c r="A677" s="8"/>
      <c r="B677" s="8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</row>
    <row r="678" spans="1:30" x14ac:dyDescent="0.2">
      <c r="A678" s="8"/>
      <c r="B678" s="8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</row>
    <row r="679" spans="1:30" x14ac:dyDescent="0.2">
      <c r="A679" s="8"/>
      <c r="B679" s="8"/>
    </row>
    <row r="680" spans="1:30" x14ac:dyDescent="0.2">
      <c r="A680" s="8"/>
      <c r="B680" s="8"/>
    </row>
    <row r="681" spans="1:30" x14ac:dyDescent="0.2">
      <c r="A681" s="8"/>
      <c r="B681" s="8"/>
    </row>
    <row r="682" spans="1:30" x14ac:dyDescent="0.2">
      <c r="A682" s="8"/>
      <c r="B682" s="8"/>
    </row>
    <row r="683" spans="1:30" x14ac:dyDescent="0.2">
      <c r="A683" s="8"/>
      <c r="B683" s="8"/>
    </row>
    <row r="684" spans="1:30" x14ac:dyDescent="0.2">
      <c r="A684" s="8"/>
      <c r="B684" s="8"/>
    </row>
    <row r="685" spans="1:30" x14ac:dyDescent="0.2">
      <c r="A685" s="8"/>
      <c r="B685" s="8"/>
    </row>
    <row r="686" spans="1:30" x14ac:dyDescent="0.2">
      <c r="A686" s="8"/>
      <c r="B686" s="8"/>
    </row>
    <row r="687" spans="1:30" x14ac:dyDescent="0.2">
      <c r="A687" s="8"/>
      <c r="B687" s="8"/>
    </row>
    <row r="688" spans="1:30" x14ac:dyDescent="0.2">
      <c r="A688" s="8"/>
      <c r="B688" s="8"/>
    </row>
    <row r="689" spans="1:2" x14ac:dyDescent="0.2">
      <c r="A689" s="8"/>
      <c r="B689" s="8"/>
    </row>
    <row r="690" spans="1:2" x14ac:dyDescent="0.2">
      <c r="A690" s="8"/>
      <c r="B690" s="8"/>
    </row>
    <row r="691" spans="1:2" x14ac:dyDescent="0.2">
      <c r="A691" s="8"/>
      <c r="B691" s="8"/>
    </row>
    <row r="692" spans="1:2" x14ac:dyDescent="0.2">
      <c r="A692" s="8"/>
      <c r="B692" s="8"/>
    </row>
    <row r="693" spans="1:2" x14ac:dyDescent="0.2">
      <c r="A693" s="8"/>
      <c r="B693" s="8"/>
    </row>
    <row r="694" spans="1:2" x14ac:dyDescent="0.2">
      <c r="A694" s="8"/>
      <c r="B694" s="8"/>
    </row>
    <row r="695" spans="1:2" x14ac:dyDescent="0.2">
      <c r="A695" s="8"/>
      <c r="B695" s="8"/>
    </row>
    <row r="696" spans="1:2" x14ac:dyDescent="0.2">
      <c r="A696" s="8"/>
      <c r="B696" s="8"/>
    </row>
    <row r="697" spans="1:2" x14ac:dyDescent="0.2">
      <c r="A697" s="8"/>
      <c r="B697" s="8"/>
    </row>
    <row r="698" spans="1:2" x14ac:dyDescent="0.2">
      <c r="A698" s="8"/>
      <c r="B698" s="8"/>
    </row>
    <row r="699" spans="1:2" x14ac:dyDescent="0.2">
      <c r="A699" s="8"/>
      <c r="B699" s="8"/>
    </row>
    <row r="700" spans="1:2" x14ac:dyDescent="0.2">
      <c r="A700" s="8"/>
      <c r="B700" s="8"/>
    </row>
    <row r="701" spans="1:2" x14ac:dyDescent="0.2">
      <c r="A701" s="8"/>
      <c r="B701" s="8"/>
    </row>
    <row r="702" spans="1:2" x14ac:dyDescent="0.2">
      <c r="A702" s="8"/>
      <c r="B702" s="8"/>
    </row>
    <row r="703" spans="1:2" x14ac:dyDescent="0.2">
      <c r="A703" s="8"/>
      <c r="B703" s="8"/>
    </row>
    <row r="704" spans="1:2" x14ac:dyDescent="0.2">
      <c r="A704" s="8"/>
      <c r="B704" s="8"/>
    </row>
    <row r="705" spans="1:2" x14ac:dyDescent="0.2">
      <c r="A705" s="8"/>
      <c r="B705" s="8"/>
    </row>
    <row r="706" spans="1:2" x14ac:dyDescent="0.2">
      <c r="A706" s="8"/>
      <c r="B706" s="8"/>
    </row>
    <row r="707" spans="1:2" x14ac:dyDescent="0.2">
      <c r="A707" s="8"/>
      <c r="B707" s="8"/>
    </row>
    <row r="708" spans="1:2" x14ac:dyDescent="0.2">
      <c r="A708" s="8"/>
      <c r="B708" s="8"/>
    </row>
  </sheetData>
  <mergeCells count="3">
    <mergeCell ref="C9:F9"/>
    <mergeCell ref="O9:Q9"/>
    <mergeCell ref="I9:K9"/>
  </mergeCells>
  <pageMargins left="0.25" right="0.25" top="0.5" bottom="0.5" header="0.25" footer="0.25"/>
  <pageSetup paperSize="17" scale="55" orientation="landscape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CONTROL</vt:lpstr>
      <vt:lpstr>RAP-SOLID FUEL PRICES</vt:lpstr>
      <vt:lpstr>RAP-LIGHT OIL</vt:lpstr>
      <vt:lpstr>RAP-HEAVY OIL&amp;WTI</vt:lpstr>
      <vt:lpstr>RAP-NATURAL GAS PRICES</vt:lpstr>
      <vt:lpstr>RAP TEMPLATE-GAS AVAILABILITY</vt:lpstr>
      <vt:lpstr>'RAP TEMPLATE-GAS AVAILABILITY'!Print_Area</vt:lpstr>
      <vt:lpstr>'RAP-HEAVY OIL&amp;WTI'!Print_Area</vt:lpstr>
      <vt:lpstr>'RAP-LIGHT OIL'!Print_Area</vt:lpstr>
      <vt:lpstr>'RAP-NATURAL GAS PRICES'!Print_Area</vt:lpstr>
      <vt:lpstr>'RAP-SOLID FUEL PRICES'!Print_Area</vt:lpstr>
      <vt:lpstr>'RAP TEMPLATE-GAS AVAILABILITY'!Print_Titles</vt:lpstr>
      <vt:lpstr>'RAP-HEAVY OIL&amp;WTI'!Print_Titles</vt:lpstr>
      <vt:lpstr>'RAP-LIGHT OIL'!Print_Titles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2016-07-29T16:39:17Z</dcterms:created>
  <dcterms:modified xsi:type="dcterms:W3CDTF">2016-07-29T16:39:20Z</dcterms:modified>
</cp:coreProperties>
</file>